
<file path=[Content_Types].xml><?xml version="1.0" encoding="utf-8"?>
<Types xmlns="http://schemas.openxmlformats.org/package/2006/content-types">
  <Default Extension="xml" ContentType="application/xml"/>
  <Default Extension="rels" ContentType="application/vnd.openxmlformats-package.relationships+xml"/>
  <Default Extension="vml" ContentType="application/vnd.openxmlformats-officedocument.vmlDrawing"/>
  <Default Extension="gif" ContentType="image/gif"/>
  <Default Extension="emf" ContentType="image/x-emf"/>
  <Default Extension="pn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515"/>
  <workbookPr codeName="ThisWorkbook" autoCompressPictures="0"/>
  <bookViews>
    <workbookView xWindow="420" yWindow="0" windowWidth="25120" windowHeight="15060" tabRatio="809" activeTab="2"/>
  </bookViews>
  <sheets>
    <sheet name="Information" sheetId="30" r:id="rId1"/>
    <sheet name="Monthly_Milk" sheetId="31" r:id="rId2"/>
    <sheet name="Main" sheetId="1" r:id="rId3"/>
    <sheet name="Fixed_Cost" sheetId="2" r:id="rId4"/>
    <sheet name="Feed" sheetId="20" state="hidden" r:id="rId5"/>
    <sheet name="Debt_Payments" sheetId="3" state="hidden" r:id="rId6"/>
    <sheet name="Feed_detail" sheetId="26" r:id="rId7"/>
    <sheet name="Raised Summary" sheetId="27" r:id="rId8"/>
    <sheet name="Corn_silage" sheetId="21" r:id="rId9"/>
    <sheet name="Sorghum_silage" sheetId="22" r:id="rId10"/>
    <sheet name="Winter_Silage" sheetId="24" r:id="rId11"/>
    <sheet name="Winter_Grazing" sheetId="28" r:id="rId12"/>
    <sheet name="Bermuda_hay" sheetId="25" r:id="rId13"/>
    <sheet name="PERMANENT_PASTURE" sheetId="29" r:id="rId14"/>
    <sheet name="E" sheetId="5" state="hidden" r:id="rId15"/>
    <sheet name="F" sheetId="6" state="hidden" r:id="rId16"/>
    <sheet name="G" sheetId="7" state="hidden" r:id="rId17"/>
    <sheet name="H" sheetId="8" state="hidden" r:id="rId18"/>
    <sheet name="I" sheetId="9" state="hidden" r:id="rId19"/>
    <sheet name="J" sheetId="10" state="hidden" r:id="rId20"/>
    <sheet name="K" sheetId="11" state="hidden" r:id="rId21"/>
    <sheet name="Payroll" sheetId="16" r:id="rId22"/>
  </sheets>
  <externalReferences>
    <externalReference r:id="rId23"/>
    <externalReference r:id="rId24"/>
    <externalReference r:id="rId25"/>
    <externalReference r:id="rId26"/>
    <externalReference r:id="rId27"/>
  </externalReferences>
  <definedNames>
    <definedName name="_1PRINT.BETWEEN_">I!$C$12</definedName>
    <definedName name="_2TOTFORMAT">I!$C$15</definedName>
    <definedName name="_3_">I!$N$16</definedName>
    <definedName name="_GPH7">[1]Instructions:Establishment!$I$4:$I$4</definedName>
    <definedName name="_GPH72">[1]Instructions:Establishment!$I$5:$I$5</definedName>
    <definedName name="_NUM1">#N/A</definedName>
    <definedName name="_NUM2">#N/A</definedName>
    <definedName name="_NUM3">#N/A</definedName>
    <definedName name="_NUM4">#N/A</definedName>
    <definedName name="_NUM5">#N/A</definedName>
    <definedName name="_NUM6">#N/A</definedName>
    <definedName name="_NUM7">#N/A</definedName>
    <definedName name="_R1">#N/A</definedName>
    <definedName name="_RET1" localSheetId="13">#REF!</definedName>
    <definedName name="_RET1" localSheetId="11">#REF!</definedName>
    <definedName name="_RET1">#REF!</definedName>
    <definedName name="\0">I!$W$6</definedName>
    <definedName name="\A">I!$T$29</definedName>
    <definedName name="\AUTOEXEC">#N/A</definedName>
    <definedName name="\B">#N/A</definedName>
    <definedName name="\C">I!$K$6</definedName>
    <definedName name="\E" localSheetId="12">#REF!</definedName>
    <definedName name="\E" localSheetId="13">#REF!</definedName>
    <definedName name="\E">I!$T$53</definedName>
    <definedName name="\EXPDATA">#N/A</definedName>
    <definedName name="\I">I!$T$53</definedName>
    <definedName name="\L">I!$T$22</definedName>
    <definedName name="\O">I!$T$19</definedName>
    <definedName name="\P">#N/A</definedName>
    <definedName name="\Q">I!$T$32</definedName>
    <definedName name="\R">#N/A</definedName>
    <definedName name="\S">I!$T$26</definedName>
    <definedName name="\T">I!$E$6</definedName>
    <definedName name="\V">I!$Q$6</definedName>
    <definedName name="\X">I!$B$6</definedName>
    <definedName name="\Y">I!$H$6</definedName>
    <definedName name="\Z">I!$N$6</definedName>
    <definedName name="acres" localSheetId="12">Bermuda_hay!#REF!</definedName>
    <definedName name="acres" localSheetId="13">PERMANENT_PASTURE!#REF!</definedName>
    <definedName name="ACRES">Main!$D$16</definedName>
    <definedName name="ADP" localSheetId="12">[1]Fixed_Payment!#REF!</definedName>
    <definedName name="ADP" localSheetId="13">[1]Fixed_Payment!#REF!</definedName>
    <definedName name="ADP">Debt_Payments!$A$3</definedName>
    <definedName name="AFC" localSheetId="12">[1]Fixed_Cost!#REF!</definedName>
    <definedName name="AFC" localSheetId="13">[1]Fixed_Cost!#REF!</definedName>
    <definedName name="AFC">Fixed_Cost!$A$3</definedName>
    <definedName name="AGVAR">#N/A</definedName>
    <definedName name="ALLDATA">[1]Instructions:Establishment!$B$4:$O$5</definedName>
    <definedName name="ASSUM">#N/A</definedName>
    <definedName name="AVG_INV">Fixed_Cost!$G$88</definedName>
    <definedName name="AVG_INV_INT">Fixed_Cost!$J$96</definedName>
    <definedName name="BERMUDA_PRODUCTION_COST" localSheetId="13">Bermuda_hay!$G$23</definedName>
    <definedName name="BERMUDA_PRODUCTION_COST">Bermuda_hay!$G$25</definedName>
    <definedName name="bermuda_yield" localSheetId="13">Bermuda_hay!$B$2</definedName>
    <definedName name="bermuda_yield">Bermuda_hay!$B$2</definedName>
    <definedName name="BERR">#N/A</definedName>
    <definedName name="bf">Main!$H$21</definedName>
    <definedName name="bf_base">Main!$E$98</definedName>
    <definedName name="BREAKEVEN">#N/A</definedName>
    <definedName name="BUD">#N/A</definedName>
    <definedName name="bud_show">Main!$A$11</definedName>
    <definedName name="bud_type" localSheetId="12">Bermuda_hay!#REF!</definedName>
    <definedName name="bud_type" localSheetId="13">PERMANENT_PASTURE!#REF!</definedName>
    <definedName name="bud_type">Main!$G$13</definedName>
    <definedName name="build_dep">Fixed_Cost!$J$28</definedName>
    <definedName name="bull_death">Main!$H$25</definedName>
    <definedName name="CASH" localSheetId="13">#REF!</definedName>
    <definedName name="CASH" localSheetId="11">#REF!</definedName>
    <definedName name="CASH">#REF!</definedName>
    <definedName name="CASHFORMAT">I!$W$47</definedName>
    <definedName name="cattle_fixed">[2]Fixed_Cost!$J$45</definedName>
    <definedName name="CENTER">I!$E$34</definedName>
    <definedName name="cf_total">[2]Fixed_Payment!$J$41</definedName>
    <definedName name="Comsilage_prod_cost">Corn_silage!$E$34</definedName>
    <definedName name="concentrate_price_dm">Feed!$G$6</definedName>
    <definedName name="conr_silage_milk">Feed!$K$10</definedName>
    <definedName name="corn_dry">Feed!$K$37</definedName>
    <definedName name="corn_hfrs">Feed!$K$57</definedName>
    <definedName name="corn_milk">Feed!$K$13</definedName>
    <definedName name="corn_price">Feed!$G$5</definedName>
    <definedName name="corn_silage_bred_hfrs">Feed!$K$53</definedName>
    <definedName name="corn_silage_dry_herd">Feed!$K$33</definedName>
    <definedName name="CORN_SILAGE_PRODUCTION">Corn_silage!$B$6</definedName>
    <definedName name="corn_silage_yield">Corn_silage!$B$4</definedName>
    <definedName name="corn_silage_yng_hfrs">Feed!$K$68</definedName>
    <definedName name="corn_yng_hfrs">Feed!$K$70</definedName>
    <definedName name="COST1" localSheetId="13">#REF!</definedName>
    <definedName name="COST1" localSheetId="11">#REF!</definedName>
    <definedName name="COST1">#REF!</definedName>
    <definedName name="COST2" localSheetId="13">#REF!</definedName>
    <definedName name="COST2" localSheetId="11">#REF!</definedName>
    <definedName name="COST2">#REF!</definedName>
    <definedName name="cows">Main!$H$15</definedName>
    <definedName name="cubic_yds" localSheetId="13">#REF!</definedName>
    <definedName name="cubic_yds" localSheetId="9">#REF!</definedName>
    <definedName name="cubic_yds" localSheetId="11">#REF!</definedName>
    <definedName name="cubic_yds">#REF!</definedName>
    <definedName name="cull_rate">Main!$H$23</definedName>
    <definedName name="CUMPGPH">[1]Instructions:Establishment!$B$4:$B$4</definedName>
    <definedName name="CUMPGPH2">[1]Instructions:Establishment!$B$5:$B$5</definedName>
    <definedName name="death_loss">Main!$H$24</definedName>
    <definedName name="DEBT1">Main:Debt_Payments!$B$45:$J$190</definedName>
    <definedName name="DEBT2">Debt_Payments!$B$54:$K$68</definedName>
    <definedName name="dry_byproducts" localSheetId="13">Feed!#REF!</definedName>
    <definedName name="dry_byproducts" localSheetId="11">Feed!#REF!</definedName>
    <definedName name="dry_byproducts">Feed!#REF!</definedName>
    <definedName name="dry_grain" localSheetId="13">Feed!#REF!</definedName>
    <definedName name="dry_grain" localSheetId="11">Feed!#REF!</definedName>
    <definedName name="dry_grain">Feed!#REF!</definedName>
    <definedName name="dry_hay" localSheetId="13">Feed!#REF!</definedName>
    <definedName name="dry_hay" localSheetId="11">Feed!#REF!</definedName>
    <definedName name="dry_hay">Feed!#REF!</definedName>
    <definedName name="dry_minerals" localSheetId="13">Feed!#REF!</definedName>
    <definedName name="dry_minerals" localSheetId="11">Feed!#REF!</definedName>
    <definedName name="dry_minerals">Feed!#REF!</definedName>
    <definedName name="dry_pasture" localSheetId="13">Feed!#REF!</definedName>
    <definedName name="dry_pasture" localSheetId="11">Feed!#REF!</definedName>
    <definedName name="dry_pasture">Feed!#REF!</definedName>
    <definedName name="dry_silage" localSheetId="13">Feed!#REF!</definedName>
    <definedName name="dry_silage" localSheetId="11">Feed!#REF!</definedName>
    <definedName name="dry_silage">Feed!#REF!</definedName>
    <definedName name="ENR">#N/A</definedName>
    <definedName name="ENR_MNR">#N/A</definedName>
    <definedName name="equip_pmt">Fixed_Cost!$O$74</definedName>
    <definedName name="ETR">#N/A</definedName>
    <definedName name="existing_pmt">Fixed_Cost!$O$78</definedName>
    <definedName name="EXISTING_PMTS">Debt_Payments!$J$66</definedName>
    <definedName name="exp_price" localSheetId="13">PERMANENT_PASTURE!#REF!</definedName>
    <definedName name="exp_price" localSheetId="11">Bermuda_hay!#REF!</definedName>
    <definedName name="exp_price">Bermuda_hay!#REF!</definedName>
    <definedName name="exp_prod" localSheetId="13">PERMANENT_PASTURE!#REF!</definedName>
    <definedName name="exp_prod" localSheetId="11">Bermuda_hay!#REF!</definedName>
    <definedName name="exp_prod">Bermuda_hay!#REF!</definedName>
    <definedName name="EXPDATA">#N/A</definedName>
    <definedName name="EXPP">#N/A</definedName>
    <definedName name="EXPY">#N/A</definedName>
    <definedName name="facil_avginv">Fixed_Cost!$F$87</definedName>
    <definedName name="facil_fc">Fixed_Cost!$F$89</definedName>
    <definedName name="facil_int">Fixed_Cost!$F$88</definedName>
    <definedName name="facil_pmt">Fixed_Cost!$O$28</definedName>
    <definedName name="FIXEDCOST">Main:Fixed_Cost!$B$36:$J$152</definedName>
    <definedName name="FOOTER">I!$W$43</definedName>
    <definedName name="GPHDATA1">#N/A</definedName>
    <definedName name="GPHDATA2">#N/A</definedName>
    <definedName name="GPHDATA3">[1]Instructions:Establishment!$B$4:$O$4</definedName>
    <definedName name="GPHINS">#N/A</definedName>
    <definedName name="GR_OP" localSheetId="13">#REF!</definedName>
    <definedName name="GR_OP" localSheetId="11">#REF!</definedName>
    <definedName name="GR_OP">#REF!</definedName>
    <definedName name="GRAPH" localSheetId="13">#REF!</definedName>
    <definedName name="GRAPH" localSheetId="11">#REF!</definedName>
    <definedName name="GRAPH">#REF!</definedName>
    <definedName name="harvest_hrs" localSheetId="9">[3]harvest!$F$21</definedName>
    <definedName name="harvest_hrs">[4]harvest!$F$21</definedName>
    <definedName name="harvest_implement_FC" localSheetId="9">[3]harvest!$J$21</definedName>
    <definedName name="harvest_implement_FC">[4]harvest!$J$21</definedName>
    <definedName name="harvest_implement_info" localSheetId="9">[3]implmnts!$A$306:$AB$347</definedName>
    <definedName name="harvest_implement_info">[4]implmnts!$A$306:$AB$347</definedName>
    <definedName name="harvest_implement_list" localSheetId="9">[3]implmnts!$A$306:$A$347</definedName>
    <definedName name="harvest_implement_list">[4]implmnts!$A$306:$A$347</definedName>
    <definedName name="harvest_tractor_fc" localSheetId="9">[3]harvest!$R$21</definedName>
    <definedName name="harvest_tractor_fc">[4]harvest!$R$21</definedName>
    <definedName name="HAY_PRODUCTION" localSheetId="13">Bermuda_hay!$B$4</definedName>
    <definedName name="HAY_PRODUCTION">Bermuda_hay!$B$4</definedName>
    <definedName name="heifer_death">Main!$H$26</definedName>
    <definedName name="HEIFERS_RAISED">Main!$H$28</definedName>
    <definedName name="hfrs_grain" localSheetId="13">Feed!#REF!</definedName>
    <definedName name="hfrs_grain" localSheetId="11">Feed!#REF!</definedName>
    <definedName name="hfrs_grain">Feed!#REF!</definedName>
    <definedName name="hfrs_hay" localSheetId="13">Feed!#REF!</definedName>
    <definedName name="hfrs_hay" localSheetId="11">Feed!#REF!</definedName>
    <definedName name="hfrs_hay">Feed!#REF!</definedName>
    <definedName name="hfrs_pasture" localSheetId="13">Feed!#REF!</definedName>
    <definedName name="hfrs_pasture" localSheetId="11">Feed!#REF!</definedName>
    <definedName name="hfrs_pasture">Feed!#REF!</definedName>
    <definedName name="hfrs_silage" localSheetId="13">Feed!#REF!</definedName>
    <definedName name="hfrs_silage" localSheetId="11">Feed!#REF!</definedName>
    <definedName name="hfrs_silage">Feed!#REF!</definedName>
    <definedName name="hrfs_silage" localSheetId="13">Feed!#REF!</definedName>
    <definedName name="hrfs_silage" localSheetId="11">Feed!#REF!</definedName>
    <definedName name="hrfs_silage">Feed!#REF!</definedName>
    <definedName name="ht" localSheetId="13">#REF!</definedName>
    <definedName name="ht" localSheetId="9">#REF!</definedName>
    <definedName name="ht" localSheetId="11">#REF!</definedName>
    <definedName name="ht">#REF!</definedName>
    <definedName name="iir" localSheetId="13">Corn_silage!#REF!</definedName>
    <definedName name="iir" localSheetId="9">Sorghum_silage!#REF!</definedName>
    <definedName name="iir" localSheetId="11">Corn_silage!#REF!</definedName>
    <definedName name="iir">Corn_silage!#REF!</definedName>
    <definedName name="impl_avginv">Fixed_Cost!$F$95</definedName>
    <definedName name="impl_dep">Fixed_Cost!$J$74</definedName>
    <definedName name="impl_fc">Fixed_Cost!$F$97</definedName>
    <definedName name="impl_int">Fixed_Cost!$F$96</definedName>
    <definedName name="INS_PMT">Fixed_Cost!$J$97</definedName>
    <definedName name="INS_RATE">Fixed_Cost!$H$97</definedName>
    <definedName name="ins_tax" localSheetId="13">Corn_silage!#REF!</definedName>
    <definedName name="ins_tax" localSheetId="9">Sorghum_silage!#REF!</definedName>
    <definedName name="ins_tax" localSheetId="11">Corn_silage!#REF!</definedName>
    <definedName name="ins_tax">Corn_silage!#REF!</definedName>
    <definedName name="insect_tot" localSheetId="9">'[3]Insect and Weed'!$F$25</definedName>
    <definedName name="insect_tot">'[4]Insect and Weed'!$F$25</definedName>
    <definedName name="INT_COST" localSheetId="13">#REF!</definedName>
    <definedName name="INT_COST" localSheetId="11">Winter_Grazing!#REF!</definedName>
    <definedName name="INT_COST" localSheetId="10">Winter_Silage!#REF!</definedName>
    <definedName name="INT_COST">#REF!</definedName>
    <definedName name="interval">Main!$H$16</definedName>
    <definedName name="INV_RATE">Fixed_Cost!$G$96</definedName>
    <definedName name="lactations">Main!$H$17</definedName>
    <definedName name="land_fc">Fixed_Cost!$F$101</definedName>
    <definedName name="land_int">Fixed_Cost!$F$100</definedName>
    <definedName name="land_inv">Fixed_Cost!$G$78</definedName>
    <definedName name="land_pmt">Fixed_Cost!$O$77</definedName>
    <definedName name="length" localSheetId="13">#REF!</definedName>
    <definedName name="length" localSheetId="9">#REF!</definedName>
    <definedName name="length" localSheetId="11">#REF!</definedName>
    <definedName name="length">#REF!</definedName>
    <definedName name="lvst_int">Fixed_Cost!$F$84</definedName>
    <definedName name="lvstk_dep">Fixed_Cost!$J$10</definedName>
    <definedName name="lvstk_fc">Fixed_Cost!$F$85</definedName>
    <definedName name="lvstk_inv">Fixed_Cost!$F$83</definedName>
    <definedName name="lvstk_pmt">Fixed_Cost!$O$10</definedName>
    <definedName name="mach_fixed">[2]Fixed_Cost!$J$46</definedName>
    <definedName name="MILK">Main!$H$18</definedName>
    <definedName name="milk_byproducts" localSheetId="13">Feed!#REF!</definedName>
    <definedName name="milk_byproducts" localSheetId="11">Feed!#REF!</definedName>
    <definedName name="milk_byproducts">Feed!#REF!</definedName>
    <definedName name="milk_grain" localSheetId="13">Feed!#REF!</definedName>
    <definedName name="milk_grain" localSheetId="11">Feed!#REF!</definedName>
    <definedName name="milk_grain">Feed!#REF!</definedName>
    <definedName name="milk_hay" localSheetId="13">Feed!#REF!</definedName>
    <definedName name="milk_hay" localSheetId="11">Feed!#REF!</definedName>
    <definedName name="milk_hay">Feed!#REF!</definedName>
    <definedName name="milk_minerals" localSheetId="13">Feed!#REF!</definedName>
    <definedName name="milk_minerals" localSheetId="11">Feed!#REF!</definedName>
    <definedName name="milk_minerals">Feed!#REF!</definedName>
    <definedName name="milk_pasture" localSheetId="13">Feed!#REF!</definedName>
    <definedName name="milk_pasture" localSheetId="11">Feed!#REF!</definedName>
    <definedName name="milk_pasture">Feed!#REF!</definedName>
    <definedName name="MILK_PRICE">Main!$H$20</definedName>
    <definedName name="MILK_PROD">Main!$H$18</definedName>
    <definedName name="MILK_SALES">Main!$H$22</definedName>
    <definedName name="milk_silage" localSheetId="13">Feed!#REF!</definedName>
    <definedName name="milk_silage" localSheetId="11">Feed!#REF!</definedName>
    <definedName name="milk_silage">Feed!#REF!</definedName>
    <definedName name="MNR">#N/A</definedName>
    <definedName name="MP">#N/A</definedName>
    <definedName name="MTC">#N/A</definedName>
    <definedName name="MTR">#N/A</definedName>
    <definedName name="MY">#N/A</definedName>
    <definedName name="NewMatrix1" localSheetId="13">Feed!#REF!</definedName>
    <definedName name="NewMatrix1" localSheetId="11">Feed!#REF!</definedName>
    <definedName name="NewMatrix1">Feed!#REF!</definedName>
    <definedName name="number" localSheetId="13">#REF!</definedName>
    <definedName name="number" localSheetId="9">#REF!</definedName>
    <definedName name="number" localSheetId="11">#REF!</definedName>
    <definedName name="number">#REF!</definedName>
    <definedName name="Pal_Workbook_GUID" hidden="1">"VRTZAD73XF2XMFSSW1JZQZEP"</definedName>
    <definedName name="PASTURE_YIELD">PERMANENT_PASTURE!$B$2</definedName>
    <definedName name="payroll_total">Payroll!$I$12</definedName>
    <definedName name="PERM_PASTURE_PRODUCTION">PERMANENT_PASTURE!$B$4</definedName>
    <definedName name="permanent_pasture_cost">PERMANENT_PASTURE!$G$23</definedName>
    <definedName name="PG">I!$W$20</definedName>
    <definedName name="PG_NO" localSheetId="13">#REF!</definedName>
    <definedName name="PG_NO" localSheetId="11">#REF!</definedName>
    <definedName name="PG_NO">#REF!</definedName>
    <definedName name="pre_harvest_implement_list" localSheetId="9">[3]implmnts!$A$5:$A$303</definedName>
    <definedName name="pre_harvest_implement_list">[4]implmnts!$A$5:$A$303</definedName>
    <definedName name="preharvest_hrs" localSheetId="9">[3]preharvest!$F$18</definedName>
    <definedName name="preharvest_hrs">[4]preharvest!$F$18</definedName>
    <definedName name="preharvest_impl_FC" localSheetId="9">[3]preharvest!$R$18</definedName>
    <definedName name="preharvest_impl_FC">[4]preharvest!$R$18</definedName>
    <definedName name="preharvest_implement_info" localSheetId="9">[3]implmnts!$A$5:$AB$303</definedName>
    <definedName name="preharvest_implement_info">[4]implmnts!$A$5:$AB$303</definedName>
    <definedName name="prehvst_fuel" localSheetId="9">[3]preharvest!$M$18</definedName>
    <definedName name="prehvst_fuel">[4]preharvest!$M$18</definedName>
    <definedName name="price" localSheetId="13">Corn_silage!#REF!</definedName>
    <definedName name="price" localSheetId="9">Sorghum_silage!#REF!</definedName>
    <definedName name="price" localSheetId="11">Corn_silage!#REF!</definedName>
    <definedName name="price">Corn_silage!#REF!</definedName>
    <definedName name="_xlnm.Print_Area" localSheetId="12">Bermuda_hay!$A$1:$H$25</definedName>
    <definedName name="_xlnm.Print_Area" localSheetId="8">Corn_silage!$A$1:$G$40</definedName>
    <definedName name="_xlnm.Print_Area" localSheetId="4">Feed!$C$1:$K$86</definedName>
    <definedName name="_xlnm.Print_Area" localSheetId="3">Fixed_Cost!$C$3:$O$107</definedName>
    <definedName name="_xlnm.Print_Area" localSheetId="2">Main!$B$2:$I$138</definedName>
    <definedName name="_xlnm.Print_Area" localSheetId="21">Payroll!$D$2:$I$12</definedName>
    <definedName name="_xlnm.Print_Area" localSheetId="13">PERMANENT_PASTURE!$A$1:$H$23</definedName>
    <definedName name="_xlnm.Print_Area" localSheetId="7">'Raised Summary'!$A$1:$H$19</definedName>
    <definedName name="_xlnm.Print_Area" localSheetId="9">Sorghum_silage!$A$1:$G$31</definedName>
    <definedName name="_xlnm.Print_Area" localSheetId="11">Winter_Grazing!$A$1:$F$29</definedName>
    <definedName name="_xlnm.Print_Area" localSheetId="10">Winter_Silage!$A$1:$F$35</definedName>
    <definedName name="_xlnm.Print_Titles" localSheetId="3">Fixed_Cost!$3:$4</definedName>
    <definedName name="PRINTIT">I!$W$36</definedName>
    <definedName name="PRINTONE" localSheetId="13">#REF!</definedName>
    <definedName name="PRINTONE" localSheetId="11">#REF!</definedName>
    <definedName name="PRINTONE">#REF!</definedName>
    <definedName name="PRINTOP">I!$W$41</definedName>
    <definedName name="PRINTTHREE">I!$W$35</definedName>
    <definedName name="PRINTTWO" localSheetId="13">#REF!</definedName>
    <definedName name="PRINTTWO" localSheetId="11">#REF!</definedName>
    <definedName name="PRINTTWO">#REF!</definedName>
    <definedName name="RISK">#N/A</definedName>
    <definedName name="RiskMultipleCPUSupportEnabled" hidden="1">TRUE</definedName>
    <definedName name="ROLLING">Main!#REF!</definedName>
    <definedName name="silage_dm_price">Feed!$G$3</definedName>
    <definedName name="sold">Main!$D$24</definedName>
    <definedName name="SORGHUM_PRODUCTION">Sorghum_silage!$B$6</definedName>
    <definedName name="sorghum_sialge_bred_hfrs">Feed!$K$54</definedName>
    <definedName name="sorghum_sil_dry">Feed!$K$34</definedName>
    <definedName name="sorghum_yield">Sorghum_silage!$B$4</definedName>
    <definedName name="SPINVAL" localSheetId="12">#REF!</definedName>
    <definedName name="SPINVAL" localSheetId="13">#REF!</definedName>
    <definedName name="SPINVAL">I!$W$18</definedName>
    <definedName name="sprayer_data" localSheetId="9">[3]self_propelled!$A$13:$Z$19</definedName>
    <definedName name="sprayer_data">[4]self_propelled!$A$13:$Z$19</definedName>
    <definedName name="sprayer_fc" localSheetId="9">[3]preharvest!$L$27</definedName>
    <definedName name="sprayer_fc">[4]preharvest!$L$27</definedName>
    <definedName name="sprayer_fuel" localSheetId="9">[3]preharvest!$H$27</definedName>
    <definedName name="sprayer_fuel">[4]preharvest!$H$27</definedName>
    <definedName name="sprayer_list" localSheetId="9">[3]self_propelled!$A$13:$A$19</definedName>
    <definedName name="sprayer_list">[4]self_propelled!$A$13:$A$19</definedName>
    <definedName name="sprayer_rprs" localSheetId="9">[3]preharvest!$J$27</definedName>
    <definedName name="sprayer_rprs">[4]preharvest!$J$27</definedName>
    <definedName name="STRHH">#N/A</definedName>
    <definedName name="STRHL">#N/A</definedName>
    <definedName name="STRLH">#N/A</definedName>
    <definedName name="STRLL">#N/A</definedName>
    <definedName name="STRO">#N/A</definedName>
    <definedName name="STRP">#N/A</definedName>
    <definedName name="t85_bred_hfrs">Feed!$K$55</definedName>
    <definedName name="t85_dry">Feed!$K$35</definedName>
    <definedName name="t85_young_hfrs">Feed!$K$69</definedName>
    <definedName name="TC" localSheetId="13">Corn_silage!#REF!</definedName>
    <definedName name="TC" localSheetId="9">Sorghum_silage!#REF!</definedName>
    <definedName name="TC" localSheetId="11">Corn_silage!#REF!</definedName>
    <definedName name="TC">Corn_silage!#REF!</definedName>
    <definedName name="TEP">#N/A</definedName>
    <definedName name="TFC" localSheetId="8">Corn_silage!#REF!</definedName>
    <definedName name="TFC" localSheetId="9">Sorghum_silage!#REF!</definedName>
    <definedName name="tfc">Main!$H$90</definedName>
    <definedName name="TITLE1">#N/A</definedName>
    <definedName name="TITLE2">#N/A</definedName>
    <definedName name="TITLE3">#N/A</definedName>
    <definedName name="TITLE4">#N/A</definedName>
    <definedName name="TOP">#N/A</definedName>
    <definedName name="TOTAL" localSheetId="13">#REF!</definedName>
    <definedName name="TOTAL" localSheetId="11">#REF!</definedName>
    <definedName name="TOTAL">#REF!</definedName>
    <definedName name="total_feed">Main!$F$120</definedName>
    <definedName name="TOTAL_FIXED_COSTS" localSheetId="12">[1]Fixed_Cost!$I$30</definedName>
    <definedName name="TOTAL_FIXED_COSTS" localSheetId="13">[1]Fixed_Cost!$I$30</definedName>
    <definedName name="total_fixed_costs" localSheetId="11">Winter_Grazing!#REF!</definedName>
    <definedName name="total_fixed_costs" localSheetId="10">Winter_Silage!#REF!</definedName>
    <definedName name="total_fixed_costs">#REF!</definedName>
    <definedName name="TOTAL_INV">Fixed_Cost!$G$74</definedName>
    <definedName name="TOTAL_MILK_PROD">Main!$H$19</definedName>
    <definedName name="total_monthly_milk_prod">Monthly_Milk!$B$15</definedName>
    <definedName name="total_monthly_rev">Monthly_Milk!$D$15</definedName>
    <definedName name="TOTAL_OPS_COST" localSheetId="13">#REF!</definedName>
    <definedName name="TOTAL_OPS_COST" localSheetId="11">Winter_Grazing!#REF!</definedName>
    <definedName name="TOTAL_OPS_COST" localSheetId="10">Winter_Silage!$E$27</definedName>
    <definedName name="TOTAL_OPS_COST">#REF!</definedName>
    <definedName name="TOTAL_PAYMENTS">[1]Fixed_Payment!$I$39</definedName>
    <definedName name="TOTAL_PMT">Debt_Payments!$F$68</definedName>
    <definedName name="TOTAL_PRODUCTION">Bermuda_hay!$B$4</definedName>
    <definedName name="total_rev">Main!$I$105</definedName>
    <definedName name="TOTAL_VARIABLE_COST" localSheetId="13">#REF!</definedName>
    <definedName name="TOTAL_VARIABLE_COST" localSheetId="11">#REF!</definedName>
    <definedName name="TOTAL_VARIABLE_COST">#REF!</definedName>
    <definedName name="TOTFORMAT" localSheetId="13">#REF!</definedName>
    <definedName name="TOTFORMAT" localSheetId="11">#REF!</definedName>
    <definedName name="TOTFORMAT">#REF!</definedName>
    <definedName name="tractor_combine_data" localSheetId="9">[3]tractors!$A$3:$W$32</definedName>
    <definedName name="tractor_combine_data">[4]tractors!$A$3:$W$32</definedName>
    <definedName name="tractor_combine_list" localSheetId="9">[3]tractors!$A$3:$A$37</definedName>
    <definedName name="tractor_combine_list">[4]tractors!$A$3:$A$37</definedName>
    <definedName name="tractor_dep">Fixed_Cost!$J$74</definedName>
    <definedName name="tractor_list">[5]tractors!$A$2:$A$19</definedName>
    <definedName name="TVC" localSheetId="8">Corn_silage!$E$34</definedName>
    <definedName name="tvc_milk_production">Main!$H$79</definedName>
    <definedName name="tvc_sorghum">Sorghum_silage!$E$31</definedName>
    <definedName name="UN">I!$T$6</definedName>
    <definedName name="unalloc_labor" localSheetId="13">Corn_silage!#REF!</definedName>
    <definedName name="unalloc_labor" localSheetId="9">Sorghum_silage!#REF!</definedName>
    <definedName name="unalloc_labor" localSheetId="11">Corn_silage!#REF!</definedName>
    <definedName name="unalloc_labor">Corn_silage!#REF!</definedName>
    <definedName name="UNIT">#N/A</definedName>
    <definedName name="UNITCOST">#N/A</definedName>
    <definedName name="VARCOST">#N/A</definedName>
    <definedName name="VARFORMAT" localSheetId="13">#REF!</definedName>
    <definedName name="VARFORMAT" localSheetId="11">#REF!</definedName>
    <definedName name="VARFORMAT">#REF!</definedName>
    <definedName name="VARIABLE" localSheetId="13">#REF!</definedName>
    <definedName name="VARIABLE" localSheetId="11">#REF!</definedName>
    <definedName name="VARIABLE">#REF!</definedName>
    <definedName name="VIEW" localSheetId="13">#REF!</definedName>
    <definedName name="VIEW" localSheetId="11">#REF!</definedName>
    <definedName name="VIEW">#REF!</definedName>
    <definedName name="waste_dep">Fixed_Cost!$J$43</definedName>
    <definedName name="waste_fc">Fixed_Cost!$F$93</definedName>
    <definedName name="waste_int">Fixed_Cost!$F$92</definedName>
    <definedName name="waste_inv">Fixed_Cost!$F$91</definedName>
    <definedName name="WASTE_MGMT_PMT">Fixed_Cost!$O$43</definedName>
    <definedName name="WEED_TOT" localSheetId="9">'[3]Insect and Weed'!$F$11</definedName>
    <definedName name="WEED_TOT">'[4]Insect and Weed'!$F$11</definedName>
    <definedName name="WGPC">#N/A</definedName>
    <definedName name="width" localSheetId="13">#REF!</definedName>
    <definedName name="width" localSheetId="9">#REF!</definedName>
    <definedName name="width" localSheetId="11">#REF!</definedName>
    <definedName name="width">#REF!</definedName>
    <definedName name="winter_ann_sil_milking">Feed!$K$11</definedName>
    <definedName name="WINTER_ANNUAL_COST" localSheetId="11">Winter_Silage!$E$27</definedName>
    <definedName name="WINTER_ANNUAL_COST">Winter_Silage!$E$35</definedName>
    <definedName name="WINTER_ANNUAL_PRODUCTION" localSheetId="11">Winter_Silage!$B$5</definedName>
    <definedName name="WINTER_ANNUAL_PRODUCTION">Winter_Silage!$B$5</definedName>
    <definedName name="winter_annual_silage_price">Feed!$G$4</definedName>
    <definedName name="WINTER_ANNUAL_YIELD" localSheetId="11">Winter_Silage!$B$3</definedName>
    <definedName name="WINTER_ANNUAL_YIELD">Winter_Silage!$B$3</definedName>
    <definedName name="WINTER_GRAZING_COST">Winter_Grazing!$E$27</definedName>
    <definedName name="winter_grazing_production">Winter_Grazing!$B$5</definedName>
    <definedName name="Winter_grz_yld">Winter_Grazing!$B$3</definedName>
    <definedName name="XTWO" localSheetId="13">#REF!</definedName>
    <definedName name="XTWO" localSheetId="11">#REF!</definedName>
    <definedName name="XTWO">#REF!</definedName>
    <definedName name="years">[1]Establishment!$C$3</definedName>
    <definedName name="yield" localSheetId="9">Sorghum_silage!$B$4</definedName>
    <definedName name="yield">Corn_silage!$B$4</definedName>
    <definedName name="YONE" localSheetId="13">#REF!</definedName>
    <definedName name="YONE" localSheetId="11">#REF!</definedName>
    <definedName name="YONE">#REF!</definedName>
    <definedName name="YTWO" localSheetId="13">#REF!</definedName>
    <definedName name="YTWO" localSheetId="11">#REF!</definedName>
    <definedName name="YTWO">#REF!</definedName>
    <definedName name="ZONE" localSheetId="13">#REF!</definedName>
    <definedName name="ZONE" localSheetId="11">#REF!</definedName>
    <definedName name="ZONE">#REF!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23" i="1" l="1"/>
  <c r="F118" i="1"/>
  <c r="F124" i="1"/>
  <c r="B4" i="25"/>
  <c r="D50" i="26"/>
  <c r="H17" i="1"/>
  <c r="H9" i="26"/>
  <c r="I9" i="26"/>
  <c r="H18" i="26"/>
  <c r="F18" i="26"/>
  <c r="I18" i="26"/>
  <c r="H27" i="26"/>
  <c r="I27" i="26"/>
  <c r="H36" i="26"/>
  <c r="I36" i="26"/>
  <c r="C50" i="26"/>
  <c r="F50" i="26"/>
  <c r="B5" i="24"/>
  <c r="D49" i="26"/>
  <c r="H8" i="26"/>
  <c r="I8" i="26"/>
  <c r="H17" i="26"/>
  <c r="I17" i="26"/>
  <c r="H26" i="26"/>
  <c r="I26" i="26"/>
  <c r="H35" i="26"/>
  <c r="I35" i="26"/>
  <c r="C49" i="26"/>
  <c r="F49" i="26"/>
  <c r="B6" i="22"/>
  <c r="D48" i="26"/>
  <c r="H7" i="26"/>
  <c r="I7" i="26"/>
  <c r="H16" i="26"/>
  <c r="I16" i="26"/>
  <c r="H25" i="26"/>
  <c r="I25" i="26"/>
  <c r="H34" i="26"/>
  <c r="I34" i="26"/>
  <c r="C48" i="26"/>
  <c r="F48" i="26"/>
  <c r="B5" i="28"/>
  <c r="B4" i="29"/>
  <c r="D46" i="26"/>
  <c r="H5" i="26"/>
  <c r="I5" i="26"/>
  <c r="H14" i="26"/>
  <c r="F14" i="26"/>
  <c r="I14" i="26"/>
  <c r="H23" i="26"/>
  <c r="I23" i="26"/>
  <c r="H32" i="26"/>
  <c r="I32" i="26"/>
  <c r="C46" i="26"/>
  <c r="F46" i="26"/>
  <c r="B6" i="21"/>
  <c r="D47" i="26"/>
  <c r="H6" i="26"/>
  <c r="I6" i="26"/>
  <c r="H15" i="26"/>
  <c r="I15" i="26"/>
  <c r="H24" i="26"/>
  <c r="I24" i="26"/>
  <c r="H33" i="26"/>
  <c r="I33" i="26"/>
  <c r="C47" i="26"/>
  <c r="F47" i="26"/>
  <c r="G100" i="1"/>
  <c r="H27" i="1"/>
  <c r="D101" i="1"/>
  <c r="G6" i="2"/>
  <c r="E7" i="2"/>
  <c r="G7" i="2"/>
  <c r="G8" i="2"/>
  <c r="G9" i="2"/>
  <c r="G10" i="2"/>
  <c r="F83" i="2"/>
  <c r="H99" i="1"/>
  <c r="H6" i="2"/>
  <c r="I6" i="2"/>
  <c r="J6" i="2"/>
  <c r="H7" i="2"/>
  <c r="I7" i="2"/>
  <c r="J7" i="2"/>
  <c r="J10" i="2"/>
  <c r="F85" i="2"/>
  <c r="H83" i="1"/>
  <c r="H43" i="26"/>
  <c r="H42" i="26"/>
  <c r="H41" i="26"/>
  <c r="H39" i="26"/>
  <c r="H38" i="26"/>
  <c r="H37" i="26"/>
  <c r="H30" i="26"/>
  <c r="H29" i="26"/>
  <c r="H28" i="26"/>
  <c r="I42" i="26"/>
  <c r="F47" i="1"/>
  <c r="H47" i="1"/>
  <c r="I47" i="1"/>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F9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F97" i="2"/>
  <c r="G43" i="2"/>
  <c r="H31" i="2"/>
  <c r="H32" i="2"/>
  <c r="H33" i="2"/>
  <c r="H34" i="2"/>
  <c r="H35" i="2"/>
  <c r="H36" i="2"/>
  <c r="H37" i="2"/>
  <c r="H38" i="2"/>
  <c r="H39" i="2"/>
  <c r="H40" i="2"/>
  <c r="H41" i="2"/>
  <c r="H42" i="2"/>
  <c r="H43" i="2"/>
  <c r="F91" i="2"/>
  <c r="J31" i="2"/>
  <c r="J32" i="2"/>
  <c r="J33" i="2"/>
  <c r="J34" i="2"/>
  <c r="J35" i="2"/>
  <c r="J36" i="2"/>
  <c r="J37" i="2"/>
  <c r="J38" i="2"/>
  <c r="J39" i="2"/>
  <c r="J40" i="2"/>
  <c r="J41" i="2"/>
  <c r="J42" i="2"/>
  <c r="J43" i="2"/>
  <c r="F93" i="2"/>
  <c r="H13" i="27"/>
  <c r="H21" i="26"/>
  <c r="F21" i="26"/>
  <c r="I21" i="26"/>
  <c r="I30" i="26"/>
  <c r="I39" i="26"/>
  <c r="H12" i="26"/>
  <c r="I12" i="26"/>
  <c r="C53" i="26"/>
  <c r="F53" i="26"/>
  <c r="H11" i="26"/>
  <c r="I11" i="26"/>
  <c r="H20" i="26"/>
  <c r="F20" i="26"/>
  <c r="I20" i="26"/>
  <c r="I29" i="26"/>
  <c r="I38" i="26"/>
  <c r="C52" i="26"/>
  <c r="F52" i="26"/>
  <c r="H19" i="26"/>
  <c r="I19" i="26"/>
  <c r="I28" i="26"/>
  <c r="I37" i="26"/>
  <c r="H10" i="26"/>
  <c r="I10" i="26"/>
  <c r="C51" i="26"/>
  <c r="F51" i="26"/>
  <c r="H76" i="1"/>
  <c r="H78" i="1"/>
  <c r="H77" i="1"/>
  <c r="C23" i="31"/>
  <c r="D14" i="31"/>
  <c r="D13" i="31"/>
  <c r="D12" i="31"/>
  <c r="D11" i="31"/>
  <c r="D10" i="31"/>
  <c r="D9" i="31"/>
  <c r="D8" i="31"/>
  <c r="D7" i="31"/>
  <c r="D6" i="31"/>
  <c r="D5" i="31"/>
  <c r="D4" i="31"/>
  <c r="D3" i="31"/>
  <c r="H18" i="1"/>
  <c r="H19" i="1"/>
  <c r="B16" i="31"/>
  <c r="D15" i="31"/>
  <c r="B15" i="31"/>
  <c r="I104" i="1"/>
  <c r="I103" i="1"/>
  <c r="I102" i="1"/>
  <c r="F56" i="1"/>
  <c r="F55" i="1"/>
  <c r="F54" i="1"/>
  <c r="F3" i="27"/>
  <c r="E10" i="24"/>
  <c r="E11" i="24"/>
  <c r="E12" i="24"/>
  <c r="F12" i="24"/>
  <c r="E13" i="24"/>
  <c r="E15" i="24"/>
  <c r="F15" i="24"/>
  <c r="E16" i="24"/>
  <c r="E17" i="24"/>
  <c r="F17" i="24"/>
  <c r="E18" i="24"/>
  <c r="E20" i="24"/>
  <c r="F20" i="24"/>
  <c r="E22" i="24"/>
  <c r="E24" i="24"/>
  <c r="F24" i="24"/>
  <c r="E25" i="24"/>
  <c r="E26" i="24"/>
  <c r="F26" i="24"/>
  <c r="E22" i="28"/>
  <c r="F8" i="27"/>
  <c r="E24" i="28"/>
  <c r="E25" i="28"/>
  <c r="F9" i="27"/>
  <c r="E3" i="27"/>
  <c r="G10" i="25"/>
  <c r="G11" i="25"/>
  <c r="G12" i="25"/>
  <c r="G13" i="25"/>
  <c r="G3" i="27"/>
  <c r="G10" i="29"/>
  <c r="G11" i="29"/>
  <c r="H11" i="29"/>
  <c r="G12" i="29"/>
  <c r="G8" i="29"/>
  <c r="H8" i="29"/>
  <c r="G4" i="27"/>
  <c r="F4" i="27"/>
  <c r="E4" i="27"/>
  <c r="D3" i="27"/>
  <c r="D4" i="27"/>
  <c r="E13" i="22"/>
  <c r="F13" i="22"/>
  <c r="E12" i="22"/>
  <c r="B3" i="27"/>
  <c r="E12" i="21"/>
  <c r="F12" i="21"/>
  <c r="B4" i="27"/>
  <c r="G9" i="27"/>
  <c r="F52" i="1"/>
  <c r="C3" i="27"/>
  <c r="F51" i="1"/>
  <c r="F39" i="1"/>
  <c r="H39" i="1"/>
  <c r="F40" i="1"/>
  <c r="H40" i="1"/>
  <c r="H97" i="1"/>
  <c r="G98" i="1"/>
  <c r="L6" i="2"/>
  <c r="O6" i="2"/>
  <c r="L8" i="2"/>
  <c r="O8" i="2"/>
  <c r="L9" i="2"/>
  <c r="O9" i="2"/>
  <c r="L13" i="2"/>
  <c r="O13" i="2"/>
  <c r="L14" i="2"/>
  <c r="O14" i="2"/>
  <c r="L15" i="2"/>
  <c r="O15" i="2"/>
  <c r="L16" i="2"/>
  <c r="O16" i="2"/>
  <c r="L17" i="2"/>
  <c r="O17" i="2"/>
  <c r="L18" i="2"/>
  <c r="O18" i="2"/>
  <c r="L19" i="2"/>
  <c r="O19" i="2"/>
  <c r="L20" i="2"/>
  <c r="O20" i="2"/>
  <c r="L21" i="2"/>
  <c r="O21" i="2"/>
  <c r="L22" i="2"/>
  <c r="O22" i="2"/>
  <c r="L23" i="2"/>
  <c r="O23" i="2"/>
  <c r="L24" i="2"/>
  <c r="O24" i="2"/>
  <c r="L25" i="2"/>
  <c r="O25" i="2"/>
  <c r="L31" i="2"/>
  <c r="O31" i="2"/>
  <c r="L32" i="2"/>
  <c r="O32" i="2"/>
  <c r="L33" i="2"/>
  <c r="O33" i="2"/>
  <c r="L34" i="2"/>
  <c r="O34" i="2"/>
  <c r="L35" i="2"/>
  <c r="O35" i="2"/>
  <c r="L36" i="2"/>
  <c r="O36" i="2"/>
  <c r="L37" i="2"/>
  <c r="O37" i="2"/>
  <c r="L38" i="2"/>
  <c r="O38" i="2"/>
  <c r="L39" i="2"/>
  <c r="O39" i="2"/>
  <c r="L40" i="2"/>
  <c r="O40" i="2"/>
  <c r="L41" i="2"/>
  <c r="O41" i="2"/>
  <c r="L42" i="2"/>
  <c r="O42" i="2"/>
  <c r="L46" i="2"/>
  <c r="O46" i="2"/>
  <c r="L47" i="2"/>
  <c r="O47" i="2"/>
  <c r="L48" i="2"/>
  <c r="O48" i="2"/>
  <c r="L49" i="2"/>
  <c r="O49" i="2"/>
  <c r="L50" i="2"/>
  <c r="O50" i="2"/>
  <c r="L51" i="2"/>
  <c r="O51" i="2"/>
  <c r="L52" i="2"/>
  <c r="O52" i="2"/>
  <c r="L53" i="2"/>
  <c r="O53" i="2"/>
  <c r="L54" i="2"/>
  <c r="O54" i="2"/>
  <c r="L55" i="2"/>
  <c r="O55" i="2"/>
  <c r="L56" i="2"/>
  <c r="O56" i="2"/>
  <c r="L57" i="2"/>
  <c r="O57" i="2"/>
  <c r="L59" i="2"/>
  <c r="O59" i="2"/>
  <c r="L61" i="2"/>
  <c r="O61" i="2"/>
  <c r="L63" i="2"/>
  <c r="O63" i="2"/>
  <c r="L65" i="2"/>
  <c r="O65" i="2"/>
  <c r="L67" i="2"/>
  <c r="O67" i="2"/>
  <c r="L69" i="2"/>
  <c r="O69" i="2"/>
  <c r="L71" i="2"/>
  <c r="O71" i="2"/>
  <c r="L73" i="2"/>
  <c r="O73" i="2"/>
  <c r="G77" i="2"/>
  <c r="B82" i="1"/>
  <c r="O78" i="2"/>
  <c r="H88" i="1"/>
  <c r="I88" i="1"/>
  <c r="H8" i="2"/>
  <c r="E10" i="28"/>
  <c r="F10" i="28"/>
  <c r="E11" i="28"/>
  <c r="F11" i="28"/>
  <c r="E12" i="28"/>
  <c r="F12" i="28"/>
  <c r="E13" i="28"/>
  <c r="E15" i="28"/>
  <c r="F15" i="28"/>
  <c r="E16" i="28"/>
  <c r="E17" i="28"/>
  <c r="F17" i="28"/>
  <c r="E18" i="28"/>
  <c r="E20" i="28"/>
  <c r="E26" i="28"/>
  <c r="F26" i="28"/>
  <c r="F25" i="24"/>
  <c r="G13" i="29"/>
  <c r="G15" i="29"/>
  <c r="H15" i="29"/>
  <c r="G16" i="29"/>
  <c r="G18" i="29"/>
  <c r="G20" i="29"/>
  <c r="G21" i="29"/>
  <c r="H21" i="29"/>
  <c r="G22" i="29"/>
  <c r="G8" i="25"/>
  <c r="H11" i="25"/>
  <c r="H13" i="25"/>
  <c r="G15" i="25"/>
  <c r="H15" i="25"/>
  <c r="G16" i="25"/>
  <c r="H16" i="25"/>
  <c r="E18" i="25"/>
  <c r="G18" i="25"/>
  <c r="F19" i="25"/>
  <c r="G19" i="25"/>
  <c r="E9" i="27"/>
  <c r="G20" i="25"/>
  <c r="E21" i="25"/>
  <c r="G21" i="25"/>
  <c r="G22" i="25"/>
  <c r="H22" i="25"/>
  <c r="G23" i="25"/>
  <c r="G24" i="25"/>
  <c r="H24" i="25"/>
  <c r="H3" i="27"/>
  <c r="E30" i="24"/>
  <c r="D8" i="27"/>
  <c r="E31" i="24"/>
  <c r="E32" i="24"/>
  <c r="F32" i="24"/>
  <c r="E33" i="24"/>
  <c r="F33" i="24"/>
  <c r="E26" i="22"/>
  <c r="E27" i="22"/>
  <c r="E28" i="22"/>
  <c r="E29" i="22"/>
  <c r="F29" i="22"/>
  <c r="E9" i="22"/>
  <c r="E10" i="22"/>
  <c r="E14" i="22"/>
  <c r="E15" i="22"/>
  <c r="E16" i="22"/>
  <c r="E18" i="22"/>
  <c r="E19" i="22"/>
  <c r="E20" i="22"/>
  <c r="E21" i="22"/>
  <c r="E22" i="22"/>
  <c r="E23" i="22"/>
  <c r="F23" i="22"/>
  <c r="F15" i="22"/>
  <c r="F16" i="22"/>
  <c r="C8" i="27"/>
  <c r="C9" i="27"/>
  <c r="F20" i="22"/>
  <c r="F22" i="22"/>
  <c r="E25" i="21"/>
  <c r="E9" i="21"/>
  <c r="E10" i="21"/>
  <c r="E13" i="21"/>
  <c r="E14" i="21"/>
  <c r="F14" i="21"/>
  <c r="E15" i="21"/>
  <c r="E16" i="21"/>
  <c r="F16" i="21"/>
  <c r="E18" i="21"/>
  <c r="E19" i="21"/>
  <c r="F19" i="21"/>
  <c r="E20" i="21"/>
  <c r="E30" i="21"/>
  <c r="E21" i="21"/>
  <c r="E22" i="21"/>
  <c r="F22" i="21"/>
  <c r="E23" i="21"/>
  <c r="E24" i="21"/>
  <c r="E29" i="21"/>
  <c r="B8" i="27"/>
  <c r="E31" i="21"/>
  <c r="F31" i="21"/>
  <c r="E32" i="21"/>
  <c r="C4" i="27"/>
  <c r="H15" i="27"/>
  <c r="H59" i="1"/>
  <c r="I59" i="1"/>
  <c r="F64" i="1"/>
  <c r="H64" i="1"/>
  <c r="I64" i="1"/>
  <c r="F63" i="1"/>
  <c r="H63" i="1"/>
  <c r="I63" i="1"/>
  <c r="G28" i="2"/>
  <c r="H13" i="2"/>
  <c r="H14" i="2"/>
  <c r="H15" i="2"/>
  <c r="H16" i="2"/>
  <c r="H17" i="2"/>
  <c r="H18" i="2"/>
  <c r="H19" i="2"/>
  <c r="H20" i="2"/>
  <c r="H21" i="2"/>
  <c r="H22" i="2"/>
  <c r="H23" i="2"/>
  <c r="H24" i="2"/>
  <c r="H25" i="2"/>
  <c r="I81" i="1"/>
  <c r="H81" i="1"/>
  <c r="H22" i="1"/>
  <c r="F53" i="1"/>
  <c r="H10" i="29"/>
  <c r="H12" i="29"/>
  <c r="H13" i="29"/>
  <c r="H16" i="29"/>
  <c r="H19" i="29"/>
  <c r="H20" i="29"/>
  <c r="H22" i="29"/>
  <c r="G97" i="1"/>
  <c r="B10" i="1"/>
  <c r="L27" i="2"/>
  <c r="O27" i="2"/>
  <c r="J27" i="2"/>
  <c r="H27" i="2"/>
  <c r="L26" i="2"/>
  <c r="O26" i="2"/>
  <c r="J26" i="2"/>
  <c r="H26" i="2"/>
  <c r="I43" i="26"/>
  <c r="F48" i="1"/>
  <c r="H48" i="1"/>
  <c r="I48" i="1"/>
  <c r="I77" i="1"/>
  <c r="I76" i="1"/>
  <c r="I66" i="1"/>
  <c r="J16" i="2"/>
  <c r="J13" i="2"/>
  <c r="J14" i="2"/>
  <c r="J15" i="2"/>
  <c r="J19" i="2"/>
  <c r="J20" i="2"/>
  <c r="J21" i="2"/>
  <c r="J22" i="2"/>
  <c r="J23" i="2"/>
  <c r="J17" i="2"/>
  <c r="J18" i="2"/>
  <c r="J24" i="2"/>
  <c r="J25" i="2"/>
  <c r="G99" i="1"/>
  <c r="I100" i="1"/>
  <c r="I101" i="1"/>
  <c r="B90" i="1"/>
  <c r="B89" i="1"/>
  <c r="B88" i="1"/>
  <c r="B87" i="1"/>
  <c r="B86" i="1"/>
  <c r="B85" i="1"/>
  <c r="B84" i="1"/>
  <c r="B83" i="1"/>
  <c r="F44" i="1"/>
  <c r="H44" i="1"/>
  <c r="I44" i="1"/>
  <c r="I41" i="26"/>
  <c r="F46" i="1"/>
  <c r="H46" i="1"/>
  <c r="I46" i="1"/>
  <c r="H62" i="1"/>
  <c r="F67" i="1"/>
  <c r="H67" i="1"/>
  <c r="I67" i="1"/>
  <c r="F68" i="1"/>
  <c r="H68" i="1"/>
  <c r="I68" i="1"/>
  <c r="I85" i="20"/>
  <c r="G82" i="20"/>
  <c r="I82" i="20"/>
  <c r="G83" i="20"/>
  <c r="I83" i="20"/>
  <c r="I84" i="20"/>
  <c r="J84" i="20"/>
  <c r="F73" i="1"/>
  <c r="H73" i="1"/>
  <c r="I73" i="1"/>
  <c r="F37" i="1"/>
  <c r="H37" i="1"/>
  <c r="I37" i="1"/>
  <c r="H57" i="1"/>
  <c r="I57" i="1"/>
  <c r="F49" i="1"/>
  <c r="H49" i="1"/>
  <c r="I49" i="1"/>
  <c r="H65" i="1"/>
  <c r="I65" i="1"/>
  <c r="H69" i="1"/>
  <c r="I69" i="1"/>
  <c r="H70" i="1"/>
  <c r="I70" i="1"/>
  <c r="H71" i="1"/>
  <c r="H72" i="1"/>
  <c r="I72" i="1"/>
  <c r="H5" i="16"/>
  <c r="I5" i="16"/>
  <c r="I6" i="16"/>
  <c r="I7" i="16"/>
  <c r="I8" i="16"/>
  <c r="I4" i="16"/>
  <c r="I9" i="16"/>
  <c r="I10" i="16"/>
  <c r="I11" i="16"/>
  <c r="I12" i="16"/>
  <c r="G74" i="1"/>
  <c r="H74" i="1"/>
  <c r="I74" i="1"/>
  <c r="H75" i="1"/>
  <c r="F23" i="21"/>
  <c r="F24" i="21"/>
  <c r="H28" i="20"/>
  <c r="H20" i="25"/>
  <c r="H23" i="25"/>
  <c r="H21" i="25"/>
  <c r="H12" i="25"/>
  <c r="H10" i="25"/>
  <c r="F30" i="24"/>
  <c r="F22" i="24"/>
  <c r="F18" i="24"/>
  <c r="F16" i="24"/>
  <c r="F13" i="24"/>
  <c r="F11" i="24"/>
  <c r="F26" i="22"/>
  <c r="F28" i="22"/>
  <c r="F21" i="22"/>
  <c r="F19" i="22"/>
  <c r="F14" i="22"/>
  <c r="F12" i="22"/>
  <c r="F9" i="22"/>
  <c r="F8" i="22"/>
  <c r="F30" i="21"/>
  <c r="F32" i="21"/>
  <c r="F25" i="21"/>
  <c r="F21" i="21"/>
  <c r="F20" i="21"/>
  <c r="F18" i="21"/>
  <c r="F15" i="21"/>
  <c r="F13" i="21"/>
  <c r="F10" i="21"/>
  <c r="F9" i="21"/>
  <c r="F8" i="21"/>
  <c r="J35" i="20"/>
  <c r="K35" i="20"/>
  <c r="J55" i="20"/>
  <c r="K55" i="20"/>
  <c r="J69" i="20"/>
  <c r="K69" i="20"/>
  <c r="J13" i="20"/>
  <c r="K13" i="20"/>
  <c r="J37" i="20"/>
  <c r="K37" i="20"/>
  <c r="J57" i="20"/>
  <c r="K57" i="20"/>
  <c r="J71" i="20"/>
  <c r="K71" i="20"/>
  <c r="J70" i="20"/>
  <c r="K70" i="20"/>
  <c r="J34" i="20"/>
  <c r="K34" i="20"/>
  <c r="J54" i="20"/>
  <c r="K54" i="20"/>
  <c r="M4" i="20"/>
  <c r="O4" i="20"/>
  <c r="J10" i="20"/>
  <c r="K10" i="20"/>
  <c r="J33" i="20"/>
  <c r="K33" i="20"/>
  <c r="J53" i="20"/>
  <c r="K53" i="20"/>
  <c r="J68" i="20"/>
  <c r="K68" i="20"/>
  <c r="J83" i="20"/>
  <c r="K83" i="20"/>
  <c r="J82" i="20"/>
  <c r="K82" i="20"/>
  <c r="J76" i="20"/>
  <c r="K76" i="20"/>
  <c r="J75" i="20"/>
  <c r="K75" i="20"/>
  <c r="J74" i="20"/>
  <c r="K74" i="20"/>
  <c r="J73" i="20"/>
  <c r="K73" i="20"/>
  <c r="J72" i="20"/>
  <c r="K72" i="20"/>
  <c r="J62" i="20"/>
  <c r="K62" i="20"/>
  <c r="J61" i="20"/>
  <c r="K61" i="20"/>
  <c r="J60" i="20"/>
  <c r="K60" i="20"/>
  <c r="J59" i="20"/>
  <c r="K59" i="20"/>
  <c r="J58" i="20"/>
  <c r="K58" i="20"/>
  <c r="J56" i="20"/>
  <c r="K56" i="20"/>
  <c r="J47" i="20"/>
  <c r="K47" i="20"/>
  <c r="J46" i="20"/>
  <c r="K46" i="20"/>
  <c r="J45" i="20"/>
  <c r="K45" i="20"/>
  <c r="J44" i="20"/>
  <c r="K44" i="20"/>
  <c r="J43" i="20"/>
  <c r="K43" i="20"/>
  <c r="J42" i="20"/>
  <c r="K42" i="20"/>
  <c r="J41" i="20"/>
  <c r="K41" i="20"/>
  <c r="J40" i="20"/>
  <c r="K40" i="20"/>
  <c r="J39" i="20"/>
  <c r="K39" i="20"/>
  <c r="J38" i="20"/>
  <c r="K38" i="20"/>
  <c r="J36" i="20"/>
  <c r="K36" i="20"/>
  <c r="J11" i="20"/>
  <c r="K11" i="20"/>
  <c r="M3" i="20"/>
  <c r="O3" i="20"/>
  <c r="J12" i="20"/>
  <c r="K12" i="20"/>
  <c r="J14" i="20"/>
  <c r="K14" i="20"/>
  <c r="J15" i="20"/>
  <c r="K15" i="20"/>
  <c r="J16" i="20"/>
  <c r="K16" i="20"/>
  <c r="J17" i="20"/>
  <c r="K17" i="20"/>
  <c r="J18" i="20"/>
  <c r="K18" i="20"/>
  <c r="J19" i="20"/>
  <c r="K19" i="20"/>
  <c r="J20" i="20"/>
  <c r="K20" i="20"/>
  <c r="J21" i="20"/>
  <c r="K21" i="20"/>
  <c r="J22" i="20"/>
  <c r="K22" i="20"/>
  <c r="J23" i="20"/>
  <c r="K23" i="20"/>
  <c r="J24" i="20"/>
  <c r="K24" i="20"/>
  <c r="J25" i="20"/>
  <c r="K25" i="20"/>
  <c r="J26" i="20"/>
  <c r="K26" i="20"/>
  <c r="J27" i="20"/>
  <c r="K27" i="20"/>
  <c r="F13" i="20"/>
  <c r="G4" i="20"/>
  <c r="G5" i="20"/>
  <c r="G6" i="20"/>
  <c r="G3" i="20"/>
  <c r="I49" i="20"/>
  <c r="I29" i="20"/>
  <c r="G27" i="20"/>
  <c r="I27" i="20"/>
  <c r="G26" i="20"/>
  <c r="I26" i="20"/>
  <c r="G25" i="20"/>
  <c r="I25" i="20"/>
  <c r="G24" i="20"/>
  <c r="I24" i="20"/>
  <c r="G23" i="20"/>
  <c r="I23" i="20"/>
  <c r="G22" i="20"/>
  <c r="G21" i="20"/>
  <c r="I21" i="20"/>
  <c r="G20" i="20"/>
  <c r="I20" i="20"/>
  <c r="G19" i="20"/>
  <c r="I19" i="20"/>
  <c r="G18" i="20"/>
  <c r="G17" i="20"/>
  <c r="I17" i="20"/>
  <c r="G16" i="20"/>
  <c r="I16" i="20"/>
  <c r="G12" i="20"/>
  <c r="I12" i="20"/>
  <c r="G11" i="20"/>
  <c r="G10" i="20"/>
  <c r="I10" i="20"/>
  <c r="G47" i="20"/>
  <c r="I47" i="20"/>
  <c r="G46" i="20"/>
  <c r="I46" i="20"/>
  <c r="G45" i="20"/>
  <c r="G44" i="20"/>
  <c r="I44" i="20"/>
  <c r="G43" i="20"/>
  <c r="I43" i="20"/>
  <c r="G42" i="20"/>
  <c r="G36" i="20"/>
  <c r="I36" i="20"/>
  <c r="G35" i="20"/>
  <c r="I35" i="20"/>
  <c r="G34" i="20"/>
  <c r="I34" i="20"/>
  <c r="G33" i="20"/>
  <c r="I33" i="20"/>
  <c r="G62" i="20"/>
  <c r="G61" i="20"/>
  <c r="I61" i="20"/>
  <c r="G60" i="20"/>
  <c r="I60" i="20"/>
  <c r="G59" i="20"/>
  <c r="I59" i="20"/>
  <c r="G56" i="20"/>
  <c r="G55" i="20"/>
  <c r="G54" i="20"/>
  <c r="G53" i="20"/>
  <c r="I53" i="20"/>
  <c r="G76" i="20"/>
  <c r="I76" i="20"/>
  <c r="G75" i="20"/>
  <c r="I75" i="20"/>
  <c r="G74" i="20"/>
  <c r="I74" i="20"/>
  <c r="G69" i="20"/>
  <c r="I69" i="20"/>
  <c r="G68" i="20"/>
  <c r="I68" i="20"/>
  <c r="I54" i="20"/>
  <c r="I55" i="20"/>
  <c r="I56" i="20"/>
  <c r="I62" i="20"/>
  <c r="I42" i="20"/>
  <c r="I45" i="20"/>
  <c r="I11" i="20"/>
  <c r="I18" i="20"/>
  <c r="I22" i="20"/>
  <c r="B81" i="1"/>
  <c r="I75" i="1"/>
  <c r="E51" i="3"/>
  <c r="F51" i="3"/>
  <c r="G51" i="3"/>
  <c r="H16" i="3"/>
  <c r="H51" i="3"/>
  <c r="I51" i="3"/>
  <c r="G17" i="3"/>
  <c r="J16" i="3"/>
  <c r="K17" i="3"/>
  <c r="G16" i="3"/>
  <c r="G18" i="3"/>
  <c r="K18" i="3"/>
  <c r="G19" i="3"/>
  <c r="G20" i="3"/>
  <c r="G21" i="3"/>
  <c r="G22" i="3"/>
  <c r="H22" i="3"/>
  <c r="I22" i="3"/>
  <c r="J22" i="3"/>
  <c r="J24" i="3"/>
  <c r="G23" i="3"/>
  <c r="G24" i="3"/>
  <c r="H24" i="3"/>
  <c r="I24" i="3"/>
  <c r="K24" i="3"/>
  <c r="G25" i="3"/>
  <c r="G26" i="3"/>
  <c r="G27" i="3"/>
  <c r="G47" i="3"/>
  <c r="G46" i="3"/>
  <c r="G48" i="3"/>
  <c r="G42" i="3"/>
  <c r="E9" i="3"/>
  <c r="F9" i="3"/>
  <c r="F10" i="3"/>
  <c r="F11" i="3"/>
  <c r="F12" i="3"/>
  <c r="H10" i="3"/>
  <c r="J10" i="3"/>
  <c r="K10" i="3"/>
  <c r="H11" i="3"/>
  <c r="E11" i="3"/>
  <c r="G11" i="3"/>
  <c r="I11" i="3"/>
  <c r="J11" i="3"/>
  <c r="K11" i="3"/>
  <c r="L11" i="3"/>
  <c r="H12" i="3"/>
  <c r="J12" i="3"/>
  <c r="K12" i="3"/>
  <c r="E12" i="16"/>
  <c r="B117" i="1"/>
  <c r="H47" i="3"/>
  <c r="I47" i="3"/>
  <c r="K47" i="3"/>
  <c r="K46" i="3"/>
  <c r="K19" i="3"/>
  <c r="H19" i="3"/>
  <c r="I19" i="3"/>
  <c r="K20" i="3"/>
  <c r="K21" i="3"/>
  <c r="H21" i="3"/>
  <c r="I21" i="3"/>
  <c r="K23" i="3"/>
  <c r="K25" i="3"/>
  <c r="K26" i="3"/>
  <c r="K27" i="3"/>
  <c r="J61" i="3"/>
  <c r="J62" i="3"/>
  <c r="J63" i="3"/>
  <c r="J64" i="3"/>
  <c r="J65" i="3"/>
  <c r="AA61" i="3"/>
  <c r="AA62" i="3"/>
  <c r="AA63" i="3"/>
  <c r="AA64" i="3"/>
  <c r="H32" i="3"/>
  <c r="H36" i="3"/>
  <c r="I36" i="3"/>
  <c r="J36" i="3"/>
  <c r="H37" i="3"/>
  <c r="I37" i="3"/>
  <c r="J37" i="3"/>
  <c r="H38" i="3"/>
  <c r="I38" i="3"/>
  <c r="J38" i="3"/>
  <c r="K51" i="3"/>
  <c r="I78" i="1"/>
  <c r="AA60" i="3"/>
  <c r="H9" i="2"/>
  <c r="L43" i="2"/>
  <c r="I71" i="1"/>
  <c r="E12" i="3"/>
  <c r="G12" i="3"/>
  <c r="I12" i="3"/>
  <c r="L12" i="3"/>
  <c r="E10" i="3"/>
  <c r="G10" i="3"/>
  <c r="I10" i="3"/>
  <c r="L10" i="3"/>
  <c r="F38" i="20"/>
  <c r="F58" i="20"/>
  <c r="G58" i="20"/>
  <c r="I58" i="20"/>
  <c r="F39" i="20"/>
  <c r="G15" i="20"/>
  <c r="I15" i="20"/>
  <c r="F41" i="20"/>
  <c r="G41" i="20"/>
  <c r="I41" i="20"/>
  <c r="G13" i="20"/>
  <c r="I13" i="20"/>
  <c r="F37" i="20"/>
  <c r="F57" i="20"/>
  <c r="G57" i="20"/>
  <c r="I57" i="20"/>
  <c r="I64" i="20"/>
  <c r="I63" i="20"/>
  <c r="G38" i="20"/>
  <c r="I38" i="20"/>
  <c r="G14" i="20"/>
  <c r="I14" i="20"/>
  <c r="F40" i="20"/>
  <c r="G40" i="20"/>
  <c r="I40" i="20"/>
  <c r="F73" i="20"/>
  <c r="G73" i="20"/>
  <c r="I73" i="20"/>
  <c r="I62" i="1"/>
  <c r="F25" i="28"/>
  <c r="F22" i="28"/>
  <c r="F18" i="28"/>
  <c r="F16" i="28"/>
  <c r="F13" i="28"/>
  <c r="I99" i="1"/>
  <c r="F115" i="1"/>
  <c r="G28" i="3"/>
  <c r="I78" i="20"/>
  <c r="H4" i="27"/>
  <c r="I40" i="1"/>
  <c r="M5" i="20"/>
  <c r="O5" i="20"/>
  <c r="G9" i="3"/>
  <c r="G13" i="3"/>
  <c r="G52" i="3"/>
  <c r="M6" i="20"/>
  <c r="O6" i="20"/>
  <c r="F58" i="1"/>
  <c r="B14" i="27"/>
  <c r="F60" i="1"/>
  <c r="D14" i="27"/>
  <c r="C14" i="27"/>
  <c r="F14" i="27"/>
  <c r="G14" i="27"/>
  <c r="L22" i="3"/>
  <c r="E34" i="24"/>
  <c r="F31" i="24"/>
  <c r="E14" i="27"/>
  <c r="I16" i="3"/>
  <c r="F20" i="28"/>
  <c r="F24" i="28"/>
  <c r="L28" i="2"/>
  <c r="J27" i="3"/>
  <c r="J26" i="3"/>
  <c r="H26" i="3"/>
  <c r="I26" i="3"/>
  <c r="L26" i="3"/>
  <c r="J25" i="3"/>
  <c r="J23" i="3"/>
  <c r="H23" i="3"/>
  <c r="I23" i="3"/>
  <c r="L23" i="3"/>
  <c r="H20" i="3"/>
  <c r="I20" i="3"/>
  <c r="H46" i="3"/>
  <c r="I46" i="3"/>
  <c r="J47" i="3"/>
  <c r="L47" i="3"/>
  <c r="H18" i="3"/>
  <c r="I18" i="3"/>
  <c r="J18" i="3"/>
  <c r="L18" i="3"/>
  <c r="H17" i="3"/>
  <c r="I17" i="3"/>
  <c r="J17" i="3"/>
  <c r="L17" i="3"/>
  <c r="F18" i="22"/>
  <c r="F10" i="22"/>
  <c r="H19" i="25"/>
  <c r="H8" i="25"/>
  <c r="H31" i="3"/>
  <c r="H39" i="3"/>
  <c r="I39" i="3"/>
  <c r="J34" i="3"/>
  <c r="H14" i="27"/>
  <c r="J31" i="3"/>
  <c r="J39" i="3"/>
  <c r="L39" i="3"/>
  <c r="F34" i="24"/>
  <c r="I28" i="20"/>
  <c r="J28" i="20"/>
  <c r="L38" i="3"/>
  <c r="L37" i="3"/>
  <c r="L36" i="3"/>
  <c r="I39" i="1"/>
  <c r="J19" i="3"/>
  <c r="L19" i="3"/>
  <c r="M2" i="20"/>
  <c r="O2" i="20"/>
  <c r="F41" i="1"/>
  <c r="H41" i="1"/>
  <c r="F43" i="1"/>
  <c r="H43" i="1"/>
  <c r="I43" i="1"/>
  <c r="E8" i="27"/>
  <c r="H18" i="25"/>
  <c r="H25" i="25"/>
  <c r="L72" i="2"/>
  <c r="O72" i="2"/>
  <c r="L70" i="2"/>
  <c r="O70" i="2"/>
  <c r="L68" i="2"/>
  <c r="O68" i="2"/>
  <c r="L66" i="2"/>
  <c r="O66" i="2"/>
  <c r="L64" i="2"/>
  <c r="O64" i="2"/>
  <c r="L62" i="2"/>
  <c r="O62" i="2"/>
  <c r="L60" i="2"/>
  <c r="O60" i="2"/>
  <c r="L58" i="2"/>
  <c r="O28" i="2"/>
  <c r="L7" i="2"/>
  <c r="E27" i="24"/>
  <c r="F10" i="24"/>
  <c r="H34" i="3"/>
  <c r="I34" i="3"/>
  <c r="L34" i="3"/>
  <c r="E27" i="28"/>
  <c r="F70" i="20"/>
  <c r="G70" i="20"/>
  <c r="I70" i="20"/>
  <c r="G37" i="20"/>
  <c r="I37" i="20"/>
  <c r="I48" i="20"/>
  <c r="J51" i="3"/>
  <c r="J21" i="3"/>
  <c r="L21" i="3"/>
  <c r="J20" i="3"/>
  <c r="L20" i="3"/>
  <c r="F45" i="1"/>
  <c r="H45" i="1"/>
  <c r="I45" i="1"/>
  <c r="H28" i="2"/>
  <c r="F87" i="2"/>
  <c r="E30" i="22"/>
  <c r="E31" i="22"/>
  <c r="F27" i="22"/>
  <c r="F30" i="22"/>
  <c r="G25" i="25"/>
  <c r="B5" i="25"/>
  <c r="E5" i="27"/>
  <c r="G8" i="27"/>
  <c r="H8" i="27"/>
  <c r="H58" i="1"/>
  <c r="H18" i="29"/>
  <c r="H23" i="29"/>
  <c r="L77" i="2"/>
  <c r="O77" i="2"/>
  <c r="O7" i="2"/>
  <c r="O10" i="2"/>
  <c r="O58" i="2"/>
  <c r="O74" i="2"/>
  <c r="O43" i="2"/>
  <c r="O80" i="2"/>
  <c r="F99" i="2"/>
  <c r="F101" i="2"/>
  <c r="H87" i="1"/>
  <c r="I87" i="1"/>
  <c r="F42" i="1"/>
  <c r="H42" i="1"/>
  <c r="I42" i="1"/>
  <c r="I97" i="1"/>
  <c r="B9" i="27"/>
  <c r="E26" i="21"/>
  <c r="F26" i="21"/>
  <c r="D9" i="27"/>
  <c r="I98" i="1"/>
  <c r="F35" i="1"/>
  <c r="H35" i="1"/>
  <c r="I35" i="1"/>
  <c r="G23" i="29"/>
  <c r="B5" i="29"/>
  <c r="G5" i="27"/>
  <c r="H9" i="27"/>
  <c r="H60" i="1"/>
  <c r="I105" i="1"/>
  <c r="B6" i="28"/>
  <c r="F5" i="27"/>
  <c r="F27" i="28"/>
  <c r="F27" i="24"/>
  <c r="E35" i="24"/>
  <c r="L74" i="2"/>
  <c r="F61" i="1"/>
  <c r="H61" i="1"/>
  <c r="I61" i="1"/>
  <c r="G80" i="2"/>
  <c r="L10" i="2"/>
  <c r="L80" i="2"/>
  <c r="B6" i="24"/>
  <c r="D5" i="27"/>
  <c r="D6" i="27"/>
  <c r="F35" i="24"/>
  <c r="F89" i="1"/>
  <c r="H89" i="1"/>
  <c r="I89" i="1"/>
  <c r="D10" i="27"/>
  <c r="D11" i="27"/>
  <c r="G53" i="1"/>
  <c r="H53" i="1"/>
  <c r="I53" i="1"/>
  <c r="B18" i="31"/>
  <c r="B17" i="31"/>
  <c r="G6" i="27"/>
  <c r="G10" i="27"/>
  <c r="G11" i="27"/>
  <c r="G56" i="1"/>
  <c r="H56" i="1"/>
  <c r="I56" i="1"/>
  <c r="H115" i="1"/>
  <c r="G115" i="1"/>
  <c r="L52" i="3"/>
  <c r="F10" i="27"/>
  <c r="F11" i="27"/>
  <c r="G54" i="1"/>
  <c r="H54" i="1"/>
  <c r="I54" i="1"/>
  <c r="F6" i="27"/>
  <c r="G60" i="1"/>
  <c r="I60" i="1"/>
  <c r="I58" i="1"/>
  <c r="G58" i="1"/>
  <c r="E6" i="27"/>
  <c r="E10" i="27"/>
  <c r="E11" i="27"/>
  <c r="G55" i="1"/>
  <c r="H55" i="1"/>
  <c r="I55" i="1"/>
  <c r="B7" i="22"/>
  <c r="C5" i="27"/>
  <c r="F31" i="22"/>
  <c r="I83" i="1"/>
  <c r="I41" i="1"/>
  <c r="H38" i="1"/>
  <c r="I38" i="1"/>
  <c r="G39" i="20"/>
  <c r="I39" i="20"/>
  <c r="F72" i="20"/>
  <c r="G72" i="20"/>
  <c r="I72" i="20"/>
  <c r="I32" i="3"/>
  <c r="H40" i="3"/>
  <c r="I40" i="3"/>
  <c r="I48" i="3"/>
  <c r="L24" i="3"/>
  <c r="J32" i="3"/>
  <c r="I31" i="3"/>
  <c r="L16" i="3"/>
  <c r="J35" i="3"/>
  <c r="J33" i="3"/>
  <c r="H85" i="1"/>
  <c r="I85" i="1"/>
  <c r="I9" i="3"/>
  <c r="F71" i="20"/>
  <c r="G71" i="20"/>
  <c r="I71" i="20"/>
  <c r="I77" i="20"/>
  <c r="J77" i="20"/>
  <c r="J66" i="3"/>
  <c r="F68" i="3"/>
  <c r="J46" i="3"/>
  <c r="L46" i="3"/>
  <c r="H27" i="3"/>
  <c r="H25" i="3"/>
  <c r="J28" i="2"/>
  <c r="F89" i="2"/>
  <c r="F34" i="1"/>
  <c r="H34" i="1"/>
  <c r="I34" i="1"/>
  <c r="F36" i="1"/>
  <c r="H36" i="1"/>
  <c r="I36" i="1"/>
  <c r="F29" i="21"/>
  <c r="E33" i="21"/>
  <c r="H84" i="1"/>
  <c r="I84" i="1"/>
  <c r="F103" i="2"/>
  <c r="F82" i="1"/>
  <c r="H82" i="1"/>
  <c r="I25" i="3"/>
  <c r="H33" i="3"/>
  <c r="L31" i="3"/>
  <c r="J40" i="3"/>
  <c r="L40" i="3"/>
  <c r="L32" i="3"/>
  <c r="C10" i="27"/>
  <c r="C11" i="27"/>
  <c r="G52" i="1"/>
  <c r="H52" i="1"/>
  <c r="I52" i="1"/>
  <c r="C6" i="27"/>
  <c r="E34" i="21"/>
  <c r="F33" i="21"/>
  <c r="I27" i="3"/>
  <c r="L27" i="3"/>
  <c r="H35" i="3"/>
  <c r="I35" i="3"/>
  <c r="L35" i="3"/>
  <c r="L9" i="3"/>
  <c r="I13" i="3"/>
  <c r="J41" i="3"/>
  <c r="H86" i="1"/>
  <c r="I86" i="1"/>
  <c r="I33" i="3"/>
  <c r="H41" i="3"/>
  <c r="I41" i="3"/>
  <c r="L41" i="3"/>
  <c r="H90" i="1"/>
  <c r="F117" i="1"/>
  <c r="I82" i="1"/>
  <c r="I90" i="1"/>
  <c r="G16" i="27"/>
  <c r="E16" i="27"/>
  <c r="B16" i="27"/>
  <c r="D16" i="27"/>
  <c r="F16" i="27"/>
  <c r="C16" i="27"/>
  <c r="B7" i="21"/>
  <c r="B5" i="27"/>
  <c r="F34" i="21"/>
  <c r="L25" i="3"/>
  <c r="I28" i="3"/>
  <c r="B10" i="27"/>
  <c r="H5" i="27"/>
  <c r="B6" i="27"/>
  <c r="G18" i="27"/>
  <c r="G19" i="27"/>
  <c r="G17" i="27"/>
  <c r="H117" i="1"/>
  <c r="G117" i="1"/>
  <c r="I42" i="3"/>
  <c r="I52" i="3"/>
  <c r="L33" i="3"/>
  <c r="F17" i="27"/>
  <c r="F18" i="27"/>
  <c r="F19" i="27"/>
  <c r="B17" i="27"/>
  <c r="B18" i="27"/>
  <c r="H16" i="27"/>
  <c r="C18" i="27"/>
  <c r="C19" i="27"/>
  <c r="C17" i="27"/>
  <c r="D17" i="27"/>
  <c r="D18" i="27"/>
  <c r="D19" i="27"/>
  <c r="E17" i="27"/>
  <c r="E18" i="27"/>
  <c r="E19" i="27"/>
  <c r="B19" i="27"/>
  <c r="H18" i="27"/>
  <c r="H10" i="27"/>
  <c r="B11" i="27"/>
  <c r="G51" i="1"/>
  <c r="H51" i="1"/>
  <c r="H11" i="27"/>
  <c r="H50" i="1"/>
  <c r="I51" i="1"/>
  <c r="F120" i="1"/>
  <c r="H79" i="1"/>
  <c r="I50" i="1"/>
  <c r="F114" i="1"/>
  <c r="I79" i="1"/>
  <c r="H120" i="1"/>
  <c r="F122" i="1"/>
  <c r="G120" i="1"/>
  <c r="H122" i="1"/>
  <c r="G122" i="1"/>
  <c r="H123" i="1"/>
  <c r="G123" i="1"/>
  <c r="F116" i="1"/>
  <c r="G114" i="1"/>
  <c r="H114" i="1"/>
  <c r="H116" i="1"/>
  <c r="G116" i="1"/>
  <c r="G124" i="1"/>
  <c r="H124" i="1"/>
  <c r="G118" i="1"/>
  <c r="H118" i="1"/>
</calcChain>
</file>

<file path=xl/comments1.xml><?xml version="1.0" encoding="utf-8"?>
<comments xmlns="http://schemas.openxmlformats.org/spreadsheetml/2006/main">
  <authors>
    <author>Curt Lacy</author>
  </authors>
  <commentList>
    <comment ref="B70" authorId="0">
      <text>
        <r>
          <rPr>
            <b/>
            <sz val="8"/>
            <color indexed="81"/>
            <rFont val="Tahoma"/>
            <family val="2"/>
          </rPr>
          <t>Use this item for leases lasting less than one year.  Leases longer than this should be included in the Fixed Cost section</t>
        </r>
      </text>
    </comment>
    <comment ref="B71" authorId="0">
      <text>
        <r>
          <rPr>
            <b/>
            <sz val="8"/>
            <color indexed="81"/>
            <rFont val="Tahoma"/>
            <family val="2"/>
          </rPr>
          <t>Use this item for leases lasting less than one year.  Leases longer than this should be included in the Fixed Cost section</t>
        </r>
      </text>
    </comment>
  </commentList>
</comments>
</file>

<file path=xl/sharedStrings.xml><?xml version="1.0" encoding="utf-8"?>
<sst xmlns="http://schemas.openxmlformats.org/spreadsheetml/2006/main" count="1461" uniqueCount="745">
  <si>
    <t xml:space="preserve"> </t>
  </si>
  <si>
    <t>CALVING INTERVAL IN MONTHS</t>
  </si>
  <si>
    <t>NUMBER OF LACTATIONS PER YEAR</t>
  </si>
  <si>
    <t>AVERAGE BUTTERFAT TEST (PERCENT)</t>
  </si>
  <si>
    <t>COW CULLING RATE, FRACTION</t>
  </si>
  <si>
    <t>COW DEATH LOSS, FRACTION</t>
  </si>
  <si>
    <t>BULL CALF DEATH LOSS (1ST 3 DAYS)</t>
  </si>
  <si>
    <t>DRY HERD</t>
  </si>
  <si>
    <t>HEIFERS</t>
  </si>
  <si>
    <t>QUANTITY</t>
  </si>
  <si>
    <t>PRICE</t>
  </si>
  <si>
    <t>AMOUNT</t>
  </si>
  <si>
    <t>VARIABLE COSTS:</t>
  </si>
  <si>
    <t>($/unit)</t>
  </si>
  <si>
    <t>HAULING MILK</t>
  </si>
  <si>
    <t/>
  </si>
  <si>
    <t>ORGANIZATIONAL FEES</t>
  </si>
  <si>
    <t>ASSESMENT</t>
  </si>
  <si>
    <t>DHIA FEES</t>
  </si>
  <si>
    <t>DAIRY SUPPLIES</t>
  </si>
  <si>
    <t>INSURANCE (LIABILITY)</t>
  </si>
  <si>
    <t>MISCELLANEOUS</t>
  </si>
  <si>
    <t>RECEIPTS AT EXPECTED OUTPUT AND PRICE LEVELS</t>
  </si>
  <si>
    <t>COWS</t>
  </si>
  <si>
    <t>ITEM</t>
  </si>
  <si>
    <t>BF PREMIUM (AMT. ABOVE 3.5%)</t>
  </si>
  <si>
    <t>CULL COWS</t>
  </si>
  <si>
    <t>BULL CALVES</t>
  </si>
  <si>
    <t>TOTAL RECEIPTS</t>
  </si>
  <si>
    <t>BREAKEVEN</t>
  </si>
  <si>
    <t>VARIABLE COST</t>
  </si>
  <si>
    <t>LESS VALUE OF ANIMALS SOLD</t>
  </si>
  <si>
    <t>STRHH</t>
  </si>
  <si>
    <t>STRLL</t>
  </si>
  <si>
    <t>STRHL</t>
  </si>
  <si>
    <t>STRLH</t>
  </si>
  <si>
    <t>PRINT BLOCKS</t>
  </si>
  <si>
    <t>ASSUM</t>
  </si>
  <si>
    <t>A10.I48</t>
  </si>
  <si>
    <t>VARCOST</t>
  </si>
  <si>
    <t>A48.I93</t>
  </si>
  <si>
    <t>A102.I146</t>
  </si>
  <si>
    <t>FIXEDCOST</t>
  </si>
  <si>
    <t>A152.I186</t>
  </si>
  <si>
    <t>DEBT1</t>
  </si>
  <si>
    <t>A190.I236</t>
  </si>
  <si>
    <t>DEBT2</t>
  </si>
  <si>
    <t>A236.I256</t>
  </si>
  <si>
    <t>|</t>
  </si>
  <si>
    <t>**TOTAL OUT**</t>
  </si>
  <si>
    <t>\AUTOEXEC</t>
  </si>
  <si>
    <t>{windowsoff}</t>
  </si>
  <si>
    <t>**TOTAL COST**</t>
  </si>
  <si>
    <t xml:space="preserve">  (ALT X)</t>
  </si>
  <si>
    <t>{GOTO}</t>
  </si>
  <si>
    <t xml:space="preserve">  (ALT T)</t>
  </si>
  <si>
    <t>r1~</t>
  </si>
  <si>
    <t>{beep}</t>
  </si>
  <si>
    <t>al1~</t>
  </si>
  <si>
    <t>{END}</t>
  </si>
  <si>
    <t>{DN}</t>
  </si>
  <si>
    <t>{LT}</t>
  </si>
  <si>
    <t>ret.menu</t>
  </si>
  <si>
    <t>/U~</t>
  </si>
  <si>
    <t>s1~</t>
  </si>
  <si>
    <t>"                             (Total Cost Budget)~/p~</t>
  </si>
  <si>
    <t>L1~3~</t>
  </si>
  <si>
    <t>ret.to breakeven</t>
  </si>
  <si>
    <t>AM1~</t>
  </si>
  <si>
    <t>(ALT B)</t>
  </si>
  <si>
    <t>AO1~</t>
  </si>
  <si>
    <t>A102~</t>
  </si>
  <si>
    <t>{CALC}</t>
  </si>
  <si>
    <t>/u~</t>
  </si>
  <si>
    <t>"FIXED COST~/P~</t>
  </si>
  <si>
    <t>"FIXED COST(Go to Cell A139 for Calculation of Annual Fixed Cost)~/P~</t>
  </si>
  <si>
    <t>{DN}/U~</t>
  </si>
  <si>
    <t>{RT}/U~</t>
  </si>
  <si>
    <t>ret. to risk rate</t>
  </si>
  <si>
    <t>DIRECT FIXED COST~/P~</t>
  </si>
  <si>
    <t>(ALT R)</t>
  </si>
  <si>
    <t>/p.{UP  2}~</t>
  </si>
  <si>
    <t>A130~</t>
  </si>
  <si>
    <t>AN1~</t>
  </si>
  <si>
    <t>ret.to ins.</t>
  </si>
  <si>
    <t>(ALT I)</t>
  </si>
  <si>
    <t>DIRECT FIXED COST~</t>
  </si>
  <si>
    <t>/p~</t>
  </si>
  <si>
    <t>"                RISK RATED RETURNS OVER TOTAL COST~</t>
  </si>
  <si>
    <t>a10~</t>
  </si>
  <si>
    <t>/opopwnay~bn~~r-~ASSUM~agr-RVARCOST~AGR-rBREAKEVEN~GQ</t>
  </si>
  <si>
    <t>{beep 2}</t>
  </si>
  <si>
    <t>/op~-~ASSUM~obn~paywn~~agr-~VARCOST~agr-~BREAKEVEN~AGR-~FIXEDCOST~AGq</t>
  </si>
  <si>
    <t>{beep 3}</t>
  </si>
  <si>
    <t xml:space="preserve">  UNIT</t>
  </si>
  <si>
    <t>NUMBER</t>
  </si>
  <si>
    <t xml:space="preserve">  COST</t>
  </si>
  <si>
    <t>CALVES</t>
  </si>
  <si>
    <t>FEEDING EQUIPMENT</t>
  </si>
  <si>
    <t>FREESTALL HOUSING &amp; LANES</t>
  </si>
  <si>
    <t>BULK TANK</t>
  </si>
  <si>
    <t>LAGOON</t>
  </si>
  <si>
    <t>HAY SHED</t>
  </si>
  <si>
    <t>TRENCH SILO (8,000 TONS)</t>
  </si>
  <si>
    <t>FENCES</t>
  </si>
  <si>
    <t>COMMODITY BARN</t>
  </si>
  <si>
    <t>CALF/HEIFER BARNS</t>
  </si>
  <si>
    <t>TRUCKS</t>
  </si>
  <si>
    <t>LAND</t>
  </si>
  <si>
    <t>ANNUAL DEBT PAYMENTS</t>
  </si>
  <si>
    <t>NEW</t>
  </si>
  <si>
    <t>INTEREST</t>
  </si>
  <si>
    <t xml:space="preserve">  YEARS</t>
  </si>
  <si>
    <t xml:space="preserve"> ANNUAL</t>
  </si>
  <si>
    <t xml:space="preserve">   ITEM</t>
  </si>
  <si>
    <t>COST</t>
  </si>
  <si>
    <t>FINANCED</t>
  </si>
  <si>
    <t>RATE</t>
  </si>
  <si>
    <t>PAYMENT</t>
  </si>
  <si>
    <t>LIVESTOCK</t>
  </si>
  <si>
    <t>EQUIPMENT</t>
  </si>
  <si>
    <t>MILKING PARLOR</t>
  </si>
  <si>
    <t>OFFICE, SHOP &amp; PAVING</t>
  </si>
  <si>
    <t>TOTAL ANNUAL DEBT PAYMENT</t>
  </si>
  <si>
    <t>CURRENT ANNUAL DEBT PAYMENTS</t>
  </si>
  <si>
    <t>(For Use In Totaling Debt Payments on Existing Investment)</t>
  </si>
  <si>
    <t>--ENTER LOAN PRINCIPAL, INTEREST RATE, AND TERM OR ANNUAL PAYMENT--</t>
  </si>
  <si>
    <t>ANNUAL</t>
  </si>
  <si>
    <t>PRINCIPAL</t>
  </si>
  <si>
    <t>TERM</t>
  </si>
  <si>
    <t>LOAN # 1</t>
  </si>
  <si>
    <t>LOAN # 2</t>
  </si>
  <si>
    <t>LOAN # 3</t>
  </si>
  <si>
    <t>LOAN # 4</t>
  </si>
  <si>
    <t>LOAN # 5</t>
  </si>
  <si>
    <t>TOTAL</t>
  </si>
  <si>
    <t>ADP</t>
  </si>
  <si>
    <t>Debt_Payments:A3</t>
  </si>
  <si>
    <t>x</t>
  </si>
  <si>
    <t>assum ~varcost~agr-~breakeven~AGR-~fixedcost~AGq</t>
  </si>
  <si>
    <t>AFC</t>
  </si>
  <si>
    <t>Fixed_Cost:A3</t>
  </si>
  <si>
    <t>y</t>
  </si>
  <si>
    <t>/op~-~assum~obn~paywn~~agr-~varcost~agr-~breakeven~AGR-~debt1~AGR-~debt2~agq</t>
  </si>
  <si>
    <t>AGVAR</t>
  </si>
  <si>
    <t>Main:M1</t>
  </si>
  <si>
    <t>z</t>
  </si>
  <si>
    <t>Main:B10..Main:J48</t>
  </si>
  <si>
    <t>Main:A116</t>
  </si>
  <si>
    <t>CASH</t>
  </si>
  <si>
    <t>Macros:K11</t>
  </si>
  <si>
    <t>CENTER</t>
  </si>
  <si>
    <t>Macros:E34</t>
  </si>
  <si>
    <t>page1</t>
  </si>
  <si>
    <t>assum</t>
  </si>
  <si>
    <t>CASHFORMAT</t>
  </si>
  <si>
    <t>Macros:W47</t>
  </si>
  <si>
    <t>COST1</t>
  </si>
  <si>
    <t>Macros:E38</t>
  </si>
  <si>
    <t>page2</t>
  </si>
  <si>
    <t>varcost</t>
  </si>
  <si>
    <t>COST2</t>
  </si>
  <si>
    <t>Macros:K36</t>
  </si>
  <si>
    <t>page3</t>
  </si>
  <si>
    <t>breakeven?</t>
  </si>
  <si>
    <t>Main:B45..Debt_Payments:J190</t>
  </si>
  <si>
    <t>page4</t>
  </si>
  <si>
    <t>fixedcost</t>
  </si>
  <si>
    <t>Debt_Payments:B45..Debt_Payments:J64</t>
  </si>
  <si>
    <t>page5</t>
  </si>
  <si>
    <t>ENR</t>
  </si>
  <si>
    <t>Main:S129..Main:S129</t>
  </si>
  <si>
    <t>page6</t>
  </si>
  <si>
    <t>debt2</t>
  </si>
  <si>
    <t>Debt_Payments:B45..Debt_Payments:J63</t>
  </si>
  <si>
    <t>ENR_MNR</t>
  </si>
  <si>
    <t>Main:U123..Main:U123</t>
  </si>
  <si>
    <t>ETR</t>
  </si>
  <si>
    <t>Main:S128..Main:S128</t>
  </si>
  <si>
    <t>EXPP</t>
  </si>
  <si>
    <t>Main:U109..Main:U109</t>
  </si>
  <si>
    <t>EXPY</t>
  </si>
  <si>
    <t>Main:S109..Main:S109</t>
  </si>
  <si>
    <t>Main:B36..Fixed_Cost:J152</t>
  </si>
  <si>
    <t>MNR</t>
  </si>
  <si>
    <t>Main:S127..Main:S127</t>
  </si>
  <si>
    <t>MP</t>
  </si>
  <si>
    <t>Main:S123..Main:S123</t>
  </si>
  <si>
    <t>FOOTER</t>
  </si>
  <si>
    <t>Macros:W43</t>
  </si>
  <si>
    <t>MTC</t>
  </si>
  <si>
    <t>Main:S126..Main:S126</t>
  </si>
  <si>
    <t>MTR</t>
  </si>
  <si>
    <t>Main:S125..Main:S125</t>
  </si>
  <si>
    <t>MY</t>
  </si>
  <si>
    <t>Main:S124..Main:S124</t>
  </si>
  <si>
    <t>P</t>
  </si>
  <si>
    <t>Macros:T11</t>
  </si>
  <si>
    <t>PG</t>
  </si>
  <si>
    <t>Macros:W20</t>
  </si>
  <si>
    <t>PRINTONE</t>
  </si>
  <si>
    <t>Macros:W25</t>
  </si>
  <si>
    <t>PRINTTHREE</t>
  </si>
  <si>
    <t>Macros:W35</t>
  </si>
  <si>
    <t>PRINTTWO</t>
  </si>
  <si>
    <t>Macros:W31</t>
  </si>
  <si>
    <t>PG_NO</t>
  </si>
  <si>
    <t>Macros:W45</t>
  </si>
  <si>
    <t>R1</t>
  </si>
  <si>
    <t>Main:S1..Main:S1</t>
  </si>
  <si>
    <t>PRINTIT</t>
  </si>
  <si>
    <t>Macros:W36</t>
  </si>
  <si>
    <t>RET1</t>
  </si>
  <si>
    <t>Macros:T47</t>
  </si>
  <si>
    <t>RISK</t>
  </si>
  <si>
    <t>Main:A130</t>
  </si>
  <si>
    <t>PRINTOP</t>
  </si>
  <si>
    <t>Macros:W41</t>
  </si>
  <si>
    <t>SPINVAL</t>
  </si>
  <si>
    <t>Macros:W18</t>
  </si>
  <si>
    <t>Main:U124..Main:U124</t>
  </si>
  <si>
    <t>Macros:W29</t>
  </si>
  <si>
    <t>Main:U126..Main:U126</t>
  </si>
  <si>
    <t>PRRESULT</t>
  </si>
  <si>
    <t>Macros:W52</t>
  </si>
  <si>
    <t>Main:U127..Main:U127</t>
  </si>
  <si>
    <t>Main:U125..Main:U125</t>
  </si>
  <si>
    <t>STRO</t>
  </si>
  <si>
    <t>Main:U128..Main:U128</t>
  </si>
  <si>
    <t>STRP</t>
  </si>
  <si>
    <t>Main:U129..Main:U129</t>
  </si>
  <si>
    <t>TITLE1</t>
  </si>
  <si>
    <t>Main:B14</t>
  </si>
  <si>
    <t>TITLE2</t>
  </si>
  <si>
    <t>Main:B87</t>
  </si>
  <si>
    <t>TITLE3</t>
  </si>
  <si>
    <t>Main:B124</t>
  </si>
  <si>
    <t>TITLE4</t>
  </si>
  <si>
    <t>Main:B130</t>
  </si>
  <si>
    <t>TOP</t>
  </si>
  <si>
    <t>Main:A12</t>
  </si>
  <si>
    <t>Macros:E10</t>
  </si>
  <si>
    <t>UN</t>
  </si>
  <si>
    <t>Macros:T6</t>
  </si>
  <si>
    <t>UNIT</t>
  </si>
  <si>
    <t>Main:S97..Main:S97</t>
  </si>
  <si>
    <t>UNITCOST</t>
  </si>
  <si>
    <t>Main:L118..Main:L118</t>
  </si>
  <si>
    <t>Main:B48..Main:J93</t>
  </si>
  <si>
    <t>VARIABLE</t>
  </si>
  <si>
    <t>Macros:Q10</t>
  </si>
  <si>
    <t>XONE</t>
  </si>
  <si>
    <t>Macros:B10</t>
  </si>
  <si>
    <t>XTWO</t>
  </si>
  <si>
    <t>Macros:B15</t>
  </si>
  <si>
    <t>TOTFORMAT</t>
  </si>
  <si>
    <t>Macros:W59</t>
  </si>
  <si>
    <t>YONE</t>
  </si>
  <si>
    <t>Macros:H10</t>
  </si>
  <si>
    <t>YTWO</t>
  </si>
  <si>
    <t>Macros:H15</t>
  </si>
  <si>
    <t>ZONE</t>
  </si>
  <si>
    <t>Macros:N11</t>
  </si>
  <si>
    <t>ZTWO</t>
  </si>
  <si>
    <t>Macros:N15</t>
  </si>
  <si>
    <t>\0</t>
  </si>
  <si>
    <t>Macros:W6</t>
  </si>
  <si>
    <t>VARFORMAT</t>
  </si>
  <si>
    <t>Macros:W53</t>
  </si>
  <si>
    <t>\A</t>
  </si>
  <si>
    <t>Macros:T29</t>
  </si>
  <si>
    <t>Main:G422..Main:G425</t>
  </si>
  <si>
    <t>\B</t>
  </si>
  <si>
    <t>Main:H435..Main:H435</t>
  </si>
  <si>
    <t>Macros:B18</t>
  </si>
  <si>
    <t>\C</t>
  </si>
  <si>
    <t>Macros:K6</t>
  </si>
  <si>
    <t>\EXPDATA</t>
  </si>
  <si>
    <t>Main:S141..Main:AB141</t>
  </si>
  <si>
    <t>Macros:H16</t>
  </si>
  <si>
    <t>\I</t>
  </si>
  <si>
    <t>Macros:T40</t>
  </si>
  <si>
    <t>\L</t>
  </si>
  <si>
    <t>Macros:T22</t>
  </si>
  <si>
    <t>Macros:N17</t>
  </si>
  <si>
    <t>\O</t>
  </si>
  <si>
    <t>Macros:T19</t>
  </si>
  <si>
    <t>\Q</t>
  </si>
  <si>
    <t>Macros:T32</t>
  </si>
  <si>
    <t>\R</t>
  </si>
  <si>
    <t>Main:H444..Main:H448</t>
  </si>
  <si>
    <t>\S</t>
  </si>
  <si>
    <t>Macros:T26</t>
  </si>
  <si>
    <t>\T</t>
  </si>
  <si>
    <t>Macros:E6</t>
  </si>
  <si>
    <t>\V</t>
  </si>
  <si>
    <t>Macros:Q6</t>
  </si>
  <si>
    <t>\X</t>
  </si>
  <si>
    <t>Macros:B6</t>
  </si>
  <si>
    <t>\Y</t>
  </si>
  <si>
    <t>Macros:H6</t>
  </si>
  <si>
    <t>\Z</t>
  </si>
  <si>
    <t>Macros:N6</t>
  </si>
  <si>
    <t>Macros:W34</t>
  </si>
  <si>
    <t>{IF PRINTOP="AS</t>
  </si>
  <si>
    <t>Macros:C17</t>
  </si>
  <si>
    <t>{PREVIEW}</t>
  </si>
  <si>
    <t>Macros:C16</t>
  </si>
  <si>
    <t>{PRINT.BETWEEN_</t>
  </si>
  <si>
    <t>Macros:C12</t>
  </si>
  <si>
    <t>{PRINT.USE PAGE</t>
  </si>
  <si>
    <t>Macros:C18</t>
  </si>
  <si>
    <t>{TOTFORMAT}</t>
  </si>
  <si>
    <t>Macros:C15</t>
  </si>
  <si>
    <t>Macros:N16</t>
  </si>
  <si>
    <t>Last revised</t>
  </si>
  <si>
    <t>2/9/95</t>
  </si>
  <si>
    <t>INSEMINATION FEES</t>
  </si>
  <si>
    <t>HEIFER RAISING DEATH LOSS (UP TO 24 MONTH)</t>
  </si>
  <si>
    <t>TRACTORS &amp; FIELD EQUIPMENT</t>
  </si>
  <si>
    <t>WATER SYSTEM</t>
  </si>
  <si>
    <t>CUSTOM RAISED HEIFERS</t>
  </si>
  <si>
    <t>Cwt. Milk</t>
  </si>
  <si>
    <t>Head</t>
  </si>
  <si>
    <t>Lactations</t>
  </si>
  <si>
    <t>Services/Lactation</t>
  </si>
  <si>
    <t>EXPECTED MILK PRODUCTION PER COW (LBS)</t>
  </si>
  <si>
    <t>EXPECTED ANNUAL MILK SALES</t>
  </si>
  <si>
    <t>TOTAL ANNUAL MILK PRODUCTION (CWT.)</t>
  </si>
  <si>
    <t>Total Variable &amp; Fixed Costs</t>
  </si>
  <si>
    <t>NUMBER OF UNITS</t>
  </si>
  <si>
    <t>$/UNIT</t>
  </si>
  <si>
    <t>TOTAL $</t>
  </si>
  <si>
    <t>$/COW</t>
  </si>
  <si>
    <t>BUILDINGS &amp; FACILITIES</t>
  </si>
  <si>
    <t>WASTE MANAGEMENT</t>
  </si>
  <si>
    <t>TOTAL LIVESTOCK</t>
  </si>
  <si>
    <t>Average Livestock Investment</t>
  </si>
  <si>
    <t>Interest on Average Livestock Investment</t>
  </si>
  <si>
    <t>INSURANCE (LIVESTOCK)</t>
  </si>
  <si>
    <t>TOTAL BUILDINGS &amp;  FACILITIES</t>
  </si>
  <si>
    <t>Average Buildings &amp; Facilities Investment</t>
  </si>
  <si>
    <t>Interest on Average buildings &amp; Facilities Investment</t>
  </si>
  <si>
    <t>TRACTORS, IMPLEMENTS, AND TRUCKS</t>
  </si>
  <si>
    <t>Interest on Tractors, Implements &amp; Trucks Investment</t>
  </si>
  <si>
    <t>Average Tractors, Implements &amp; Trucks Investment</t>
  </si>
  <si>
    <t>TOTALS FOR FIXED COSTS</t>
  </si>
  <si>
    <t xml:space="preserve">LAND </t>
  </si>
  <si>
    <t>OTHER</t>
  </si>
  <si>
    <t>TOTAL WASTE MANAGEMENT</t>
  </si>
  <si>
    <t>CLAY LINER</t>
  </si>
  <si>
    <t>MONITORING WELL</t>
  </si>
  <si>
    <t>SOLIDS SEPARATOR</t>
  </si>
  <si>
    <t>LAGOON PUMP</t>
  </si>
  <si>
    <t>PIPE</t>
  </si>
  <si>
    <t>Average Waste Management Investment</t>
  </si>
  <si>
    <t>Interest on Land Investment</t>
  </si>
  <si>
    <t>Land Investment</t>
  </si>
  <si>
    <t>PERCENT</t>
  </si>
  <si>
    <t>TOTAL BUILDINGS &amp; FACILITIES</t>
  </si>
  <si>
    <t>TOTAL TRACTORS, FIELD EQUIPMENT, AND TRUCKS</t>
  </si>
  <si>
    <t>TRACTORS, FIELD EQUIPMENT, &amp; TRUCKS</t>
  </si>
  <si>
    <t>GRAND TOTAL</t>
  </si>
  <si>
    <t>TOTAL EXISTING LOANS</t>
  </si>
  <si>
    <t>Return to Main Budget</t>
  </si>
  <si>
    <t>Farm</t>
  </si>
  <si>
    <t>Net Variable Cost</t>
  </si>
  <si>
    <t>COW LEASE</t>
  </si>
  <si>
    <t>EQUIPMENT LEASE</t>
  </si>
  <si>
    <t>TRENCH SILOS (8,000 TONS EACH )</t>
  </si>
  <si>
    <t>MONITORING WELLS</t>
  </si>
  <si>
    <t>POWER UNIT</t>
  </si>
  <si>
    <t>IRRIGATION SYSTEM</t>
  </si>
  <si>
    <t>TOTAL TRACTORS, IMPLEMENTS, AND TRUCKS</t>
  </si>
  <si>
    <t>Type of Labor</t>
  </si>
  <si>
    <t>Number of People</t>
  </si>
  <si>
    <t>Personnel Benefits</t>
  </si>
  <si>
    <t>Total Cost</t>
  </si>
  <si>
    <t>Base Wage Rate or Salary</t>
  </si>
  <si>
    <t>Owner</t>
  </si>
  <si>
    <t>Manager</t>
  </si>
  <si>
    <t>Herd Health &amp; Maintenance</t>
  </si>
  <si>
    <t>Replacements</t>
  </si>
  <si>
    <t>Facilities &amp; Equipment</t>
  </si>
  <si>
    <t>Total</t>
  </si>
  <si>
    <t>N/A</t>
  </si>
  <si>
    <t>Hours/Year/Person</t>
  </si>
  <si>
    <t>PAYROLL</t>
  </si>
  <si>
    <t>Payroll Detail</t>
  </si>
  <si>
    <t>Item</t>
  </si>
  <si>
    <t>Number</t>
  </si>
  <si>
    <t>$/Unit</t>
  </si>
  <si>
    <t>Salvage Value</t>
  </si>
  <si>
    <t>Years of Useful Life</t>
  </si>
  <si>
    <t>Annual Depreciation</t>
  </si>
  <si>
    <t>Percent Financed</t>
  </si>
  <si>
    <t>Amount Financed</t>
  </si>
  <si>
    <t>Interest Rate</t>
  </si>
  <si>
    <t>Years Financed</t>
  </si>
  <si>
    <t>Annual Payment</t>
  </si>
  <si>
    <t>Fixed Cost &amp; Annual Payment Detail</t>
  </si>
  <si>
    <t>MILK PRODUCTION</t>
  </si>
  <si>
    <t>Feed Cost</t>
  </si>
  <si>
    <t>% of Build. &amp; Facil</t>
  </si>
  <si>
    <t>Waste Storage Pond</t>
  </si>
  <si>
    <t>Compacted Clay Liner</t>
  </si>
  <si>
    <t>Articulated Loaders</t>
  </si>
  <si>
    <t>Skid steer loader</t>
  </si>
  <si>
    <t>130 hp Tractor - MFWD</t>
  </si>
  <si>
    <t>75 hp Tractor - 2wd</t>
  </si>
  <si>
    <t>50 hp Tractor - 2wd</t>
  </si>
  <si>
    <t>Mixer Wagon - 650 cubic feet</t>
  </si>
  <si>
    <t xml:space="preserve">1/2 ton pickup </t>
  </si>
  <si>
    <t>3/4 ton pickup</t>
  </si>
  <si>
    <t>Sand spreader</t>
  </si>
  <si>
    <t>Other</t>
  </si>
  <si>
    <t>24' disk harrow</t>
  </si>
  <si>
    <t>40' folding sprayer</t>
  </si>
  <si>
    <t>INVESTMENT, ANNUAL FIXED COSTS, AND ANNUAL PAYMENT DETAIL</t>
  </si>
  <si>
    <t>PAYROLL DETAIL</t>
  </si>
  <si>
    <t>BEDDING</t>
  </si>
  <si>
    <t>WASTE MANAGEMENT - PUMPING</t>
  </si>
  <si>
    <t>Cow</t>
  </si>
  <si>
    <t>Ingredient</t>
  </si>
  <si>
    <t>%DM</t>
  </si>
  <si>
    <t>$/ton</t>
  </si>
  <si>
    <t>$/lb</t>
  </si>
  <si>
    <t>lb AF/d</t>
  </si>
  <si>
    <t>$/d</t>
  </si>
  <si>
    <t>Corn silage, processed</t>
  </si>
  <si>
    <t>Winter annual silage</t>
  </si>
  <si>
    <t>Brewers grains, wet</t>
  </si>
  <si>
    <t>Ground corn</t>
  </si>
  <si>
    <t>Soybean hulls</t>
  </si>
  <si>
    <t>Citrus pulp</t>
  </si>
  <si>
    <t>Corn gluten feed</t>
  </si>
  <si>
    <t>Soybean meal, 47% CP</t>
  </si>
  <si>
    <t>Urea</t>
  </si>
  <si>
    <t>Amino Plus</t>
  </si>
  <si>
    <t>Calcium carbonate</t>
  </si>
  <si>
    <t>Calcium Phospahte mono</t>
  </si>
  <si>
    <t>Magensium oxide</t>
  </si>
  <si>
    <t>Salt</t>
  </si>
  <si>
    <t>Sodium bicarbonate</t>
  </si>
  <si>
    <t>Potassium carbonate</t>
  </si>
  <si>
    <t>Potassium magnesium sulfate</t>
  </si>
  <si>
    <t>Yeat culture</t>
  </si>
  <si>
    <t>Supplemental Cu, Mn, Co, Zn</t>
  </si>
  <si>
    <t>Trace mineral</t>
  </si>
  <si>
    <t>Sorghum silage</t>
  </si>
  <si>
    <t>Tifton 85</t>
  </si>
  <si>
    <t>Biochlor</t>
  </si>
  <si>
    <t>MILK HERD</t>
  </si>
  <si>
    <t>Total feed</t>
  </si>
  <si>
    <t>cows</t>
  </si>
  <si>
    <t>days</t>
  </si>
  <si>
    <t>total</t>
  </si>
  <si>
    <t>YOUNG HEIFERS</t>
  </si>
  <si>
    <t>BRED HEIFERS</t>
  </si>
  <si>
    <t>Milk replacer</t>
  </si>
  <si>
    <t>Starter</t>
  </si>
  <si>
    <t>FARM SHOP &amp; GENERAL ROADS</t>
  </si>
  <si>
    <t>3-PHASE POWER SUPPLY</t>
  </si>
  <si>
    <t>24' Livestock trailer</t>
  </si>
  <si>
    <t>300 hp Tractor - MFWD</t>
  </si>
  <si>
    <t>200 hp Tractor - MFWD</t>
  </si>
  <si>
    <t>Field Cultivator</t>
  </si>
  <si>
    <t>Tedder</t>
  </si>
  <si>
    <t>Power rake</t>
  </si>
  <si>
    <t>15' folding rotary mower</t>
  </si>
  <si>
    <t>Deep-ripper</t>
  </si>
  <si>
    <t>WEANED HEIFER CALVES - if not raised enter the number purchased</t>
  </si>
  <si>
    <t>1 YEAR OLD HEIFERS - if not raised enter the number purchased</t>
  </si>
  <si>
    <t>BRED HEIFER (SPRINGERS)</t>
  </si>
  <si>
    <t>OTHER INCOME (GOVERNMENT PMTS., LGM, ETC)</t>
  </si>
  <si>
    <t xml:space="preserve">Grain drill - 15' no-till </t>
  </si>
  <si>
    <t>Mower conditioner (self-propelled)</t>
  </si>
  <si>
    <t>8-row 30" strip-till planter</t>
  </si>
  <si>
    <t>TILT TABLE</t>
  </si>
  <si>
    <t>CATTLE HANDLING FACILITIES</t>
  </si>
  <si>
    <t>Round baler</t>
  </si>
  <si>
    <t>Tub grinder</t>
  </si>
  <si>
    <t>Miscellaneous equipment</t>
  </si>
  <si>
    <t>Prices for</t>
  </si>
  <si>
    <t>Corn silage</t>
  </si>
  <si>
    <t>Winter annual sialge</t>
  </si>
  <si>
    <t>Ground Corn</t>
  </si>
  <si>
    <t>Purchased concentrate</t>
  </si>
  <si>
    <t>$/ton As-fed</t>
  </si>
  <si>
    <t>%Dry Matter</t>
  </si>
  <si>
    <t>$/lb. DM</t>
  </si>
  <si>
    <t>Tons AF/cow/year</t>
  </si>
  <si>
    <t>Total tons per year</t>
  </si>
  <si>
    <t>Total Tons Required</t>
  </si>
  <si>
    <t>T85 hay</t>
  </si>
  <si>
    <t>Corn Silage</t>
  </si>
  <si>
    <t>Corn grain</t>
  </si>
  <si>
    <t>Feedstuff</t>
  </si>
  <si>
    <t>Acres required</t>
  </si>
  <si>
    <t>Tons/acre</t>
  </si>
  <si>
    <t>Variable Costs:</t>
  </si>
  <si>
    <t>Unit</t>
  </si>
  <si>
    <t>Number of Units</t>
  </si>
  <si>
    <t>Cost/Acre</t>
  </si>
  <si>
    <t>Your Farm</t>
  </si>
  <si>
    <t>Seed</t>
  </si>
  <si>
    <t>Thous.</t>
  </si>
  <si>
    <t>Tons</t>
  </si>
  <si>
    <t>Fertilizer</t>
  </si>
  <si>
    <t xml:space="preserve">  Nitrogen</t>
  </si>
  <si>
    <t>Lbs</t>
  </si>
  <si>
    <t xml:space="preserve">  Phospate (P2O5)</t>
  </si>
  <si>
    <t xml:space="preserve">  Potash (K2O)</t>
  </si>
  <si>
    <t>Weed Control</t>
  </si>
  <si>
    <t>Acre</t>
  </si>
  <si>
    <t>Insect Control</t>
  </si>
  <si>
    <t>Machinery: Preharvest</t>
  </si>
  <si>
    <t xml:space="preserve">   Fuel</t>
  </si>
  <si>
    <t>Gallon</t>
  </si>
  <si>
    <t xml:space="preserve">   Repairs &amp; Maintenance</t>
  </si>
  <si>
    <t>Irrigation*</t>
  </si>
  <si>
    <t>Inch</t>
  </si>
  <si>
    <t>Crop Insurance</t>
  </si>
  <si>
    <t>Land Rental</t>
  </si>
  <si>
    <t>Total Pre-harvest Costs</t>
  </si>
  <si>
    <t>Harvesting Costs</t>
  </si>
  <si>
    <t>Custom Harvesting</t>
  </si>
  <si>
    <t>Custom Bagging</t>
  </si>
  <si>
    <t>Total Harvesting Costs</t>
  </si>
  <si>
    <t>Total Variable Costs</t>
  </si>
  <si>
    <t>Irrigation</t>
  </si>
  <si>
    <t>Harvesting Costs (enter appropriate costs, either custom or owner performed)</t>
  </si>
  <si>
    <t>Fixed costs are included in Fixed Cost and Main Pages</t>
  </si>
  <si>
    <t>Corn Silage details</t>
  </si>
  <si>
    <t>CORN SILAGE PRODUCTION COSTS</t>
  </si>
  <si>
    <t>Machinery: Harvest including packing or bagging (owner performed)</t>
  </si>
  <si>
    <t>Grain Sorghum silage details</t>
  </si>
  <si>
    <t>AMOUNT (DOLLARS)</t>
  </si>
  <si>
    <t>VARIABLE EXPENSES</t>
  </si>
  <si>
    <t>FERTILIZER</t>
  </si>
  <si>
    <t xml:space="preserve">  Lime (spread)</t>
  </si>
  <si>
    <t>Cwt.</t>
  </si>
  <si>
    <t>SEED/PLANTS</t>
  </si>
  <si>
    <t>Lbs.</t>
  </si>
  <si>
    <t xml:space="preserve">  Ryegrass seed</t>
  </si>
  <si>
    <t>CUSTOM FERTILIZER/LIME</t>
  </si>
  <si>
    <t>Custom spread (truck)</t>
  </si>
  <si>
    <t>Appl.</t>
  </si>
  <si>
    <t xml:space="preserve">  Tractors</t>
  </si>
  <si>
    <t>DIESEL FUEL</t>
  </si>
  <si>
    <t>gal</t>
  </si>
  <si>
    <t>REPAIRS &amp; MAINTENANCE</t>
  </si>
  <si>
    <t>acre</t>
  </si>
  <si>
    <t>TOTAL VARIABLE COSTS</t>
  </si>
  <si>
    <t xml:space="preserve">  Other</t>
  </si>
  <si>
    <t>TOTAL PRE-HARVEST COST</t>
  </si>
  <si>
    <t>$/TON</t>
  </si>
  <si>
    <t>EXPECTED YIELD</t>
  </si>
  <si>
    <t>UNITS</t>
  </si>
  <si>
    <t>UNITS/ACRE</t>
  </si>
  <si>
    <t>COST ($/UNIT)</t>
  </si>
  <si>
    <t>COST $/ACRE</t>
  </si>
  <si>
    <t>COST $/TON</t>
  </si>
  <si>
    <t>LIME</t>
  </si>
  <si>
    <t>TON</t>
  </si>
  <si>
    <t>FERTILIZER:</t>
  </si>
  <si>
    <t xml:space="preserve">  NITROGEN</t>
  </si>
  <si>
    <t>LB.</t>
  </si>
  <si>
    <t xml:space="preserve">  PHOSPHATE</t>
  </si>
  <si>
    <t xml:space="preserve">  POTASH</t>
  </si>
  <si>
    <t xml:space="preserve">  LIME</t>
  </si>
  <si>
    <t>CROP PROTECTION</t>
  </si>
  <si>
    <t xml:space="preserve"> HERBICIDE</t>
  </si>
  <si>
    <t>APPS</t>
  </si>
  <si>
    <t xml:space="preserve"> ARMYWORM CONTROL</t>
  </si>
  <si>
    <t>MACHINERY:</t>
  </si>
  <si>
    <t xml:space="preserve">  FUEL</t>
  </si>
  <si>
    <t>GAL.</t>
  </si>
  <si>
    <t xml:space="preserve">  REPAIRS &amp; MAINT.</t>
  </si>
  <si>
    <t>ACRE</t>
  </si>
  <si>
    <t xml:space="preserve">  TWINE</t>
  </si>
  <si>
    <t>BALE</t>
  </si>
  <si>
    <t>IRRIGATION</t>
  </si>
  <si>
    <t>INCHES</t>
  </si>
  <si>
    <t>$</t>
  </si>
  <si>
    <t>TOTAL VARIABLE COST</t>
  </si>
  <si>
    <t>Yield (TONS)</t>
  </si>
  <si>
    <t xml:space="preserve">  PLASTIC WRAP FOR BALEAGE</t>
  </si>
  <si>
    <t>University of Georgia  Extension</t>
  </si>
  <si>
    <t>MILKING HERD</t>
  </si>
  <si>
    <t>Lbs. As-Fed per Day</t>
  </si>
  <si>
    <t>Number of days</t>
  </si>
  <si>
    <t>Number of cows</t>
  </si>
  <si>
    <t>Total Tons Needed</t>
  </si>
  <si>
    <t>CORN SILAGE</t>
  </si>
  <si>
    <t>SORGHUM SILAGE</t>
  </si>
  <si>
    <t>WINTER ANNUAL SILAGE</t>
  </si>
  <si>
    <t>HAY</t>
  </si>
  <si>
    <t>GROUND CORN</t>
  </si>
  <si>
    <t>FEEDSTUFF</t>
  </si>
  <si>
    <t>CONCENTRATE EXCLUDING CORN</t>
  </si>
  <si>
    <t>TONS REQUIRED</t>
  </si>
  <si>
    <t>TONS PRODUCED</t>
  </si>
  <si>
    <t>BRED HEIFERS (12-24 MONTHS)</t>
  </si>
  <si>
    <t>YOUNG HEIFERS (3-12 MONTHS)</t>
  </si>
  <si>
    <t>CALVES (0-3 MONTHS)</t>
  </si>
  <si>
    <t>MILK REPLACER</t>
  </si>
  <si>
    <t>CALF STARTER FEED</t>
  </si>
  <si>
    <t>HARVESTED ACRES</t>
  </si>
  <si>
    <t>TOTAL PRODUCTION</t>
  </si>
  <si>
    <t>EXPECTED YIELD (TONS/ACRE)</t>
  </si>
  <si>
    <t>SORGHUM SILAGE PRODUCTION COSTS</t>
  </si>
  <si>
    <t>WINTER ANNUAL SILAGE PRODUCTION COSTS</t>
  </si>
  <si>
    <t>ACRES HARVESTED</t>
  </si>
  <si>
    <t>CALF STARTTER FEED</t>
  </si>
  <si>
    <t>50# BAG</t>
  </si>
  <si>
    <t>CUSTOM HIRE OTHER THAN CROPS</t>
  </si>
  <si>
    <t>Custom planting</t>
  </si>
  <si>
    <t>Custom spraying</t>
  </si>
  <si>
    <t xml:space="preserve">Custom other pre-harvest </t>
  </si>
  <si>
    <t>Enter budget type (1=Variable cost only, 2 = Total cost using depreciation and interest, and 3= cash flow using actual payments)</t>
  </si>
  <si>
    <t>$/Cow</t>
  </si>
  <si>
    <t xml:space="preserve">  TOTAL DOLLARS</t>
  </si>
  <si>
    <t>REVENUE COSTS AND KEY PROFITABILITY MEASURES TABLE</t>
  </si>
  <si>
    <t>Income Over Feed Costs</t>
  </si>
  <si>
    <t>Returns Over Variable Costs</t>
  </si>
  <si>
    <t>Returns Over Total Costs</t>
  </si>
  <si>
    <t>$/CWT.</t>
  </si>
  <si>
    <t>FIXED COST SECTION AND DETAILS</t>
  </si>
  <si>
    <t>Winter Annual Silage</t>
  </si>
  <si>
    <t>Bermuda Hay/Haylage</t>
  </si>
  <si>
    <t>Total Acres Harvested</t>
  </si>
  <si>
    <t>Total tons Produced(as-fed basis)</t>
  </si>
  <si>
    <t xml:space="preserve">Total Variable Costs (TVC) </t>
  </si>
  <si>
    <t>Fixed Cost Calculations</t>
  </si>
  <si>
    <t>Totals</t>
  </si>
  <si>
    <t>Amount of Machinery fixed costs allocated to crop</t>
  </si>
  <si>
    <t>Fixed Cost ($/ton)</t>
  </si>
  <si>
    <t>Total Dollars for crop</t>
  </si>
  <si>
    <t>Percent of Crop Fixed Costs to allocate to crop (this value is the one used to determine crop's fixed cost allocation)</t>
  </si>
  <si>
    <r>
      <t>Total Livestock Fixed Cost</t>
    </r>
    <r>
      <rPr>
        <b/>
        <sz val="10"/>
        <rFont val="Arial"/>
        <family val="2"/>
      </rPr>
      <t xml:space="preserve"> or Payment</t>
    </r>
  </si>
  <si>
    <r>
      <t>Total Tractors, Implements, &amp; Trucks Fixed Cost</t>
    </r>
    <r>
      <rPr>
        <b/>
        <sz val="10"/>
        <rFont val="Arial"/>
        <family val="2"/>
      </rPr>
      <t xml:space="preserve"> or Payment</t>
    </r>
  </si>
  <si>
    <r>
      <t>Total Buildings &amp; Facilities Fixed Cost</t>
    </r>
    <r>
      <rPr>
        <b/>
        <sz val="10"/>
        <rFont val="Arial"/>
        <family val="2"/>
      </rPr>
      <t xml:space="preserve"> or Payment</t>
    </r>
  </si>
  <si>
    <r>
      <t>Total Waste Management System  Fixed Cost</t>
    </r>
    <r>
      <rPr>
        <b/>
        <sz val="10"/>
        <rFont val="Arial"/>
        <family val="2"/>
      </rPr>
      <t xml:space="preserve"> or Payment</t>
    </r>
  </si>
  <si>
    <r>
      <t>Total Land Fixed Cost</t>
    </r>
    <r>
      <rPr>
        <b/>
        <sz val="10"/>
        <rFont val="Arial"/>
        <family val="2"/>
      </rPr>
      <t xml:space="preserve"> or Payment</t>
    </r>
  </si>
  <si>
    <t>TOTAL ANNUAL FIXED COSTS or Payments</t>
  </si>
  <si>
    <t>Production Values and Variable Costs</t>
  </si>
  <si>
    <t>Total Cost per Ton (AF basis)</t>
  </si>
  <si>
    <t xml:space="preserve">Total Crop Fixed Costs (includes tractors, etc., waste mgmt. (irrigation), and land costs).  </t>
  </si>
  <si>
    <t>Percentage of total acres - These values come from the Fixed Costs page and are provided as reference for you to allocate the actual percentages.</t>
  </si>
  <si>
    <t>Cells with this formatting can be changed.   All others should be left alone.</t>
  </si>
  <si>
    <t>PURCHASED FEED COSTS - Amounts come from Feed tab.  Prices for feeds can be entered in the appropriate cells.</t>
  </si>
  <si>
    <t>RETURN TO MAIN BUDGET</t>
  </si>
  <si>
    <t>TIFTON 85 OR OTHER HYBRID BERMUDA PRODUCTION COSTS</t>
  </si>
  <si>
    <t>VITAMINS &amp; MINERALS (IF NOT INCLUDED IN FEEDING DETAILS</t>
  </si>
  <si>
    <t>Feeding Program and Cost Details</t>
  </si>
  <si>
    <t>WET BREWERS/DISTILLERS GRAIN</t>
  </si>
  <si>
    <r>
      <t>LAND</t>
    </r>
    <r>
      <rPr>
        <b/>
        <sz val="10"/>
        <rFont val="Arial"/>
        <family val="2"/>
      </rPr>
      <t xml:space="preserve"> AND EXISTING PAYMENTS</t>
    </r>
  </si>
  <si>
    <t>PASTURE</t>
  </si>
  <si>
    <t>WINTER ANNUAL GRAZING PRODUCTION COSTS</t>
  </si>
  <si>
    <t>TIFTON 85 OR OTHER PERMANENT PASTURE PRODUCTION COSTS</t>
  </si>
  <si>
    <t>Yield (TONS-AS FED)</t>
  </si>
  <si>
    <t>Article name</t>
  </si>
  <si>
    <t>Link</t>
  </si>
  <si>
    <t>INPUT DATA: Your values in unprotected or shaded cells</t>
  </si>
  <si>
    <t>FEEDING BARN</t>
  </si>
  <si>
    <t>MILKING PARLOR &amp; EQUIPMENT</t>
  </si>
  <si>
    <t>4-wheeler or utility vehicle</t>
  </si>
  <si>
    <t>Feeders/milkers</t>
  </si>
  <si>
    <t xml:space="preserve">Crops </t>
  </si>
  <si>
    <t>WINTER ANNUAL PASTURE</t>
  </si>
  <si>
    <t>PERMANENT PASTURE GRAZING</t>
  </si>
  <si>
    <t>Permanent pasture grazing details</t>
  </si>
  <si>
    <t>Lime</t>
  </si>
  <si>
    <t>EXPECTED BASE MILK PRICE ($/CWT.)</t>
  </si>
  <si>
    <t>UTILITIES (excluding irrigation)</t>
  </si>
  <si>
    <t>Fuel Cost</t>
  </si>
  <si>
    <t>Machinery Repairs</t>
  </si>
  <si>
    <t>Sorghum Silage</t>
  </si>
  <si>
    <t>Winter Grazing</t>
  </si>
  <si>
    <t>Permanent Pasture</t>
  </si>
  <si>
    <t>TVC/per ton (as-fed)</t>
  </si>
  <si>
    <t>OTHER REPAIRS NOT COVERED IN MACHINERY OR BUILDINGS/FACILITIES</t>
  </si>
  <si>
    <t>BUILDING AND FACILITY REPAIRS</t>
  </si>
  <si>
    <t>RAISED CROP MACHINERY REPAIRS (Data entered in individual crop budgets and summarized in Raised Summary tab)</t>
  </si>
  <si>
    <t>CROPLAND (PASTURE OR SILAGE) RENTAL</t>
  </si>
  <si>
    <t>COW</t>
  </si>
  <si>
    <t>RAISED CROP MACHINERY FUEL (Data entered in individual crop budgets and summarized in Raised Summary tab)</t>
  </si>
  <si>
    <t>OTHER FUEL (EXCLUDING IRRIGATION)</t>
  </si>
  <si>
    <t>FARM</t>
  </si>
  <si>
    <t>TVC excluding Fuel and Repairs (Total)</t>
  </si>
  <si>
    <t>TVC excluding Fuel and Repairs ($/acre)</t>
  </si>
  <si>
    <r>
      <t>RAISED FEED COSTS</t>
    </r>
    <r>
      <rPr>
        <sz val="12"/>
        <color theme="1"/>
        <rFont val="Calibri"/>
        <family val="2"/>
        <scheme val="minor"/>
      </rPr>
      <t xml:space="preserve"> - Use hyperlinks to the left to calculate details</t>
    </r>
    <r>
      <rPr>
        <sz val="12"/>
        <color theme="1"/>
        <rFont val="Calibri"/>
        <family val="2"/>
        <scheme val="minor"/>
      </rPr>
      <t>.  Acreages can only be entered on the individual crop tabs</t>
    </r>
  </si>
  <si>
    <r>
      <rPr>
        <b/>
        <sz val="12"/>
        <color theme="1"/>
        <rFont val="Calibri"/>
        <family val="2"/>
        <charset val="129"/>
        <scheme val="minor"/>
      </rPr>
      <t>LAND RENT</t>
    </r>
    <r>
      <rPr>
        <sz val="12"/>
        <color theme="1"/>
        <rFont val="Calibri"/>
        <family val="2"/>
        <scheme val="minor"/>
      </rPr>
      <t xml:space="preserve"> (if not included in other crops)</t>
    </r>
  </si>
  <si>
    <r>
      <t>LAND RENT</t>
    </r>
    <r>
      <rPr>
        <sz val="12"/>
        <color rgb="FF000000"/>
        <rFont val="Calibri"/>
        <family val="2"/>
        <charset val="129"/>
      </rPr>
      <t xml:space="preserve"> (if not included in other crops)</t>
    </r>
  </si>
  <si>
    <t>Feeding Summary</t>
  </si>
  <si>
    <t>RAISED CROPS PRODUCTION AND COST SUMMARY</t>
  </si>
  <si>
    <t>Winter Annual silage details</t>
  </si>
  <si>
    <t>Winter Annual pasture details</t>
  </si>
  <si>
    <t>Hay Production details</t>
  </si>
  <si>
    <t>*Agricultural &amp; Applied Economics and **Animal &amp; Dairy Science Departments</t>
  </si>
  <si>
    <t>BALANCE TO BE PURCHASED*</t>
  </si>
  <si>
    <t xml:space="preserve">*Irrigation application assumes use of diesel power unit.  Electric power unit is estimated to be 60% of the cost of $3.25 per gal diesel. </t>
  </si>
  <si>
    <t>Partial funding for this budget development provided by Southern SARE, Project LS11-243, Improving the Welfare of Southeastern Dairy Families Through the Adoption of Sustainable Production Systems.</t>
  </si>
  <si>
    <t>VETERINARY EXPENSE</t>
  </si>
  <si>
    <t>Developed by R. Curt Lacy*, John K. Bernard**, and Gena Perry*</t>
  </si>
  <si>
    <t>EXISTING PAYMENTS (to be used only with Cash Flow budget)</t>
  </si>
  <si>
    <t>600 Cow Hybrid Grazing Dairy Enterprise Budget</t>
  </si>
  <si>
    <t xml:space="preserve"> Tracton</t>
  </si>
  <si>
    <t xml:space="preserve"> Implements</t>
  </si>
  <si>
    <t>MILK QUALITY ADJUSTMENT (Q-FACTOR/CWT. OF MILK SOLD)</t>
  </si>
  <si>
    <t>Month</t>
  </si>
  <si>
    <t>Milk Production</t>
  </si>
  <si>
    <t>May</t>
  </si>
  <si>
    <t>Base Milk Price</t>
  </si>
  <si>
    <t>Revenue</t>
  </si>
  <si>
    <t>Feeding Program Details</t>
  </si>
  <si>
    <t>USE THIS SHEET TO CALCULATE YOUR WEIGHTED AVERAGE PRICE OF MILK</t>
  </si>
  <si>
    <t>Total of Monthly Milk Production</t>
  </si>
  <si>
    <t>Total Annual Milk Production from Main Page</t>
  </si>
  <si>
    <t xml:space="preserve">Discrepancy </t>
  </si>
  <si>
    <t>&lt;-------- When you are through this number should be Zero</t>
  </si>
  <si>
    <t>Based on your reported monthly milk production , your weighted average price of milk</t>
  </si>
  <si>
    <t>January</t>
  </si>
  <si>
    <t>February</t>
  </si>
  <si>
    <t>March</t>
  </si>
  <si>
    <t>April</t>
  </si>
  <si>
    <t>June</t>
  </si>
  <si>
    <t>July</t>
  </si>
  <si>
    <t>August</t>
  </si>
  <si>
    <t>September</t>
  </si>
  <si>
    <t>October</t>
  </si>
  <si>
    <t>November</t>
  </si>
  <si>
    <t>December</t>
  </si>
  <si>
    <t>&lt;-------- This number is only valid if the discrepancy (above) is zero</t>
  </si>
  <si>
    <t>&lt;----- to calculate a weighted average milk price click here</t>
  </si>
  <si>
    <t>Click here to return to the Main Page</t>
  </si>
  <si>
    <t>SHRINK OR LOSS PERCENTAGE</t>
  </si>
  <si>
    <t>OTHER INCOME (miscellaneous crop or livestock sales, etc.)</t>
  </si>
  <si>
    <t>TOTAL NUMBER OF MATURE COWS IN HERD (this includes milking + dry)</t>
  </si>
  <si>
    <t>RAISED MILK USED FOR DAIRY CALVES</t>
  </si>
  <si>
    <t xml:space="preserve">CALCULATED NUMBER OF REPLACEMENTS NEEDED (COWS X (CULL RATE+COW DEATH LOSS+HEIFER DEATH LOSS)  </t>
  </si>
  <si>
    <t>NUMBER OF HEIFERS RAISED</t>
  </si>
  <si>
    <t>Enter the number you want to use--&gt;</t>
  </si>
  <si>
    <t xml:space="preserve">HEIFERS SOLD. The calcuated number available for sale =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</si>
</sst>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0.000"/>
    <numFmt numFmtId="165" formatCode="&quot;$&quot;#,##0"/>
    <numFmt numFmtId="166" formatCode="&quot;$&quot;#,##0.00"/>
    <numFmt numFmtId="167" formatCode="0.0000"/>
    <numFmt numFmtId="168" formatCode="_(* #,##0_);_(* \(#,##0\);_(* &quot;-&quot;??_);_(@_)"/>
    <numFmt numFmtId="169" formatCode="[$-409]mmmm\ d\,\ yyyy;@"/>
  </numFmts>
  <fonts count="55" x14ac:knownFonts="1">
    <font>
      <sz val="10"/>
      <name val="Arial"/>
    </font>
    <font>
      <sz val="12"/>
      <color theme="1"/>
      <name val="Calibri"/>
      <family val="2"/>
      <scheme val="minor"/>
    </font>
    <font>
      <sz val="12"/>
      <color theme="1"/>
      <name val="Calibri"/>
      <family val="2"/>
      <charset val="129"/>
      <scheme val="minor"/>
    </font>
    <font>
      <sz val="12"/>
      <color theme="1"/>
      <name val="Calibri"/>
      <family val="2"/>
      <charset val="129"/>
      <scheme val="minor"/>
    </font>
    <font>
      <sz val="12"/>
      <color theme="1"/>
      <name val="Calibri"/>
      <family val="2"/>
      <charset val="129"/>
      <scheme val="minor"/>
    </font>
    <font>
      <sz val="12"/>
      <color theme="1"/>
      <name val="Calibri"/>
      <family val="2"/>
      <charset val="129"/>
      <scheme val="minor"/>
    </font>
    <font>
      <sz val="12"/>
      <color theme="1"/>
      <name val="Calibri"/>
      <family val="2"/>
      <charset val="129"/>
      <scheme val="minor"/>
    </font>
    <font>
      <sz val="12"/>
      <color theme="1"/>
      <name val="Calibri"/>
      <family val="2"/>
      <charset val="129"/>
      <scheme val="minor"/>
    </font>
    <font>
      <sz val="12"/>
      <color theme="1"/>
      <name val="Calibri"/>
      <family val="2"/>
      <charset val="129"/>
      <scheme val="minor"/>
    </font>
    <font>
      <b/>
      <sz val="10"/>
      <name val="Arial"/>
      <family val="2"/>
    </font>
    <font>
      <sz val="8"/>
      <name val="Helv"/>
    </font>
    <font>
      <i/>
      <sz val="10"/>
      <name val="Arial"/>
      <family val="2"/>
    </font>
    <font>
      <sz val="10"/>
      <color indexed="32"/>
      <name val="Arial"/>
      <family val="2"/>
    </font>
    <font>
      <b/>
      <sz val="10"/>
      <color indexed="32"/>
      <name val="Arial"/>
      <family val="2"/>
    </font>
    <font>
      <b/>
      <sz val="10"/>
      <name val="Arial"/>
      <family val="2"/>
    </font>
    <font>
      <b/>
      <sz val="10"/>
      <color indexed="32"/>
      <name val="Arial"/>
      <family val="2"/>
    </font>
    <font>
      <u/>
      <sz val="10"/>
      <color indexed="12"/>
      <name val="Arial"/>
      <family val="2"/>
    </font>
    <font>
      <sz val="10"/>
      <name val="Arial"/>
      <family val="2"/>
    </font>
    <font>
      <b/>
      <sz val="12"/>
      <name val="Arial"/>
      <family val="2"/>
    </font>
    <font>
      <sz val="8"/>
      <name val="Arial"/>
      <family val="2"/>
    </font>
    <font>
      <b/>
      <sz val="8"/>
      <color indexed="81"/>
      <name val="Tahoma"/>
      <family val="2"/>
    </font>
    <font>
      <sz val="10"/>
      <name val="Arial"/>
      <family val="2"/>
    </font>
    <font>
      <sz val="10"/>
      <color theme="1"/>
      <name val="Arial"/>
      <family val="2"/>
    </font>
    <font>
      <sz val="9"/>
      <name val="ArialMT"/>
    </font>
    <font>
      <b/>
      <sz val="12"/>
      <color theme="1"/>
      <name val="Calibri"/>
      <family val="2"/>
      <charset val="129"/>
      <scheme val="minor"/>
    </font>
    <font>
      <sz val="10"/>
      <name val="Courier New"/>
      <family val="3"/>
    </font>
    <font>
      <b/>
      <sz val="10"/>
      <name val="Courier New"/>
      <family val="3"/>
    </font>
    <font>
      <u/>
      <sz val="10"/>
      <color theme="11"/>
      <name val="Arial"/>
      <family val="2"/>
    </font>
    <font>
      <sz val="11"/>
      <color theme="1"/>
      <name val="Calibri"/>
      <family val="2"/>
      <scheme val="minor"/>
    </font>
    <font>
      <sz val="12"/>
      <color theme="1"/>
      <name val="Arial Rounded MT Bold"/>
      <family val="2"/>
    </font>
    <font>
      <i/>
      <sz val="12"/>
      <color theme="1"/>
      <name val="Calibri"/>
      <family val="2"/>
      <scheme val="minor"/>
    </font>
    <font>
      <u/>
      <sz val="11"/>
      <color theme="10"/>
      <name val="Calibri"/>
      <family val="2"/>
      <scheme val="minor"/>
    </font>
    <font>
      <sz val="12"/>
      <color theme="1"/>
      <name val="Calibri"/>
      <family val="2"/>
    </font>
    <font>
      <i/>
      <sz val="12"/>
      <name val="Calibri"/>
      <family val="2"/>
    </font>
    <font>
      <sz val="12"/>
      <name val="Calibri"/>
      <family val="2"/>
    </font>
    <font>
      <b/>
      <sz val="12"/>
      <name val="Calibri"/>
      <family val="2"/>
    </font>
    <font>
      <b/>
      <sz val="18"/>
      <name val="Arial"/>
      <family val="2"/>
    </font>
    <font>
      <b/>
      <sz val="12"/>
      <color rgb="FFFA7D00"/>
      <name val="Calibri"/>
      <family val="2"/>
      <charset val="129"/>
      <scheme val="minor"/>
    </font>
    <font>
      <sz val="12"/>
      <name val="Calibri"/>
      <family val="2"/>
      <scheme val="minor"/>
    </font>
    <font>
      <b/>
      <sz val="12"/>
      <name val="Calibri"/>
      <family val="2"/>
      <scheme val="minor"/>
    </font>
    <font>
      <i/>
      <sz val="12"/>
      <name val="Calibri"/>
      <family val="2"/>
      <scheme val="minor"/>
    </font>
    <font>
      <sz val="12"/>
      <name val="Arial"/>
      <family val="2"/>
    </font>
    <font>
      <b/>
      <sz val="12"/>
      <color indexed="18"/>
      <name val="Arial"/>
      <family val="2"/>
    </font>
    <font>
      <sz val="12"/>
      <color indexed="32"/>
      <name val="Arial"/>
      <family val="2"/>
    </font>
    <font>
      <sz val="12"/>
      <color indexed="17"/>
      <name val="Arial"/>
      <family val="2"/>
    </font>
    <font>
      <u/>
      <sz val="12"/>
      <color indexed="12"/>
      <name val="Arial"/>
      <family val="2"/>
    </font>
    <font>
      <b/>
      <sz val="12"/>
      <color indexed="32"/>
      <name val="Arial"/>
      <family val="2"/>
    </font>
    <font>
      <b/>
      <sz val="12"/>
      <color indexed="10"/>
      <name val="Arial"/>
      <family val="2"/>
    </font>
    <font>
      <sz val="12"/>
      <color indexed="56"/>
      <name val="Arial"/>
      <family val="2"/>
    </font>
    <font>
      <b/>
      <sz val="18"/>
      <color theme="3"/>
      <name val="Cambria"/>
      <family val="2"/>
      <charset val="129"/>
      <scheme val="major"/>
    </font>
    <font>
      <b/>
      <sz val="15"/>
      <color theme="3"/>
      <name val="Calibri"/>
      <family val="2"/>
      <charset val="129"/>
      <scheme val="minor"/>
    </font>
    <font>
      <sz val="12"/>
      <color rgb="FF3F3F76"/>
      <name val="Calibri"/>
      <family val="2"/>
      <charset val="129"/>
      <scheme val="minor"/>
    </font>
    <font>
      <b/>
      <sz val="14"/>
      <color theme="1"/>
      <name val="Calibri"/>
      <family val="2"/>
      <scheme val="minor"/>
    </font>
    <font>
      <sz val="12"/>
      <color rgb="FF000000"/>
      <name val="Calibri"/>
      <family val="2"/>
      <charset val="129"/>
    </font>
    <font>
      <b/>
      <sz val="12"/>
      <color rgb="FF000000"/>
      <name val="Calibri"/>
      <family val="2"/>
      <charset val="129"/>
    </font>
  </fonts>
  <fills count="19">
    <fill>
      <patternFill patternType="none"/>
    </fill>
    <fill>
      <patternFill patternType="gray125"/>
    </fill>
    <fill>
      <patternFill patternType="solid">
        <fgColor indexed="42"/>
        <bgColor indexed="9"/>
      </patternFill>
    </fill>
    <fill>
      <patternFill patternType="solid">
        <fgColor indexed="22"/>
        <bgColor indexed="9"/>
      </patternFill>
    </fill>
    <fill>
      <patternFill patternType="solid">
        <fgColor indexed="43"/>
        <bgColor indexed="64"/>
      </patternFill>
    </fill>
    <fill>
      <patternFill patternType="solid">
        <fgColor indexed="47"/>
        <bgColor indexed="9"/>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indexed="9"/>
        <bgColor indexed="9"/>
      </patternFill>
    </fill>
    <fill>
      <patternFill patternType="solid">
        <fgColor rgb="FFF2F2F2"/>
      </patternFill>
    </fill>
    <fill>
      <patternFill patternType="solid">
        <fgColor theme="1"/>
        <bgColor indexed="64"/>
      </patternFill>
    </fill>
    <fill>
      <patternFill patternType="solid">
        <fgColor theme="0"/>
        <bgColor theme="0"/>
      </patternFill>
    </fill>
    <fill>
      <patternFill patternType="solid">
        <fgColor theme="0"/>
        <bgColor indexed="9"/>
      </patternFill>
    </fill>
    <fill>
      <patternFill patternType="solid">
        <fgColor theme="0"/>
        <bgColor indexed="24"/>
      </patternFill>
    </fill>
    <fill>
      <patternFill patternType="solid">
        <fgColor rgb="FFFFCC99"/>
      </patternFill>
    </fill>
    <fill>
      <patternFill patternType="solid">
        <fgColor theme="9" tint="0.79998168889431442"/>
        <bgColor indexed="65"/>
      </patternFill>
    </fill>
    <fill>
      <patternFill patternType="solid">
        <fgColor theme="9" tint="0.39997558519241921"/>
        <bgColor indexed="64"/>
      </patternFill>
    </fill>
    <fill>
      <patternFill patternType="solid">
        <fgColor theme="0" tint="-0.14999847407452621"/>
        <bgColor indexed="64"/>
      </patternFill>
    </fill>
  </fills>
  <borders count="44">
    <border>
      <left/>
      <right/>
      <top/>
      <bottom/>
      <diagonal/>
    </border>
    <border>
      <left/>
      <right/>
      <top/>
      <bottom style="double">
        <color indexed="0"/>
      </bottom>
      <diagonal/>
    </border>
    <border>
      <left style="thin">
        <color indexed="0"/>
      </left>
      <right/>
      <top style="thin">
        <color indexed="0"/>
      </top>
      <bottom/>
      <diagonal/>
    </border>
    <border>
      <left style="thin">
        <color indexed="0"/>
      </left>
      <right/>
      <top/>
      <bottom style="thin">
        <color indexed="0"/>
      </bottom>
      <diagonal/>
    </border>
    <border>
      <left/>
      <right/>
      <top style="thin">
        <color indexed="0"/>
      </top>
      <bottom style="thin">
        <color indexed="0"/>
      </bottom>
      <diagonal/>
    </border>
    <border>
      <left/>
      <right/>
      <top style="thin">
        <color indexed="0"/>
      </top>
      <bottom/>
      <diagonal/>
    </border>
    <border>
      <left/>
      <right/>
      <top/>
      <bottom style="thin">
        <color indexed="0"/>
      </bottom>
      <diagonal/>
    </border>
    <border>
      <left/>
      <right style="thin">
        <color indexed="0"/>
      </right>
      <top style="thin">
        <color indexed="0"/>
      </top>
      <bottom/>
      <diagonal/>
    </border>
    <border>
      <left/>
      <right style="thin">
        <color indexed="0"/>
      </right>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right/>
      <top style="thin">
        <color theme="4"/>
      </top>
      <bottom style="double">
        <color theme="4"/>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right/>
      <top/>
      <bottom style="double">
        <color theme="4"/>
      </bottom>
      <diagonal/>
    </border>
    <border>
      <left/>
      <right/>
      <top/>
      <bottom style="thick">
        <color theme="4"/>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thin">
        <color rgb="FF7F7F7F"/>
      </right>
      <top/>
      <bottom/>
      <diagonal/>
    </border>
    <border>
      <left/>
      <right/>
      <top/>
      <bottom style="thin">
        <color theme="4"/>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bottom style="thick">
        <color auto="1"/>
      </bottom>
      <diagonal/>
    </border>
  </borders>
  <cellStyleXfs count="199">
    <xf numFmtId="0" fontId="0" fillId="0" borderId="0">
      <alignment vertical="top"/>
    </xf>
    <xf numFmtId="0" fontId="10" fillId="0" borderId="0" applyNumberFormat="0" applyFill="0" applyAlignment="0" applyProtection="0"/>
    <xf numFmtId="3" fontId="17" fillId="0" borderId="0" applyFont="0" applyFill="0" applyBorder="0" applyAlignment="0" applyProtection="0"/>
    <xf numFmtId="7" fontId="17" fillId="0" borderId="0" applyFont="0" applyFill="0" applyBorder="0" applyAlignment="0" applyProtection="0"/>
    <xf numFmtId="5" fontId="17" fillId="0" borderId="0" applyFont="0" applyFill="0" applyBorder="0" applyAlignment="0" applyProtection="0"/>
    <xf numFmtId="0" fontId="17" fillId="0" borderId="0" applyFont="0" applyFill="0" applyBorder="0" applyAlignment="0" applyProtection="0"/>
    <xf numFmtId="2" fontId="17" fillId="0" borderId="0" applyFont="0" applyFill="0" applyBorder="0" applyAlignment="0" applyProtection="0"/>
    <xf numFmtId="0" fontId="16" fillId="0" borderId="0" applyNumberFormat="0" applyFill="0" applyBorder="0" applyAlignment="0" applyProtection="0">
      <alignment vertical="top"/>
      <protection locked="0"/>
    </xf>
    <xf numFmtId="10" fontId="17" fillId="0" borderId="0" applyFont="0" applyFill="0" applyBorder="0" applyAlignment="0" applyProtection="0"/>
    <xf numFmtId="43" fontId="17" fillId="0" borderId="0" applyFont="0" applyFill="0" applyBorder="0" applyAlignment="0" applyProtection="0"/>
    <xf numFmtId="0" fontId="24" fillId="0" borderId="25" applyNumberFormat="0" applyFill="0" applyAlignment="0" applyProtection="0"/>
    <xf numFmtId="0" fontId="17" fillId="0" borderId="0"/>
    <xf numFmtId="44" fontId="17" fillId="0" borderId="0" applyFont="0" applyFill="0" applyBorder="0" applyAlignment="0" applyProtection="0"/>
    <xf numFmtId="9" fontId="17" fillId="0" borderId="0" applyFont="0" applyFill="0" applyBorder="0" applyAlignment="0" applyProtection="0"/>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8" fillId="0" borderId="0"/>
    <xf numFmtId="44" fontId="28" fillId="0" borderId="0" applyFont="0" applyFill="0" applyBorder="0" applyAlignment="0" applyProtection="0"/>
    <xf numFmtId="0" fontId="31" fillId="0" borderId="0" applyNumberFormat="0" applyFill="0" applyBorder="0" applyAlignment="0" applyProtection="0"/>
    <xf numFmtId="0" fontId="17" fillId="0" borderId="0">
      <alignment vertical="top"/>
    </xf>
    <xf numFmtId="7" fontId="17" fillId="0" borderId="0" applyFont="0" applyFill="0" applyBorder="0" applyAlignment="0" applyProtection="0"/>
    <xf numFmtId="10" fontId="17" fillId="0" borderId="0" applyFont="0" applyFill="0" applyBorder="0" applyAlignment="0" applyProtection="0"/>
    <xf numFmtId="0" fontId="36" fillId="0" borderId="0" applyNumberFormat="0" applyFont="0" applyFill="0" applyAlignment="0" applyProtection="0"/>
    <xf numFmtId="0" fontId="37" fillId="10" borderId="29" applyNumberFormat="0" applyAlignment="0" applyProtection="0"/>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49" fillId="0" borderId="0" applyNumberFormat="0" applyFill="0" applyBorder="0" applyAlignment="0" applyProtection="0"/>
    <xf numFmtId="0" fontId="50" fillId="0" borderId="31" applyNumberFormat="0" applyFill="0" applyAlignment="0" applyProtection="0"/>
    <xf numFmtId="0" fontId="51" fillId="15" borderId="29" applyNumberFormat="0" applyAlignment="0" applyProtection="0"/>
    <xf numFmtId="0" fontId="5" fillId="16" borderId="0" applyNumberFormat="0" applyBorder="0" applyAlignment="0" applyProtection="0"/>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xf numFmtId="0" fontId="27" fillId="0" borderId="0" applyNumberFormat="0" applyFill="0" applyBorder="0" applyAlignment="0" applyProtection="0">
      <alignment vertical="top"/>
    </xf>
  </cellStyleXfs>
  <cellXfs count="573">
    <xf numFmtId="0" fontId="0" fillId="0" borderId="0" xfId="0" applyAlignment="1"/>
    <xf numFmtId="0" fontId="0" fillId="0" borderId="0" xfId="0" applyAlignment="1" applyProtection="1">
      <protection locked="0"/>
    </xf>
    <xf numFmtId="1" fontId="0" fillId="0" borderId="0" xfId="0" applyNumberFormat="1" applyAlignment="1"/>
    <xf numFmtId="7" fontId="0" fillId="0" borderId="0" xfId="0" applyNumberFormat="1" applyAlignment="1"/>
    <xf numFmtId="0" fontId="9" fillId="0" borderId="0" xfId="0" applyFont="1" applyBorder="1" applyAlignment="1"/>
    <xf numFmtId="0" fontId="0" fillId="0" borderId="0" xfId="0" applyFont="1" applyAlignment="1">
      <alignment horizontal="centerContinuous"/>
    </xf>
    <xf numFmtId="0" fontId="9" fillId="0" borderId="3" xfId="0" applyFont="1" applyFill="1" applyBorder="1" applyAlignment="1" applyProtection="1">
      <alignment horizontal="centerContinuous"/>
      <protection locked="0"/>
    </xf>
    <xf numFmtId="0" fontId="13" fillId="0" borderId="0" xfId="0" applyFont="1" applyBorder="1" applyAlignment="1">
      <alignment horizontal="centerContinuous"/>
    </xf>
    <xf numFmtId="0" fontId="9" fillId="0" borderId="2" xfId="0" applyFont="1" applyFill="1" applyBorder="1" applyAlignment="1" applyProtection="1">
      <alignment horizontal="centerContinuous"/>
      <protection locked="0"/>
    </xf>
    <xf numFmtId="0" fontId="13" fillId="0" borderId="0" xfId="0" applyFont="1" applyBorder="1" applyAlignment="1" applyProtection="1">
      <alignment horizontal="centerContinuous"/>
      <protection locked="0"/>
    </xf>
    <xf numFmtId="0" fontId="9" fillId="0" borderId="6" xfId="0" applyFont="1" applyFill="1" applyBorder="1" applyAlignment="1">
      <alignment horizontal="centerContinuous"/>
    </xf>
    <xf numFmtId="0" fontId="0" fillId="0" borderId="7" xfId="0" applyFont="1" applyFill="1" applyBorder="1" applyAlignment="1">
      <alignment horizontal="center"/>
    </xf>
    <xf numFmtId="0" fontId="9" fillId="0" borderId="10" xfId="0" applyFont="1" applyFill="1" applyBorder="1" applyAlignment="1">
      <alignment horizontal="center"/>
    </xf>
    <xf numFmtId="0" fontId="9" fillId="0" borderId="11" xfId="0" applyFont="1" applyFill="1" applyBorder="1" applyAlignment="1">
      <alignment horizontal="center"/>
    </xf>
    <xf numFmtId="0" fontId="12" fillId="0" borderId="0" xfId="0" applyFont="1" applyAlignment="1" applyProtection="1">
      <alignment horizontal="centerContinuous"/>
      <protection locked="0"/>
    </xf>
    <xf numFmtId="0" fontId="9" fillId="0" borderId="5" xfId="0" applyFont="1" applyFill="1" applyBorder="1" applyAlignment="1">
      <alignment horizontal="centerContinuous"/>
    </xf>
    <xf numFmtId="0" fontId="9" fillId="0" borderId="7" xfId="0" applyFont="1" applyFill="1" applyBorder="1" applyAlignment="1">
      <alignment horizontal="centerContinuous"/>
    </xf>
    <xf numFmtId="0" fontId="9" fillId="0" borderId="8" xfId="0" applyFont="1" applyFill="1" applyBorder="1" applyAlignment="1">
      <alignment horizontal="centerContinuous"/>
    </xf>
    <xf numFmtId="0" fontId="9" fillId="0" borderId="2" xfId="0" applyFont="1" applyFill="1" applyBorder="1" applyAlignment="1">
      <alignment horizontal="centerContinuous"/>
    </xf>
    <xf numFmtId="3" fontId="12" fillId="0" borderId="0" xfId="0" applyNumberFormat="1" applyFont="1" applyAlignment="1" applyProtection="1">
      <protection locked="0"/>
    </xf>
    <xf numFmtId="0" fontId="12" fillId="0" borderId="0" xfId="0" applyFont="1" applyAlignment="1" applyProtection="1">
      <protection locked="0"/>
    </xf>
    <xf numFmtId="2" fontId="12" fillId="0" borderId="0" xfId="0" applyNumberFormat="1" applyFont="1" applyAlignment="1" applyProtection="1">
      <protection locked="0"/>
    </xf>
    <xf numFmtId="1" fontId="12" fillId="0" borderId="0" xfId="0" applyNumberFormat="1" applyFont="1" applyAlignment="1" applyProtection="1">
      <protection locked="0"/>
    </xf>
    <xf numFmtId="9" fontId="12" fillId="0" borderId="0" xfId="0" applyNumberFormat="1" applyFont="1" applyAlignment="1" applyProtection="1">
      <protection locked="0"/>
    </xf>
    <xf numFmtId="10" fontId="12" fillId="0" borderId="0" xfId="0" applyNumberFormat="1" applyFont="1" applyAlignment="1" applyProtection="1">
      <protection locked="0"/>
    </xf>
    <xf numFmtId="0" fontId="9" fillId="0" borderId="5" xfId="0" applyFont="1" applyFill="1" applyBorder="1" applyAlignment="1">
      <alignment horizontal="center"/>
    </xf>
    <xf numFmtId="0" fontId="9" fillId="0" borderId="6" xfId="0" applyFont="1" applyFill="1" applyBorder="1" applyAlignment="1">
      <alignment horizontal="center"/>
    </xf>
    <xf numFmtId="0" fontId="0" fillId="0" borderId="8" xfId="0" applyFont="1" applyFill="1" applyBorder="1" applyAlignment="1">
      <alignment horizontal="centerContinuous"/>
    </xf>
    <xf numFmtId="0" fontId="9" fillId="0" borderId="3" xfId="0" applyFont="1" applyFill="1" applyBorder="1" applyAlignment="1">
      <alignment horizontal="centerContinuous"/>
    </xf>
    <xf numFmtId="0" fontId="0" fillId="0" borderId="2" xfId="0" applyFont="1" applyFill="1" applyBorder="1" applyAlignment="1">
      <alignment horizontal="center"/>
    </xf>
    <xf numFmtId="0" fontId="14" fillId="0" borderId="0" xfId="0" applyFont="1" applyAlignment="1" applyProtection="1">
      <protection locked="0"/>
    </xf>
    <xf numFmtId="165" fontId="12" fillId="0" borderId="0" xfId="0" applyNumberFormat="1" applyFont="1" applyAlignment="1" applyProtection="1">
      <protection locked="0"/>
    </xf>
    <xf numFmtId="165" fontId="0" fillId="0" borderId="0" xfId="0" applyNumberFormat="1" applyAlignment="1" applyProtection="1">
      <protection locked="0"/>
    </xf>
    <xf numFmtId="165" fontId="12" fillId="0" borderId="0" xfId="0" applyNumberFormat="1" applyFont="1" applyAlignment="1" applyProtection="1">
      <alignment horizontal="right"/>
      <protection locked="0"/>
    </xf>
    <xf numFmtId="165" fontId="0" fillId="0" borderId="0" xfId="0" applyNumberFormat="1" applyAlignment="1"/>
    <xf numFmtId="7" fontId="0" fillId="0" borderId="0" xfId="3" applyFont="1"/>
    <xf numFmtId="0" fontId="0" fillId="0" borderId="0" xfId="0" applyAlignment="1" applyProtection="1">
      <alignment horizontal="left"/>
      <protection locked="0"/>
    </xf>
    <xf numFmtId="0" fontId="0" fillId="0" borderId="0" xfId="0" applyBorder="1" applyAlignment="1" applyProtection="1">
      <protection locked="0"/>
    </xf>
    <xf numFmtId="3" fontId="12" fillId="0" borderId="16" xfId="0" applyNumberFormat="1" applyFont="1" applyBorder="1" applyAlignment="1" applyProtection="1">
      <protection locked="0"/>
    </xf>
    <xf numFmtId="9" fontId="12" fillId="0" borderId="16" xfId="0" applyNumberFormat="1" applyFont="1" applyBorder="1" applyAlignment="1" applyProtection="1">
      <protection locked="0"/>
    </xf>
    <xf numFmtId="165" fontId="12" fillId="0" borderId="16" xfId="0" applyNumberFormat="1" applyFont="1" applyBorder="1" applyAlignment="1" applyProtection="1">
      <protection locked="0"/>
    </xf>
    <xf numFmtId="7" fontId="12" fillId="0" borderId="0" xfId="3" applyFont="1" applyProtection="1">
      <protection locked="0"/>
    </xf>
    <xf numFmtId="3" fontId="0" fillId="0" borderId="0" xfId="0" applyNumberFormat="1" applyBorder="1" applyAlignment="1" applyProtection="1">
      <protection locked="0"/>
    </xf>
    <xf numFmtId="165" fontId="12" fillId="0" borderId="0" xfId="0" applyNumberFormat="1" applyFont="1" applyBorder="1" applyAlignment="1" applyProtection="1">
      <protection locked="0"/>
    </xf>
    <xf numFmtId="165" fontId="0" fillId="0" borderId="0" xfId="0" applyNumberFormat="1" applyBorder="1" applyAlignment="1" applyProtection="1">
      <protection locked="0"/>
    </xf>
    <xf numFmtId="0" fontId="14" fillId="0" borderId="0" xfId="0" applyFont="1" applyBorder="1" applyAlignment="1" applyProtection="1">
      <alignment horizontal="left"/>
      <protection locked="0"/>
    </xf>
    <xf numFmtId="3" fontId="14" fillId="0" borderId="0" xfId="0" applyNumberFormat="1" applyFont="1" applyBorder="1" applyAlignment="1" applyProtection="1">
      <alignment horizontal="left"/>
      <protection locked="0"/>
    </xf>
    <xf numFmtId="165" fontId="15" fillId="0" borderId="0" xfId="0" applyNumberFormat="1" applyFont="1" applyBorder="1" applyAlignment="1" applyProtection="1">
      <alignment horizontal="left"/>
      <protection locked="0"/>
    </xf>
    <xf numFmtId="165" fontId="15" fillId="0" borderId="0" xfId="0" applyNumberFormat="1" applyFont="1" applyBorder="1" applyAlignment="1" applyProtection="1">
      <protection locked="0"/>
    </xf>
    <xf numFmtId="7" fontId="15" fillId="0" borderId="0" xfId="3" applyFont="1" applyBorder="1" applyProtection="1">
      <protection locked="0"/>
    </xf>
    <xf numFmtId="1" fontId="15" fillId="0" borderId="0" xfId="0" applyNumberFormat="1" applyFont="1" applyBorder="1" applyAlignment="1" applyProtection="1">
      <protection locked="0"/>
    </xf>
    <xf numFmtId="0" fontId="0" fillId="0" borderId="16" xfId="0" applyBorder="1" applyAlignment="1"/>
    <xf numFmtId="1" fontId="0" fillId="0" borderId="16" xfId="0" applyNumberFormat="1" applyBorder="1" applyAlignment="1"/>
    <xf numFmtId="7" fontId="0" fillId="0" borderId="16" xfId="0" applyNumberFormat="1" applyBorder="1" applyAlignment="1"/>
    <xf numFmtId="10" fontId="12" fillId="0" borderId="16" xfId="0" applyNumberFormat="1" applyFont="1" applyBorder="1" applyAlignment="1" applyProtection="1">
      <protection locked="0"/>
    </xf>
    <xf numFmtId="165" fontId="12" fillId="0" borderId="16" xfId="0" applyNumberFormat="1" applyFont="1" applyFill="1" applyBorder="1" applyAlignment="1" applyProtection="1">
      <protection locked="0"/>
    </xf>
    <xf numFmtId="7" fontId="12" fillId="0" borderId="16" xfId="3" applyFont="1" applyBorder="1" applyProtection="1">
      <protection locked="0"/>
    </xf>
    <xf numFmtId="0" fontId="0" fillId="0" borderId="16" xfId="0" applyBorder="1" applyAlignment="1" applyProtection="1">
      <protection locked="0"/>
    </xf>
    <xf numFmtId="0" fontId="14" fillId="0" borderId="17" xfId="0" applyFont="1" applyFill="1" applyBorder="1" applyAlignment="1" applyProtection="1">
      <alignment horizontal="left"/>
      <protection locked="0"/>
    </xf>
    <xf numFmtId="0" fontId="14" fillId="0" borderId="14" xfId="0" applyFont="1" applyFill="1" applyBorder="1" applyAlignment="1" applyProtection="1">
      <alignment horizontal="left"/>
      <protection locked="0"/>
    </xf>
    <xf numFmtId="3" fontId="14" fillId="0" borderId="14" xfId="0" applyNumberFormat="1" applyFont="1" applyFill="1" applyBorder="1" applyAlignment="1" applyProtection="1">
      <alignment horizontal="left"/>
      <protection locked="0"/>
    </xf>
    <xf numFmtId="165" fontId="15" fillId="0" borderId="14" xfId="0" applyNumberFormat="1" applyFont="1" applyFill="1" applyBorder="1" applyAlignment="1" applyProtection="1">
      <alignment horizontal="left"/>
      <protection locked="0"/>
    </xf>
    <xf numFmtId="7" fontId="15" fillId="0" borderId="14" xfId="3" applyFont="1" applyFill="1" applyBorder="1" applyProtection="1">
      <protection locked="0"/>
    </xf>
    <xf numFmtId="0" fontId="14" fillId="0" borderId="14" xfId="0" applyFont="1" applyFill="1" applyBorder="1" applyAlignment="1" applyProtection="1">
      <protection locked="0"/>
    </xf>
    <xf numFmtId="0" fontId="0" fillId="0" borderId="0" xfId="0" applyBorder="1" applyAlignment="1" applyProtection="1">
      <alignment horizontal="left"/>
      <protection locked="0"/>
    </xf>
    <xf numFmtId="9" fontId="12" fillId="0" borderId="0" xfId="0" applyNumberFormat="1" applyFont="1" applyBorder="1" applyAlignment="1" applyProtection="1">
      <protection locked="0"/>
    </xf>
    <xf numFmtId="7" fontId="12" fillId="0" borderId="0" xfId="3" applyFont="1" applyBorder="1" applyProtection="1">
      <protection locked="0"/>
    </xf>
    <xf numFmtId="10" fontId="12" fillId="0" borderId="0" xfId="0" applyNumberFormat="1" applyFont="1" applyBorder="1" applyAlignment="1" applyProtection="1">
      <protection locked="0"/>
    </xf>
    <xf numFmtId="3" fontId="12" fillId="0" borderId="0" xfId="0" applyNumberFormat="1" applyFont="1" applyBorder="1" applyAlignment="1" applyProtection="1">
      <protection locked="0"/>
    </xf>
    <xf numFmtId="165" fontId="15" fillId="0" borderId="14" xfId="0" applyNumberFormat="1" applyFont="1" applyFill="1" applyBorder="1" applyAlignment="1" applyProtection="1">
      <protection locked="0"/>
    </xf>
    <xf numFmtId="0" fontId="14" fillId="0" borderId="17" xfId="0" applyFont="1" applyFill="1" applyBorder="1" applyAlignment="1"/>
    <xf numFmtId="0" fontId="14" fillId="0" borderId="14" xfId="0" applyFont="1" applyFill="1" applyBorder="1" applyAlignment="1"/>
    <xf numFmtId="1" fontId="14" fillId="0" borderId="14" xfId="0" applyNumberFormat="1" applyFont="1" applyFill="1" applyBorder="1" applyAlignment="1"/>
    <xf numFmtId="7" fontId="14" fillId="0" borderId="14" xfId="0" applyNumberFormat="1" applyFont="1" applyFill="1" applyBorder="1" applyAlignment="1"/>
    <xf numFmtId="9" fontId="15" fillId="0" borderId="14" xfId="0" applyNumberFormat="1" applyFont="1" applyFill="1" applyBorder="1" applyAlignment="1" applyProtection="1">
      <protection locked="0"/>
    </xf>
    <xf numFmtId="10" fontId="15" fillId="0" borderId="14" xfId="0" applyNumberFormat="1" applyFont="1" applyFill="1" applyBorder="1" applyAlignment="1" applyProtection="1">
      <protection locked="0"/>
    </xf>
    <xf numFmtId="3" fontId="15" fillId="0" borderId="14" xfId="0" applyNumberFormat="1" applyFont="1" applyFill="1" applyBorder="1" applyAlignment="1" applyProtection="1">
      <protection locked="0"/>
    </xf>
    <xf numFmtId="165" fontId="0" fillId="0" borderId="0" xfId="0" applyNumberFormat="1" applyFill="1" applyBorder="1" applyAlignment="1"/>
    <xf numFmtId="165" fontId="14" fillId="0" borderId="14" xfId="0" applyNumberFormat="1" applyFont="1" applyFill="1" applyBorder="1" applyAlignment="1"/>
    <xf numFmtId="5" fontId="15" fillId="0" borderId="14" xfId="0" applyNumberFormat="1" applyFont="1" applyFill="1" applyBorder="1" applyAlignment="1" applyProtection="1">
      <protection locked="0"/>
    </xf>
    <xf numFmtId="0" fontId="14" fillId="4" borderId="17" xfId="0" applyFont="1" applyFill="1" applyBorder="1" applyAlignment="1"/>
    <xf numFmtId="0" fontId="14" fillId="4" borderId="14" xfId="0" applyFont="1" applyFill="1" applyBorder="1" applyAlignment="1"/>
    <xf numFmtId="165" fontId="14" fillId="4" borderId="15" xfId="0" applyNumberFormat="1" applyFont="1" applyFill="1" applyBorder="1" applyAlignment="1"/>
    <xf numFmtId="0" fontId="14" fillId="0" borderId="0" xfId="0" applyFont="1" applyAlignment="1"/>
    <xf numFmtId="0" fontId="14" fillId="0" borderId="19" xfId="0" applyFont="1" applyBorder="1" applyAlignment="1"/>
    <xf numFmtId="0" fontId="14" fillId="0" borderId="18" xfId="0" applyFont="1" applyBorder="1" applyAlignment="1"/>
    <xf numFmtId="165" fontId="14" fillId="0" borderId="18" xfId="0" applyNumberFormat="1" applyFont="1" applyBorder="1" applyAlignment="1"/>
    <xf numFmtId="3" fontId="15" fillId="0" borderId="18" xfId="0" applyNumberFormat="1" applyFont="1" applyBorder="1" applyAlignment="1" applyProtection="1">
      <protection locked="0"/>
    </xf>
    <xf numFmtId="0" fontId="9" fillId="0" borderId="0" xfId="0" applyFont="1" applyFill="1" applyBorder="1" applyAlignment="1"/>
    <xf numFmtId="0" fontId="0" fillId="0" borderId="0" xfId="0" applyFill="1" applyBorder="1" applyAlignment="1"/>
    <xf numFmtId="0" fontId="0" fillId="0" borderId="0" xfId="0" applyBorder="1" applyAlignment="1"/>
    <xf numFmtId="0" fontId="14" fillId="0" borderId="16" xfId="0" applyFont="1" applyBorder="1" applyAlignment="1"/>
    <xf numFmtId="165" fontId="14" fillId="2" borderId="14" xfId="0" applyNumberFormat="1" applyFont="1" applyFill="1" applyBorder="1" applyAlignment="1"/>
    <xf numFmtId="3" fontId="15" fillId="2" borderId="14" xfId="0" applyNumberFormat="1" applyFont="1" applyFill="1" applyBorder="1" applyAlignment="1" applyProtection="1">
      <protection locked="0"/>
    </xf>
    <xf numFmtId="0" fontId="14" fillId="2" borderId="14" xfId="0" applyFont="1" applyFill="1" applyBorder="1" applyAlignment="1"/>
    <xf numFmtId="165" fontId="14" fillId="2" borderId="15" xfId="0" applyNumberFormat="1" applyFont="1" applyFill="1" applyBorder="1" applyAlignment="1"/>
    <xf numFmtId="1" fontId="12" fillId="0" borderId="16" xfId="0" applyNumberFormat="1" applyFont="1" applyBorder="1" applyAlignment="1" applyProtection="1">
      <protection locked="0"/>
    </xf>
    <xf numFmtId="165" fontId="0" fillId="0" borderId="16" xfId="0" applyNumberFormat="1" applyBorder="1" applyAlignment="1" applyProtection="1">
      <protection locked="0"/>
    </xf>
    <xf numFmtId="0" fontId="17" fillId="0" borderId="0" xfId="0" applyFont="1" applyAlignment="1"/>
    <xf numFmtId="0" fontId="22" fillId="0" borderId="23" xfId="0" applyFont="1" applyBorder="1" applyAlignment="1"/>
    <xf numFmtId="2" fontId="22" fillId="0" borderId="23" xfId="0" applyNumberFormat="1" applyFont="1" applyBorder="1" applyAlignment="1"/>
    <xf numFmtId="0" fontId="22" fillId="0" borderId="23" xfId="0" applyFont="1" applyBorder="1" applyAlignment="1">
      <alignment horizontal="center"/>
    </xf>
    <xf numFmtId="164" fontId="22" fillId="0" borderId="23" xfId="0" applyNumberFormat="1" applyFont="1" applyBorder="1" applyAlignment="1">
      <alignment horizontal="center"/>
    </xf>
    <xf numFmtId="0" fontId="22" fillId="0" borderId="0" xfId="0" applyFont="1" applyAlignment="1"/>
    <xf numFmtId="2" fontId="22" fillId="0" borderId="0" xfId="0" applyNumberFormat="1" applyFont="1" applyAlignment="1"/>
    <xf numFmtId="164" fontId="22" fillId="0" borderId="0" xfId="0" applyNumberFormat="1" applyFont="1" applyAlignment="1"/>
    <xf numFmtId="167" fontId="22" fillId="0" borderId="0" xfId="0" applyNumberFormat="1" applyFont="1" applyAlignment="1"/>
    <xf numFmtId="0" fontId="17" fillId="6" borderId="0" xfId="0" applyFont="1" applyFill="1" applyAlignment="1"/>
    <xf numFmtId="7" fontId="22" fillId="6" borderId="0" xfId="3" applyFont="1" applyFill="1" applyAlignment="1"/>
    <xf numFmtId="1" fontId="22" fillId="6" borderId="0" xfId="0" applyNumberFormat="1" applyFont="1" applyFill="1" applyAlignment="1"/>
    <xf numFmtId="1" fontId="22" fillId="6" borderId="0" xfId="0" applyNumberFormat="1" applyFont="1" applyFill="1" applyAlignment="1">
      <alignment horizontal="right"/>
    </xf>
    <xf numFmtId="7" fontId="21" fillId="6" borderId="0" xfId="3" applyFont="1" applyFill="1" applyAlignment="1"/>
    <xf numFmtId="1" fontId="0" fillId="6" borderId="0" xfId="0" applyNumberFormat="1" applyFill="1" applyAlignment="1"/>
    <xf numFmtId="164" fontId="0" fillId="0" borderId="0" xfId="0" applyNumberFormat="1" applyAlignment="1"/>
    <xf numFmtId="7" fontId="0" fillId="0" borderId="0" xfId="3" applyFont="1" applyAlignment="1"/>
    <xf numFmtId="7" fontId="0" fillId="0" borderId="0" xfId="3" applyFont="1" applyFill="1" applyBorder="1" applyAlignment="1"/>
    <xf numFmtId="8" fontId="22" fillId="0" borderId="0" xfId="0" applyNumberFormat="1" applyFont="1" applyAlignment="1"/>
    <xf numFmtId="10" fontId="0" fillId="0" borderId="0" xfId="8" applyFont="1" applyAlignment="1"/>
    <xf numFmtId="7" fontId="23" fillId="0" borderId="0" xfId="0" applyNumberFormat="1" applyFont="1" applyAlignment="1"/>
    <xf numFmtId="164" fontId="22" fillId="0" borderId="0" xfId="0" applyNumberFormat="1" applyFont="1" applyFill="1" applyBorder="1" applyAlignment="1">
      <alignment horizontal="center"/>
    </xf>
    <xf numFmtId="164" fontId="22" fillId="0" borderId="0" xfId="0" applyNumberFormat="1" applyFont="1" applyFill="1" applyBorder="1" applyAlignment="1">
      <alignment horizontal="center" wrapText="1"/>
    </xf>
    <xf numFmtId="2" fontId="0" fillId="0" borderId="0" xfId="0" applyNumberFormat="1" applyAlignment="1"/>
    <xf numFmtId="43" fontId="0" fillId="0" borderId="0" xfId="9" applyFont="1" applyAlignment="1"/>
    <xf numFmtId="168" fontId="0" fillId="0" borderId="0" xfId="9" applyNumberFormat="1" applyFont="1" applyAlignment="1"/>
    <xf numFmtId="168" fontId="0" fillId="0" borderId="0" xfId="0" applyNumberFormat="1" applyAlignment="1"/>
    <xf numFmtId="0" fontId="9" fillId="0" borderId="0" xfId="0" applyFont="1" applyAlignment="1"/>
    <xf numFmtId="0" fontId="9" fillId="0" borderId="0" xfId="0" applyFont="1" applyAlignment="1">
      <alignment horizontal="center" wrapText="1"/>
    </xf>
    <xf numFmtId="0" fontId="9" fillId="0" borderId="0" xfId="0" applyFont="1" applyAlignment="1">
      <alignment horizontal="center"/>
    </xf>
    <xf numFmtId="0" fontId="25" fillId="0" borderId="0" xfId="11" applyFont="1"/>
    <xf numFmtId="0" fontId="17" fillId="0" borderId="0" xfId="11" applyFont="1"/>
    <xf numFmtId="2" fontId="17" fillId="0" borderId="0" xfId="11" applyNumberFormat="1" applyFont="1"/>
    <xf numFmtId="44" fontId="17" fillId="0" borderId="0" xfId="12" applyFont="1"/>
    <xf numFmtId="0" fontId="17" fillId="0" borderId="23" xfId="11" applyFont="1" applyBorder="1"/>
    <xf numFmtId="0" fontId="9" fillId="0" borderId="26" xfId="11" applyFont="1" applyBorder="1" applyAlignment="1">
      <alignment horizontal="center" wrapText="1"/>
    </xf>
    <xf numFmtId="2" fontId="9" fillId="0" borderId="26" xfId="11" applyNumberFormat="1" applyFont="1" applyBorder="1" applyAlignment="1">
      <alignment horizontal="center" wrapText="1"/>
    </xf>
    <xf numFmtId="44" fontId="9" fillId="0" borderId="26" xfId="12" applyFont="1" applyBorder="1" applyAlignment="1">
      <alignment horizontal="center" wrapText="1"/>
    </xf>
    <xf numFmtId="0" fontId="26" fillId="0" borderId="0" xfId="11" applyFont="1" applyAlignment="1">
      <alignment horizontal="center" wrapText="1"/>
    </xf>
    <xf numFmtId="0" fontId="17" fillId="0" borderId="27" xfId="11" applyFont="1" applyBorder="1"/>
    <xf numFmtId="0" fontId="17" fillId="0" borderId="13" xfId="11" applyFont="1" applyBorder="1"/>
    <xf numFmtId="0" fontId="11" fillId="0" borderId="0" xfId="11" applyFont="1"/>
    <xf numFmtId="10" fontId="17" fillId="0" borderId="0" xfId="13" applyNumberFormat="1" applyFont="1"/>
    <xf numFmtId="0" fontId="9" fillId="0" borderId="27" xfId="11" applyFont="1" applyBorder="1"/>
    <xf numFmtId="2" fontId="9" fillId="0" borderId="27" xfId="11" applyNumberFormat="1" applyFont="1" applyBorder="1"/>
    <xf numFmtId="44" fontId="9" fillId="0" borderId="27" xfId="12" applyFont="1" applyBorder="1"/>
    <xf numFmtId="0" fontId="11" fillId="0" borderId="0" xfId="11" applyFont="1" applyFill="1" applyBorder="1" applyAlignment="1">
      <alignment horizontal="left"/>
    </xf>
    <xf numFmtId="0" fontId="17" fillId="0" borderId="0" xfId="11" applyFont="1" applyBorder="1"/>
    <xf numFmtId="2" fontId="17" fillId="0" borderId="0" xfId="11" applyNumberFormat="1" applyFont="1" applyBorder="1"/>
    <xf numFmtId="44" fontId="17" fillId="0" borderId="0" xfId="12" applyFont="1" applyBorder="1"/>
    <xf numFmtId="0" fontId="17" fillId="0" borderId="0" xfId="11" applyFont="1" applyFill="1" applyBorder="1"/>
    <xf numFmtId="0" fontId="9" fillId="0" borderId="28" xfId="11" applyFont="1" applyBorder="1"/>
    <xf numFmtId="2" fontId="9" fillId="0" borderId="28" xfId="11" applyNumberFormat="1" applyFont="1" applyBorder="1"/>
    <xf numFmtId="44" fontId="9" fillId="0" borderId="28" xfId="12" applyFont="1" applyBorder="1"/>
    <xf numFmtId="2" fontId="25" fillId="0" borderId="0" xfId="11" applyNumberFormat="1" applyFont="1"/>
    <xf numFmtId="44" fontId="25" fillId="0" borderId="0" xfId="12" applyFont="1"/>
    <xf numFmtId="0" fontId="0" fillId="0" borderId="0" xfId="11" applyFont="1"/>
    <xf numFmtId="0" fontId="0" fillId="0" borderId="0" xfId="11" applyFont="1" applyBorder="1"/>
    <xf numFmtId="0" fontId="8" fillId="0" borderId="0" xfId="19" applyFont="1"/>
    <xf numFmtId="0" fontId="8" fillId="0" borderId="14" xfId="19" applyFont="1" applyBorder="1" applyAlignment="1">
      <alignment horizontal="center" wrapText="1"/>
    </xf>
    <xf numFmtId="0" fontId="24" fillId="0" borderId="0" xfId="19" applyFont="1"/>
    <xf numFmtId="44" fontId="8" fillId="0" borderId="0" xfId="20" applyFont="1"/>
    <xf numFmtId="0" fontId="8" fillId="0" borderId="0" xfId="19" quotePrefix="1" applyFont="1" applyProtection="1"/>
    <xf numFmtId="44" fontId="30" fillId="0" borderId="0" xfId="20" applyFont="1" applyProtection="1"/>
    <xf numFmtId="0" fontId="8" fillId="0" borderId="0" xfId="19" quotePrefix="1" applyFont="1"/>
    <xf numFmtId="44" fontId="30" fillId="0" borderId="0" xfId="20" applyFont="1"/>
    <xf numFmtId="0" fontId="8" fillId="0" borderId="0" xfId="19" applyFont="1" applyBorder="1"/>
    <xf numFmtId="44" fontId="30" fillId="0" borderId="0" xfId="20" applyFont="1" applyBorder="1"/>
    <xf numFmtId="0" fontId="32" fillId="0" borderId="0" xfId="19" applyFont="1"/>
    <xf numFmtId="0" fontId="34" fillId="0" borderId="0" xfId="11" applyFont="1" applyBorder="1"/>
    <xf numFmtId="0" fontId="35" fillId="0" borderId="0" xfId="11" applyFont="1" applyBorder="1"/>
    <xf numFmtId="0" fontId="32" fillId="0" borderId="0" xfId="19" applyFont="1" applyBorder="1"/>
    <xf numFmtId="0" fontId="8" fillId="0" borderId="0" xfId="19" applyFont="1" applyAlignment="1">
      <alignment horizontal="center"/>
    </xf>
    <xf numFmtId="44" fontId="24" fillId="8" borderId="25" xfId="10" applyNumberFormat="1" applyFill="1" applyAlignment="1"/>
    <xf numFmtId="44" fontId="24" fillId="8" borderId="25" xfId="10" applyNumberFormat="1" applyFill="1" applyAlignment="1" applyProtection="1"/>
    <xf numFmtId="0" fontId="35" fillId="8" borderId="0" xfId="11" applyFont="1" applyFill="1" applyBorder="1" applyAlignment="1">
      <alignment horizontal="left"/>
    </xf>
    <xf numFmtId="0" fontId="34" fillId="8" borderId="0" xfId="11" applyFont="1" applyFill="1"/>
    <xf numFmtId="44" fontId="34" fillId="8" borderId="0" xfId="12" applyFont="1" applyFill="1"/>
    <xf numFmtId="10" fontId="34" fillId="8" borderId="0" xfId="13" applyNumberFormat="1" applyFont="1" applyFill="1"/>
    <xf numFmtId="0" fontId="33" fillId="8" borderId="0" xfId="11" applyFont="1" applyFill="1"/>
    <xf numFmtId="2" fontId="34" fillId="8" borderId="0" xfId="11" applyNumberFormat="1" applyFont="1" applyFill="1"/>
    <xf numFmtId="44" fontId="30" fillId="8" borderId="0" xfId="20" applyFont="1" applyFill="1" applyProtection="1"/>
    <xf numFmtId="0" fontId="34" fillId="8" borderId="0" xfId="11" applyFont="1" applyFill="1" applyBorder="1"/>
    <xf numFmtId="44" fontId="34" fillId="8" borderId="0" xfId="12" applyFont="1" applyFill="1" applyBorder="1"/>
    <xf numFmtId="0" fontId="24" fillId="8" borderId="25" xfId="10" applyFill="1"/>
    <xf numFmtId="2" fontId="24" fillId="8" borderId="25" xfId="10" applyNumberFormat="1" applyFill="1"/>
    <xf numFmtId="44" fontId="24" fillId="8" borderId="25" xfId="10" applyNumberFormat="1" applyFill="1"/>
    <xf numFmtId="44" fontId="24" fillId="8" borderId="25" xfId="10" applyNumberFormat="1" applyFill="1" applyProtection="1"/>
    <xf numFmtId="0" fontId="38" fillId="0" borderId="0" xfId="0" applyFont="1" applyAlignment="1" applyProtection="1">
      <protection locked="0"/>
    </xf>
    <xf numFmtId="0" fontId="38" fillId="0" borderId="0" xfId="0" applyFont="1" applyAlignment="1" applyProtection="1">
      <alignment horizontal="center" wrapText="1"/>
      <protection locked="0"/>
    </xf>
    <xf numFmtId="0" fontId="38" fillId="0" borderId="0" xfId="0" applyFont="1" applyAlignment="1">
      <alignment horizontal="center" wrapText="1"/>
    </xf>
    <xf numFmtId="0" fontId="38" fillId="0" borderId="0" xfId="0" applyFont="1" applyAlignment="1"/>
    <xf numFmtId="43" fontId="38" fillId="0" borderId="0" xfId="9" applyFont="1" applyAlignment="1"/>
    <xf numFmtId="168" fontId="38" fillId="0" borderId="0" xfId="9" applyNumberFormat="1" applyFont="1" applyAlignment="1"/>
    <xf numFmtId="0" fontId="34" fillId="0" borderId="0" xfId="0" applyFont="1" applyAlignment="1"/>
    <xf numFmtId="168" fontId="38" fillId="0" borderId="0" xfId="0" applyNumberFormat="1" applyFont="1" applyAlignment="1"/>
    <xf numFmtId="168" fontId="17" fillId="0" borderId="0" xfId="9" applyNumberFormat="1" applyFont="1"/>
    <xf numFmtId="0" fontId="38" fillId="0" borderId="0" xfId="11" applyFont="1" applyAlignment="1">
      <alignment horizontal="left"/>
    </xf>
    <xf numFmtId="43" fontId="38" fillId="0" borderId="0" xfId="9" applyFont="1" applyAlignment="1">
      <alignment horizontal="right"/>
    </xf>
    <xf numFmtId="43" fontId="8" fillId="0" borderId="0" xfId="9" applyFont="1" applyAlignment="1">
      <alignment horizontal="center"/>
    </xf>
    <xf numFmtId="0" fontId="8" fillId="0" borderId="0" xfId="19" applyFont="1" applyAlignment="1"/>
    <xf numFmtId="0" fontId="7" fillId="0" borderId="0" xfId="19" applyFont="1" applyAlignment="1"/>
    <xf numFmtId="0" fontId="0" fillId="0" borderId="0" xfId="11" applyFont="1" applyAlignment="1">
      <alignment horizontal="left"/>
    </xf>
    <xf numFmtId="43" fontId="38" fillId="11" borderId="0" xfId="9" applyFont="1" applyFill="1" applyAlignment="1"/>
    <xf numFmtId="0" fontId="41" fillId="12" borderId="0" xfId="0" applyFont="1" applyFill="1" applyAlignment="1" applyProtection="1">
      <protection locked="0"/>
    </xf>
    <xf numFmtId="0" fontId="41" fillId="0" borderId="0" xfId="0" applyFont="1" applyAlignment="1" applyProtection="1">
      <protection locked="0"/>
    </xf>
    <xf numFmtId="0" fontId="42" fillId="0" borderId="0" xfId="0" applyFont="1" applyBorder="1" applyAlignment="1" applyProtection="1">
      <alignment horizontal="center"/>
      <protection locked="0"/>
    </xf>
    <xf numFmtId="0" fontId="18" fillId="0" borderId="0" xfId="0" applyFont="1" applyAlignment="1" applyProtection="1">
      <protection locked="0"/>
    </xf>
    <xf numFmtId="0" fontId="18" fillId="12" borderId="0" xfId="0" applyFont="1" applyFill="1" applyAlignment="1" applyProtection="1">
      <alignment horizontal="center"/>
      <protection locked="0"/>
    </xf>
    <xf numFmtId="0" fontId="18" fillId="0" borderId="0" xfId="0" applyFont="1" applyAlignment="1" applyProtection="1">
      <alignment horizontal="center"/>
      <protection locked="0"/>
    </xf>
    <xf numFmtId="0" fontId="43" fillId="0" borderId="16" xfId="0" applyFont="1" applyFill="1" applyBorder="1" applyAlignment="1" applyProtection="1">
      <alignment horizontal="left"/>
      <protection locked="0"/>
    </xf>
    <xf numFmtId="0" fontId="41" fillId="0" borderId="16" xfId="0" applyFont="1" applyBorder="1" applyAlignment="1" applyProtection="1">
      <protection locked="0"/>
    </xf>
    <xf numFmtId="3" fontId="43" fillId="0" borderId="0" xfId="0" applyNumberFormat="1" applyFont="1" applyAlignment="1" applyProtection="1">
      <protection locked="0"/>
    </xf>
    <xf numFmtId="0" fontId="18" fillId="0" borderId="14" xfId="0" applyFont="1" applyBorder="1" applyAlignment="1" applyProtection="1">
      <alignment wrapText="1"/>
      <protection locked="0"/>
    </xf>
    <xf numFmtId="0" fontId="18" fillId="0" borderId="14" xfId="0" applyFont="1" applyBorder="1" applyAlignment="1" applyProtection="1">
      <alignment horizontal="center" wrapText="1"/>
      <protection locked="0"/>
    </xf>
    <xf numFmtId="0" fontId="18" fillId="0" borderId="15" xfId="0" applyFont="1" applyBorder="1" applyAlignment="1" applyProtection="1">
      <alignment horizontal="center" wrapText="1"/>
      <protection locked="0"/>
    </xf>
    <xf numFmtId="0" fontId="18" fillId="12" borderId="0" xfId="0" applyFont="1" applyFill="1" applyBorder="1" applyAlignment="1" applyProtection="1">
      <protection locked="0"/>
    </xf>
    <xf numFmtId="1" fontId="41" fillId="0" borderId="0" xfId="0" applyNumberFormat="1" applyFont="1" applyAlignment="1" applyProtection="1">
      <alignment horizontal="center"/>
      <protection locked="0"/>
    </xf>
    <xf numFmtId="0" fontId="41" fillId="0" borderId="0" xfId="0" applyFont="1" applyAlignment="1" applyProtection="1">
      <alignment horizontal="centerContinuous"/>
      <protection locked="0"/>
    </xf>
    <xf numFmtId="166" fontId="43" fillId="0" borderId="0" xfId="0" applyNumberFormat="1" applyFont="1" applyAlignment="1" applyProtection="1">
      <protection locked="0"/>
    </xf>
    <xf numFmtId="0" fontId="45" fillId="12" borderId="0" xfId="7" applyFont="1" applyFill="1" applyAlignment="1" applyProtection="1">
      <protection locked="0"/>
    </xf>
    <xf numFmtId="0" fontId="45" fillId="12" borderId="0" xfId="7" applyFont="1" applyFill="1" applyAlignment="1" applyProtection="1">
      <alignment horizontal="left"/>
      <protection locked="0"/>
    </xf>
    <xf numFmtId="1" fontId="46" fillId="3" borderId="14" xfId="0" applyNumberFormat="1" applyFont="1" applyFill="1" applyBorder="1" applyAlignment="1" applyProtection="1">
      <protection locked="0"/>
    </xf>
    <xf numFmtId="2" fontId="46" fillId="3" borderId="14" xfId="0" applyNumberFormat="1" applyFont="1" applyFill="1" applyBorder="1" applyAlignment="1" applyProtection="1">
      <protection locked="0"/>
    </xf>
    <xf numFmtId="0" fontId="47" fillId="0" borderId="17" xfId="0" applyFont="1" applyBorder="1" applyAlignment="1">
      <alignment horizontal="left"/>
    </xf>
    <xf numFmtId="0" fontId="47" fillId="0" borderId="14" xfId="0" applyFont="1" applyBorder="1" applyAlignment="1">
      <alignment horizontal="left"/>
    </xf>
    <xf numFmtId="0" fontId="24" fillId="13" borderId="30" xfId="10" applyFont="1" applyFill="1" applyBorder="1" applyAlignment="1" applyProtection="1">
      <protection locked="0"/>
    </xf>
    <xf numFmtId="0" fontId="46" fillId="0" borderId="0" xfId="0" applyFont="1" applyBorder="1" applyAlignment="1" applyProtection="1">
      <protection locked="0"/>
    </xf>
    <xf numFmtId="0" fontId="41" fillId="12" borderId="0" xfId="0" applyFont="1" applyFill="1" applyBorder="1" applyAlignment="1" applyProtection="1">
      <protection locked="0"/>
    </xf>
    <xf numFmtId="0" fontId="42" fillId="0" borderId="0" xfId="0" applyFont="1" applyFill="1" applyAlignment="1" applyProtection="1">
      <protection locked="0"/>
    </xf>
    <xf numFmtId="0" fontId="44" fillId="0" borderId="0" xfId="0" applyFont="1" applyAlignment="1" applyProtection="1">
      <protection locked="0"/>
    </xf>
    <xf numFmtId="1" fontId="44" fillId="0" borderId="0" xfId="0" applyNumberFormat="1" applyFont="1" applyAlignment="1" applyProtection="1">
      <protection locked="0"/>
    </xf>
    <xf numFmtId="1" fontId="41" fillId="0" borderId="0" xfId="0" applyNumberFormat="1" applyFont="1" applyAlignment="1" applyProtection="1">
      <protection locked="0"/>
    </xf>
    <xf numFmtId="0" fontId="18" fillId="12" borderId="0" xfId="0" applyFont="1" applyFill="1" applyBorder="1" applyAlignment="1" applyProtection="1">
      <alignment horizontal="centerContinuous"/>
      <protection locked="0"/>
    </xf>
    <xf numFmtId="0" fontId="18" fillId="12" borderId="0" xfId="0" applyFont="1" applyFill="1" applyBorder="1" applyAlignment="1" applyProtection="1">
      <alignment horizontal="left"/>
      <protection locked="0"/>
    </xf>
    <xf numFmtId="0" fontId="41" fillId="0" borderId="0" xfId="0" applyFont="1" applyAlignment="1" applyProtection="1">
      <protection locked="0"/>
    </xf>
    <xf numFmtId="0" fontId="41" fillId="0" borderId="0" xfId="0" applyFont="1" applyAlignment="1"/>
    <xf numFmtId="0" fontId="41" fillId="0" borderId="0" xfId="0" applyFont="1" applyAlignment="1">
      <alignment wrapText="1"/>
    </xf>
    <xf numFmtId="7" fontId="41" fillId="0" borderId="0" xfId="3" applyFont="1" applyAlignment="1"/>
    <xf numFmtId="7" fontId="17" fillId="0" borderId="0" xfId="3" applyFont="1"/>
    <xf numFmtId="10" fontId="41" fillId="0" borderId="0" xfId="8" applyFont="1" applyAlignment="1"/>
    <xf numFmtId="43" fontId="41" fillId="0" borderId="0" xfId="9" applyFont="1" applyAlignment="1"/>
    <xf numFmtId="43" fontId="41" fillId="0" borderId="0" xfId="9" applyFont="1" applyAlignment="1">
      <alignment horizontal="left" indent="1"/>
    </xf>
    <xf numFmtId="0" fontId="6" fillId="0" borderId="0" xfId="19" applyFont="1" applyAlignment="1"/>
    <xf numFmtId="7" fontId="8" fillId="0" borderId="0" xfId="3" applyFont="1" applyAlignment="1">
      <alignment horizontal="center"/>
    </xf>
    <xf numFmtId="7" fontId="41" fillId="0" borderId="0" xfId="0" applyNumberFormat="1" applyFont="1" applyAlignment="1"/>
    <xf numFmtId="43" fontId="41" fillId="0" borderId="0" xfId="0" applyNumberFormat="1" applyFont="1" applyAlignment="1"/>
    <xf numFmtId="0" fontId="41" fillId="0" borderId="0" xfId="0" applyFont="1" applyAlignment="1" applyProtection="1">
      <protection locked="0"/>
    </xf>
    <xf numFmtId="7" fontId="41" fillId="11" borderId="0" xfId="3" applyFont="1" applyFill="1" applyAlignment="1"/>
    <xf numFmtId="0" fontId="50" fillId="0" borderId="31" xfId="90" applyAlignment="1"/>
    <xf numFmtId="0" fontId="52" fillId="0" borderId="25" xfId="10" applyFont="1" applyAlignment="1"/>
    <xf numFmtId="7" fontId="52" fillId="0" borderId="25" xfId="10" applyNumberFormat="1" applyFont="1" applyAlignment="1"/>
    <xf numFmtId="0" fontId="52" fillId="11" borderId="25" xfId="10" applyFont="1" applyFill="1" applyAlignment="1"/>
    <xf numFmtId="10" fontId="39" fillId="15" borderId="29" xfId="91" applyNumberFormat="1" applyFont="1" applyAlignment="1" applyProtection="1">
      <protection locked="0"/>
    </xf>
    <xf numFmtId="3" fontId="51" fillId="15" borderId="29" xfId="91" applyNumberFormat="1" applyAlignment="1" applyProtection="1">
      <protection locked="0"/>
    </xf>
    <xf numFmtId="0" fontId="51" fillId="15" borderId="29" xfId="91" applyAlignment="1" applyProtection="1">
      <protection locked="0"/>
    </xf>
    <xf numFmtId="4" fontId="51" fillId="15" borderId="29" xfId="91" applyNumberFormat="1" applyAlignment="1" applyProtection="1">
      <protection locked="0"/>
    </xf>
    <xf numFmtId="7" fontId="51" fillId="15" borderId="29" xfId="91" applyNumberFormat="1" applyProtection="1">
      <protection locked="0"/>
    </xf>
    <xf numFmtId="10" fontId="51" fillId="15" borderId="29" xfId="91" applyNumberFormat="1" applyProtection="1">
      <protection locked="0"/>
    </xf>
    <xf numFmtId="0" fontId="51" fillId="15" borderId="29" xfId="91" applyAlignment="1" applyProtection="1">
      <alignment horizontal="center"/>
      <protection locked="0"/>
    </xf>
    <xf numFmtId="166" fontId="51" fillId="15" borderId="29" xfId="91" applyNumberFormat="1" applyAlignment="1" applyProtection="1">
      <protection locked="0"/>
    </xf>
    <xf numFmtId="0" fontId="5" fillId="16" borderId="0" xfId="92" applyAlignment="1" applyProtection="1">
      <protection locked="0"/>
    </xf>
    <xf numFmtId="3" fontId="5" fillId="16" borderId="0" xfId="92" applyNumberFormat="1" applyAlignment="1" applyProtection="1">
      <protection locked="0"/>
    </xf>
    <xf numFmtId="165" fontId="51" fillId="15" borderId="29" xfId="91" applyNumberFormat="1" applyAlignment="1" applyProtection="1">
      <protection locked="0"/>
    </xf>
    <xf numFmtId="1" fontId="51" fillId="15" borderId="29" xfId="91" applyNumberFormat="1" applyAlignment="1" applyProtection="1">
      <protection locked="0"/>
    </xf>
    <xf numFmtId="9" fontId="51" fillId="15" borderId="29" xfId="91" applyNumberFormat="1" applyAlignment="1" applyProtection="1">
      <protection locked="0"/>
    </xf>
    <xf numFmtId="43" fontId="51" fillId="15" borderId="29" xfId="91" applyNumberFormat="1" applyAlignment="1" applyProtection="1">
      <protection locked="0"/>
    </xf>
    <xf numFmtId="0" fontId="39" fillId="0" borderId="0" xfId="0" applyFont="1" applyAlignment="1"/>
    <xf numFmtId="0" fontId="39" fillId="0" borderId="0" xfId="0" applyFont="1" applyAlignment="1">
      <alignment horizontal="center" wrapText="1"/>
    </xf>
    <xf numFmtId="0" fontId="49" fillId="0" borderId="0" xfId="89" applyAlignment="1">
      <alignment horizontal="center"/>
    </xf>
    <xf numFmtId="0" fontId="41" fillId="0" borderId="0" xfId="0" applyFont="1" applyAlignment="1" applyProtection="1">
      <protection locked="0"/>
    </xf>
    <xf numFmtId="0" fontId="49" fillId="0" borderId="0" xfId="89" applyAlignment="1">
      <alignment horizontal="center"/>
    </xf>
    <xf numFmtId="0" fontId="24" fillId="0" borderId="0" xfId="19" applyFont="1"/>
    <xf numFmtId="0" fontId="41" fillId="0" borderId="0" xfId="0" applyFont="1" applyAlignment="1" applyProtection="1">
      <protection locked="0"/>
    </xf>
    <xf numFmtId="7" fontId="41" fillId="11" borderId="0" xfId="3" applyFont="1" applyFill="1" applyAlignment="1">
      <alignment horizontal="center"/>
    </xf>
    <xf numFmtId="0" fontId="18" fillId="0" borderId="14" xfId="0" applyFont="1" applyBorder="1" applyAlignment="1">
      <alignment horizontal="center"/>
    </xf>
    <xf numFmtId="0" fontId="50" fillId="0" borderId="31" xfId="90" applyAlignment="1">
      <alignment horizontal="center" wrapText="1"/>
    </xf>
    <xf numFmtId="7" fontId="50" fillId="0" borderId="31" xfId="90" applyNumberFormat="1" applyAlignment="1"/>
    <xf numFmtId="7" fontId="50" fillId="11" borderId="31" xfId="90" applyNumberFormat="1" applyFill="1" applyAlignment="1"/>
    <xf numFmtId="0" fontId="4" fillId="0" borderId="25" xfId="10" applyFont="1" applyAlignment="1"/>
    <xf numFmtId="0" fontId="18" fillId="0" borderId="17" xfId="0" applyFont="1" applyBorder="1" applyAlignment="1">
      <alignment horizontal="center" wrapText="1"/>
    </xf>
    <xf numFmtId="0" fontId="18" fillId="0" borderId="14" xfId="0" applyFont="1" applyBorder="1" applyAlignment="1">
      <alignment horizontal="center" wrapText="1"/>
    </xf>
    <xf numFmtId="7" fontId="18" fillId="0" borderId="14" xfId="3" applyFont="1" applyBorder="1" applyAlignment="1">
      <alignment horizontal="center" wrapText="1"/>
    </xf>
    <xf numFmtId="0" fontId="18" fillId="0" borderId="15" xfId="0" applyFont="1" applyBorder="1" applyAlignment="1">
      <alignment horizontal="center" wrapText="1"/>
    </xf>
    <xf numFmtId="7" fontId="41" fillId="0" borderId="0" xfId="3" applyFont="1"/>
    <xf numFmtId="7" fontId="24" fillId="0" borderId="25" xfId="10" applyNumberFormat="1" applyFont="1"/>
    <xf numFmtId="0" fontId="18" fillId="0" borderId="0" xfId="0" applyFont="1" applyAlignment="1"/>
    <xf numFmtId="7" fontId="18" fillId="0" borderId="0" xfId="3" applyFont="1"/>
    <xf numFmtId="7" fontId="18" fillId="0" borderId="0" xfId="0" applyNumberFormat="1" applyFont="1" applyAlignment="1"/>
    <xf numFmtId="44" fontId="41" fillId="0" borderId="0" xfId="3" applyNumberFormat="1" applyFont="1" applyAlignment="1"/>
    <xf numFmtId="2" fontId="51" fillId="15" borderId="29" xfId="91" applyNumberFormat="1" applyProtection="1">
      <protection locked="0"/>
    </xf>
    <xf numFmtId="7" fontId="51" fillId="15" borderId="29" xfId="3" applyFont="1" applyFill="1" applyBorder="1" applyProtection="1">
      <protection locked="0"/>
    </xf>
    <xf numFmtId="7" fontId="51" fillId="0" borderId="29" xfId="91" applyNumberFormat="1" applyFill="1" applyProtection="1">
      <protection locked="0"/>
    </xf>
    <xf numFmtId="5" fontId="41" fillId="0" borderId="0" xfId="3" applyNumberFormat="1" applyFont="1" applyAlignment="1"/>
    <xf numFmtId="4" fontId="41" fillId="0" borderId="0" xfId="0" applyNumberFormat="1" applyFont="1" applyAlignment="1" applyProtection="1"/>
    <xf numFmtId="37" fontId="41" fillId="0" borderId="0" xfId="3" applyNumberFormat="1" applyFont="1" applyProtection="1"/>
    <xf numFmtId="165" fontId="41" fillId="0" borderId="0" xfId="0" applyNumberFormat="1" applyFont="1" applyAlignment="1" applyProtection="1"/>
    <xf numFmtId="7" fontId="44" fillId="0" borderId="0" xfId="0" applyNumberFormat="1" applyFont="1" applyAlignment="1" applyProtection="1"/>
    <xf numFmtId="165" fontId="37" fillId="10" borderId="29" xfId="26" applyNumberFormat="1" applyFont="1" applyAlignment="1" applyProtection="1"/>
    <xf numFmtId="7" fontId="37" fillId="10" borderId="29" xfId="26" applyNumberFormat="1" applyFont="1" applyAlignment="1" applyProtection="1"/>
    <xf numFmtId="165" fontId="43" fillId="0" borderId="0" xfId="0" applyNumberFormat="1" applyFont="1" applyAlignment="1" applyProtection="1"/>
    <xf numFmtId="5" fontId="43" fillId="0" borderId="0" xfId="3" applyNumberFormat="1" applyFont="1" applyAlignment="1" applyProtection="1"/>
    <xf numFmtId="7" fontId="44" fillId="3" borderId="15" xfId="0" applyNumberFormat="1" applyFont="1" applyFill="1" applyBorder="1" applyAlignment="1" applyProtection="1"/>
    <xf numFmtId="165" fontId="41" fillId="0" borderId="0" xfId="0" applyNumberFormat="1" applyFont="1" applyFill="1" applyBorder="1" applyAlignment="1" applyProtection="1"/>
    <xf numFmtId="165" fontId="18" fillId="3" borderId="14" xfId="0" applyNumberFormat="1" applyFont="1" applyFill="1" applyBorder="1" applyAlignment="1" applyProtection="1"/>
    <xf numFmtId="43" fontId="43" fillId="0" borderId="0" xfId="9" applyFont="1" applyAlignment="1" applyProtection="1"/>
    <xf numFmtId="43" fontId="43" fillId="0" borderId="0" xfId="9" applyFont="1" applyBorder="1" applyAlignment="1" applyProtection="1"/>
    <xf numFmtId="7" fontId="51" fillId="0" borderId="29" xfId="91" applyNumberFormat="1" applyFill="1" applyProtection="1"/>
    <xf numFmtId="166" fontId="43" fillId="0" borderId="0" xfId="0" applyNumberFormat="1" applyFont="1" applyAlignment="1" applyProtection="1"/>
    <xf numFmtId="3" fontId="43" fillId="0" borderId="0" xfId="0" applyNumberFormat="1" applyFont="1" applyAlignment="1" applyProtection="1"/>
    <xf numFmtId="0" fontId="41" fillId="0" borderId="0" xfId="0" applyFont="1" applyAlignment="1" applyProtection="1"/>
    <xf numFmtId="0" fontId="40" fillId="0" borderId="0" xfId="0" applyFont="1" applyAlignment="1" applyProtection="1"/>
    <xf numFmtId="0" fontId="41" fillId="0" borderId="0" xfId="0" applyFont="1" applyBorder="1" applyAlignment="1" applyProtection="1"/>
    <xf numFmtId="7" fontId="41" fillId="0" borderId="18" xfId="3" applyFont="1" applyBorder="1" applyAlignment="1" applyProtection="1"/>
    <xf numFmtId="3" fontId="43" fillId="0" borderId="16" xfId="0" applyNumberFormat="1" applyFont="1" applyBorder="1" applyAlignment="1" applyProtection="1"/>
    <xf numFmtId="7" fontId="41" fillId="0" borderId="0" xfId="3" applyFont="1" applyProtection="1"/>
    <xf numFmtId="7" fontId="43" fillId="0" borderId="0" xfId="3" applyFont="1" applyProtection="1"/>
    <xf numFmtId="7" fontId="41" fillId="0" borderId="16" xfId="3" applyFont="1" applyBorder="1" applyProtection="1"/>
    <xf numFmtId="7" fontId="24" fillId="13" borderId="30" xfId="10" applyNumberFormat="1" applyFont="1" applyFill="1" applyBorder="1" applyAlignment="1" applyProtection="1"/>
    <xf numFmtId="166" fontId="24" fillId="13" borderId="30" xfId="10" applyNumberFormat="1" applyFont="1" applyFill="1" applyBorder="1" applyAlignment="1" applyProtection="1"/>
    <xf numFmtId="0" fontId="43" fillId="0" borderId="4" xfId="0" applyFont="1" applyFill="1" applyBorder="1" applyAlignment="1" applyProtection="1">
      <alignment horizontal="centerContinuous"/>
    </xf>
    <xf numFmtId="0" fontId="43" fillId="0" borderId="9" xfId="0" applyFont="1" applyFill="1" applyBorder="1" applyAlignment="1" applyProtection="1">
      <alignment horizontal="centerContinuous"/>
    </xf>
    <xf numFmtId="0" fontId="18" fillId="0" borderId="12" xfId="0" applyFont="1" applyFill="1" applyBorder="1" applyAlignment="1" applyProtection="1">
      <alignment horizontal="centerContinuous"/>
    </xf>
    <xf numFmtId="3" fontId="18" fillId="0" borderId="12" xfId="0" applyNumberFormat="1" applyFont="1" applyFill="1" applyBorder="1" applyAlignment="1" applyProtection="1">
      <alignment horizontal="centerContinuous"/>
    </xf>
    <xf numFmtId="10" fontId="48" fillId="0" borderId="0" xfId="8" applyFont="1" applyProtection="1"/>
    <xf numFmtId="1" fontId="43" fillId="0" borderId="0" xfId="0" applyNumberFormat="1" applyFont="1" applyAlignment="1" applyProtection="1"/>
    <xf numFmtId="0" fontId="41" fillId="0" borderId="0" xfId="0" applyFont="1" applyAlignment="1" applyProtection="1">
      <alignment horizontal="left"/>
    </xf>
    <xf numFmtId="165" fontId="41" fillId="0" borderId="6" xfId="0" applyNumberFormat="1" applyFont="1" applyFill="1" applyBorder="1" applyAlignment="1" applyProtection="1"/>
    <xf numFmtId="0" fontId="18" fillId="0" borderId="0" xfId="0" applyFont="1" applyBorder="1" applyAlignment="1" applyProtection="1"/>
    <xf numFmtId="165" fontId="18" fillId="0" borderId="0" xfId="0" applyNumberFormat="1" applyFont="1" applyBorder="1" applyAlignment="1" applyProtection="1"/>
    <xf numFmtId="1" fontId="46" fillId="0" borderId="0" xfId="0" applyNumberFormat="1" applyFont="1" applyBorder="1" applyAlignment="1" applyProtection="1"/>
    <xf numFmtId="165" fontId="46" fillId="0" borderId="0" xfId="0" applyNumberFormat="1" applyFont="1" applyBorder="1" applyAlignment="1" applyProtection="1"/>
    <xf numFmtId="0" fontId="41" fillId="0" borderId="1" xfId="0" applyFont="1" applyFill="1" applyBorder="1" applyAlignment="1" applyProtection="1"/>
    <xf numFmtId="0" fontId="46" fillId="8" borderId="18" xfId="0" applyFont="1" applyFill="1" applyBorder="1" applyAlignment="1" applyProtection="1">
      <alignment horizontal="left" wrapText="1"/>
    </xf>
    <xf numFmtId="0" fontId="41" fillId="0" borderId="0" xfId="0" applyFont="1" applyFill="1" applyBorder="1" applyAlignment="1" applyProtection="1">
      <alignment horizontal="center"/>
    </xf>
    <xf numFmtId="0" fontId="46" fillId="8" borderId="16" xfId="0" applyFont="1" applyFill="1" applyBorder="1" applyAlignment="1" applyProtection="1">
      <alignment horizontal="centerContinuous" wrapText="1"/>
    </xf>
    <xf numFmtId="166" fontId="41" fillId="0" borderId="0" xfId="0" applyNumberFormat="1" applyFont="1" applyAlignment="1" applyProtection="1"/>
    <xf numFmtId="7" fontId="41" fillId="0" borderId="0" xfId="3" applyFont="1" applyAlignment="1" applyProtection="1"/>
    <xf numFmtId="0" fontId="18" fillId="0" borderId="16" xfId="0" applyFont="1" applyBorder="1" applyAlignment="1" applyProtection="1">
      <alignment horizontal="left"/>
    </xf>
    <xf numFmtId="166" fontId="41" fillId="0" borderId="16" xfId="0" applyNumberFormat="1" applyFont="1" applyBorder="1" applyAlignment="1" applyProtection="1"/>
    <xf numFmtId="7" fontId="41" fillId="0" borderId="16" xfId="3" applyFont="1" applyBorder="1" applyAlignment="1" applyProtection="1"/>
    <xf numFmtId="0" fontId="41" fillId="0" borderId="16" xfId="0" applyFont="1" applyBorder="1" applyAlignment="1" applyProtection="1">
      <alignment horizontal="left"/>
    </xf>
    <xf numFmtId="0" fontId="41" fillId="0" borderId="0" xfId="0" applyFont="1" applyBorder="1" applyAlignment="1" applyProtection="1">
      <alignment horizontal="left"/>
    </xf>
    <xf numFmtId="166" fontId="41" fillId="0" borderId="0" xfId="0" applyNumberFormat="1" applyFont="1" applyBorder="1" applyAlignment="1" applyProtection="1"/>
    <xf numFmtId="7" fontId="41" fillId="0" borderId="0" xfId="3" applyFont="1" applyBorder="1" applyAlignment="1" applyProtection="1"/>
    <xf numFmtId="0" fontId="41" fillId="0" borderId="0" xfId="0" applyFont="1" applyAlignment="1" applyProtection="1">
      <alignment horizontal="left" vertical="center"/>
    </xf>
    <xf numFmtId="7" fontId="41" fillId="0" borderId="0" xfId="3" applyFont="1" applyAlignment="1" applyProtection="1">
      <alignment vertical="center"/>
    </xf>
    <xf numFmtId="0" fontId="41" fillId="0" borderId="0" xfId="0" applyFont="1" applyFill="1" applyBorder="1" applyAlignment="1" applyProtection="1">
      <alignment vertical="center"/>
    </xf>
    <xf numFmtId="7" fontId="41" fillId="0" borderId="0" xfId="3" applyFont="1" applyBorder="1" applyAlignment="1" applyProtection="1">
      <alignment vertical="center"/>
    </xf>
    <xf numFmtId="0" fontId="41" fillId="0" borderId="0" xfId="0" applyFont="1" applyFill="1" applyBorder="1" applyAlignment="1" applyProtection="1"/>
    <xf numFmtId="0" fontId="0" fillId="0" borderId="0" xfId="0" applyAlignment="1" applyProtection="1"/>
    <xf numFmtId="0" fontId="14" fillId="0" borderId="0" xfId="0" applyFont="1" applyAlignment="1" applyProtection="1"/>
    <xf numFmtId="0" fontId="16" fillId="0" borderId="0" xfId="7" applyAlignment="1" applyProtection="1"/>
    <xf numFmtId="0" fontId="14" fillId="0" borderId="20" xfId="0" applyFont="1" applyBorder="1" applyAlignment="1" applyProtection="1">
      <alignment horizontal="center" wrapText="1"/>
    </xf>
    <xf numFmtId="0" fontId="14" fillId="0" borderId="21" xfId="0" applyFont="1" applyBorder="1" applyAlignment="1" applyProtection="1">
      <alignment horizontal="center" wrapText="1"/>
    </xf>
    <xf numFmtId="165" fontId="0" fillId="0" borderId="0" xfId="0" applyNumberFormat="1" applyAlignment="1" applyProtection="1"/>
    <xf numFmtId="4" fontId="12" fillId="0" borderId="0" xfId="0" applyNumberFormat="1" applyFont="1" applyAlignment="1" applyProtection="1"/>
    <xf numFmtId="165" fontId="12" fillId="0" borderId="0" xfId="0" applyNumberFormat="1" applyFont="1" applyAlignment="1" applyProtection="1"/>
    <xf numFmtId="10" fontId="0" fillId="0" borderId="0" xfId="8" applyFont="1" applyProtection="1"/>
    <xf numFmtId="7" fontId="0" fillId="0" borderId="0" xfId="3" applyFont="1" applyProtection="1"/>
    <xf numFmtId="8" fontId="0" fillId="0" borderId="0" xfId="0" applyNumberFormat="1" applyAlignment="1" applyProtection="1"/>
    <xf numFmtId="3" fontId="14" fillId="0" borderId="14" xfId="0" applyNumberFormat="1" applyFont="1" applyBorder="1" applyAlignment="1" applyProtection="1"/>
    <xf numFmtId="165" fontId="15" fillId="0" borderId="14" xfId="0" applyNumberFormat="1" applyFont="1" applyBorder="1" applyAlignment="1" applyProtection="1"/>
    <xf numFmtId="165" fontId="14" fillId="0" borderId="14" xfId="0" applyNumberFormat="1" applyFont="1" applyBorder="1" applyAlignment="1" applyProtection="1"/>
    <xf numFmtId="165" fontId="15" fillId="0" borderId="15" xfId="0" applyNumberFormat="1" applyFont="1" applyBorder="1" applyAlignment="1" applyProtection="1"/>
    <xf numFmtId="0" fontId="0" fillId="0" borderId="14" xfId="0" applyBorder="1" applyAlignment="1" applyProtection="1"/>
    <xf numFmtId="7" fontId="0" fillId="0" borderId="14" xfId="0" applyNumberFormat="1" applyBorder="1" applyAlignment="1" applyProtection="1"/>
    <xf numFmtId="165" fontId="14" fillId="0" borderId="15" xfId="0" applyNumberFormat="1" applyFont="1" applyFill="1" applyBorder="1" applyAlignment="1" applyProtection="1"/>
    <xf numFmtId="0" fontId="0" fillId="0" borderId="0" xfId="0" applyBorder="1" applyAlignment="1" applyProtection="1"/>
    <xf numFmtId="3" fontId="0" fillId="0" borderId="0" xfId="0" applyNumberFormat="1" applyBorder="1" applyAlignment="1" applyProtection="1"/>
    <xf numFmtId="165" fontId="12" fillId="0" borderId="0" xfId="0" applyNumberFormat="1" applyFont="1" applyBorder="1" applyAlignment="1" applyProtection="1"/>
    <xf numFmtId="165" fontId="0" fillId="0" borderId="0" xfId="0" applyNumberFormat="1" applyBorder="1" applyAlignment="1" applyProtection="1"/>
    <xf numFmtId="1" fontId="12" fillId="0" borderId="0" xfId="0" applyNumberFormat="1" applyFont="1" applyAlignment="1" applyProtection="1"/>
    <xf numFmtId="3" fontId="12" fillId="0" borderId="0" xfId="0" applyNumberFormat="1" applyFont="1" applyAlignment="1" applyProtection="1"/>
    <xf numFmtId="0" fontId="14" fillId="0" borderId="17" xfId="0" applyFont="1" applyBorder="1" applyAlignment="1" applyProtection="1">
      <alignment horizontal="left"/>
    </xf>
    <xf numFmtId="0" fontId="14" fillId="0" borderId="14" xfId="0" applyFont="1" applyBorder="1" applyAlignment="1" applyProtection="1">
      <alignment horizontal="left"/>
    </xf>
    <xf numFmtId="3" fontId="14" fillId="0" borderId="14" xfId="0" applyNumberFormat="1" applyFont="1" applyBorder="1" applyAlignment="1" applyProtection="1">
      <alignment horizontal="left"/>
    </xf>
    <xf numFmtId="165" fontId="15" fillId="0" borderId="14" xfId="0" applyNumberFormat="1" applyFont="1" applyBorder="1" applyAlignment="1" applyProtection="1">
      <alignment horizontal="left"/>
    </xf>
    <xf numFmtId="7" fontId="15" fillId="0" borderId="15" xfId="3" applyFont="1" applyBorder="1" applyProtection="1"/>
    <xf numFmtId="1" fontId="15" fillId="0" borderId="14" xfId="0" applyNumberFormat="1" applyFont="1" applyBorder="1" applyAlignment="1" applyProtection="1"/>
    <xf numFmtId="8" fontId="0" fillId="0" borderId="14" xfId="0" applyNumberFormat="1" applyBorder="1" applyAlignment="1" applyProtection="1"/>
    <xf numFmtId="165" fontId="15" fillId="0" borderId="15" xfId="0" applyNumberFormat="1" applyFont="1" applyFill="1" applyBorder="1" applyAlignment="1" applyProtection="1"/>
    <xf numFmtId="1" fontId="0" fillId="0" borderId="0" xfId="0" applyNumberFormat="1" applyAlignment="1" applyProtection="1"/>
    <xf numFmtId="0" fontId="14" fillId="0" borderId="0" xfId="0" applyFont="1" applyBorder="1" applyAlignment="1" applyProtection="1">
      <alignment horizontal="left"/>
    </xf>
    <xf numFmtId="3" fontId="14" fillId="0" borderId="0" xfId="0" applyNumberFormat="1" applyFont="1" applyBorder="1" applyAlignment="1" applyProtection="1">
      <alignment horizontal="left"/>
    </xf>
    <xf numFmtId="165" fontId="15" fillId="0" borderId="0" xfId="0" applyNumberFormat="1" applyFont="1" applyBorder="1" applyAlignment="1" applyProtection="1">
      <alignment horizontal="left"/>
    </xf>
    <xf numFmtId="165" fontId="15" fillId="0" borderId="0" xfId="0" applyNumberFormat="1" applyFont="1" applyBorder="1" applyAlignment="1" applyProtection="1"/>
    <xf numFmtId="7" fontId="15" fillId="0" borderId="0" xfId="3" applyFont="1" applyBorder="1" applyProtection="1"/>
    <xf numFmtId="1" fontId="15" fillId="0" borderId="0" xfId="0" applyNumberFormat="1" applyFont="1" applyBorder="1" applyAlignment="1" applyProtection="1"/>
    <xf numFmtId="0" fontId="14" fillId="5" borderId="0" xfId="0" applyFont="1" applyFill="1" applyAlignment="1" applyProtection="1"/>
    <xf numFmtId="0" fontId="14" fillId="0" borderId="0" xfId="0" applyFont="1" applyFill="1" applyAlignment="1" applyProtection="1"/>
    <xf numFmtId="165" fontId="0" fillId="0" borderId="0" xfId="0" applyNumberFormat="1" applyFill="1" applyBorder="1" applyAlignment="1" applyProtection="1"/>
    <xf numFmtId="7" fontId="12" fillId="0" borderId="0" xfId="3" applyFont="1" applyFill="1" applyBorder="1" applyProtection="1"/>
    <xf numFmtId="1" fontId="12" fillId="0" borderId="0" xfId="0" applyNumberFormat="1" applyFont="1" applyBorder="1" applyAlignment="1" applyProtection="1"/>
    <xf numFmtId="0" fontId="14" fillId="0" borderId="22" xfId="0" applyFont="1" applyBorder="1" applyAlignment="1" applyProtection="1"/>
    <xf numFmtId="165" fontId="15" fillId="0" borderId="22" xfId="0" applyNumberFormat="1" applyFont="1" applyBorder="1" applyAlignment="1" applyProtection="1"/>
    <xf numFmtId="7" fontId="0" fillId="0" borderId="22" xfId="3" applyFont="1" applyBorder="1" applyProtection="1"/>
    <xf numFmtId="165" fontId="12" fillId="0" borderId="22" xfId="0" applyNumberFormat="1" applyFont="1" applyBorder="1" applyAlignment="1" applyProtection="1"/>
    <xf numFmtId="0" fontId="14" fillId="3" borderId="17" xfId="0" applyFont="1" applyFill="1" applyBorder="1" applyAlignment="1" applyProtection="1"/>
    <xf numFmtId="0" fontId="14" fillId="3" borderId="14" xfId="0" applyFont="1" applyFill="1" applyBorder="1" applyAlignment="1" applyProtection="1"/>
    <xf numFmtId="165" fontId="14" fillId="3" borderId="14" xfId="0" applyNumberFormat="1" applyFont="1" applyFill="1" applyBorder="1" applyAlignment="1" applyProtection="1"/>
    <xf numFmtId="8" fontId="14" fillId="3" borderId="14" xfId="0" applyNumberFormat="1" applyFont="1" applyFill="1" applyBorder="1" applyAlignment="1" applyProtection="1"/>
    <xf numFmtId="8" fontId="14" fillId="3" borderId="15" xfId="0" applyNumberFormat="1" applyFont="1" applyFill="1" applyBorder="1" applyAlignment="1" applyProtection="1"/>
    <xf numFmtId="7" fontId="0" fillId="0" borderId="0" xfId="3" applyFont="1" applyAlignment="1" applyProtection="1"/>
    <xf numFmtId="7" fontId="14" fillId="0" borderId="15" xfId="3" applyFont="1" applyBorder="1" applyProtection="1"/>
    <xf numFmtId="7" fontId="12" fillId="0" borderId="0" xfId="3" applyFont="1" applyProtection="1"/>
    <xf numFmtId="7" fontId="0" fillId="0" borderId="0" xfId="0" applyNumberFormat="1" applyAlignment="1" applyProtection="1"/>
    <xf numFmtId="0" fontId="0" fillId="0" borderId="0" xfId="0" applyAlignment="1" applyProtection="1">
      <alignment horizontal="left"/>
    </xf>
    <xf numFmtId="7" fontId="14" fillId="0" borderId="0" xfId="3" applyFont="1" applyBorder="1" applyProtection="1"/>
    <xf numFmtId="7" fontId="14" fillId="0" borderId="0" xfId="0" applyNumberFormat="1" applyFont="1" applyAlignment="1" applyProtection="1"/>
    <xf numFmtId="165" fontId="14" fillId="0" borderId="0" xfId="0" applyNumberFormat="1" applyFont="1" applyAlignment="1" applyProtection="1"/>
    <xf numFmtId="1" fontId="13" fillId="0" borderId="0" xfId="0" applyNumberFormat="1" applyFont="1" applyBorder="1" applyAlignment="1" applyProtection="1"/>
    <xf numFmtId="0" fontId="9" fillId="0" borderId="0" xfId="0" applyFont="1" applyBorder="1" applyAlignment="1" applyProtection="1"/>
    <xf numFmtId="0" fontId="11" fillId="0" borderId="0" xfId="0" applyFont="1" applyBorder="1" applyAlignment="1" applyProtection="1"/>
    <xf numFmtId="165" fontId="51" fillId="0" borderId="29" xfId="91" applyNumberFormat="1" applyFill="1" applyAlignment="1" applyProtection="1"/>
    <xf numFmtId="7" fontId="15" fillId="11" borderId="22" xfId="3" applyFont="1" applyFill="1" applyBorder="1" applyProtection="1">
      <protection locked="0"/>
    </xf>
    <xf numFmtId="1" fontId="15" fillId="11" borderId="22" xfId="0" applyNumberFormat="1" applyFont="1" applyFill="1" applyBorder="1" applyAlignment="1" applyProtection="1"/>
    <xf numFmtId="166" fontId="14" fillId="11" borderId="22" xfId="0" applyNumberFormat="1" applyFont="1" applyFill="1" applyBorder="1" applyAlignment="1" applyProtection="1"/>
    <xf numFmtId="43" fontId="38" fillId="0" borderId="0" xfId="9" applyFont="1" applyAlignment="1" applyProtection="1"/>
    <xf numFmtId="0" fontId="38" fillId="0" borderId="0" xfId="0" applyFont="1" applyAlignment="1" applyProtection="1"/>
    <xf numFmtId="43" fontId="51" fillId="15" borderId="29" xfId="91" applyNumberFormat="1" applyAlignment="1" applyProtection="1">
      <alignment horizontal="right"/>
      <protection locked="0"/>
    </xf>
    <xf numFmtId="44" fontId="51" fillId="15" borderId="29" xfId="91" applyNumberFormat="1" applyProtection="1">
      <protection locked="0"/>
    </xf>
    <xf numFmtId="1" fontId="51" fillId="15" borderId="29" xfId="91" applyNumberFormat="1" applyProtection="1">
      <protection locked="0"/>
    </xf>
    <xf numFmtId="43" fontId="51" fillId="15" borderId="29" xfId="91" applyNumberFormat="1" applyAlignment="1" applyProtection="1">
      <alignment horizontal="center"/>
      <protection locked="0"/>
    </xf>
    <xf numFmtId="43" fontId="51" fillId="15" borderId="29" xfId="91" applyNumberFormat="1" applyProtection="1">
      <protection locked="0"/>
    </xf>
    <xf numFmtId="0" fontId="3" fillId="0" borderId="0" xfId="19" applyFont="1" applyBorder="1"/>
    <xf numFmtId="0" fontId="51" fillId="15" borderId="29" xfId="91" applyFont="1" applyAlignment="1" applyProtection="1">
      <protection locked="0"/>
    </xf>
    <xf numFmtId="7" fontId="51" fillId="15" borderId="29" xfId="91" applyNumberFormat="1" applyFont="1" applyProtection="1">
      <protection locked="0"/>
    </xf>
    <xf numFmtId="0" fontId="24" fillId="15" borderId="25" xfId="10" applyFont="1" applyFill="1" applyAlignment="1" applyProtection="1">
      <protection locked="0"/>
    </xf>
    <xf numFmtId="7" fontId="24" fillId="15" borderId="25" xfId="10" applyNumberFormat="1" applyFont="1" applyFill="1" applyProtection="1">
      <protection locked="0"/>
    </xf>
    <xf numFmtId="2" fontId="41" fillId="9" borderId="0" xfId="22" applyNumberFormat="1" applyFont="1" applyFill="1" applyAlignment="1" applyProtection="1"/>
    <xf numFmtId="2" fontId="18" fillId="9" borderId="0" xfId="22" applyNumberFormat="1" applyFont="1" applyFill="1" applyAlignment="1" applyProtection="1"/>
    <xf numFmtId="2" fontId="41" fillId="9" borderId="0" xfId="22" applyNumberFormat="1" applyFont="1" applyFill="1" applyAlignment="1" applyProtection="1">
      <protection locked="0"/>
    </xf>
    <xf numFmtId="43" fontId="51" fillId="15" borderId="29" xfId="91" applyNumberFormat="1" applyFont="1" applyAlignment="1" applyProtection="1">
      <protection locked="0"/>
    </xf>
    <xf numFmtId="9" fontId="41" fillId="9" borderId="0" xfId="22" applyNumberFormat="1" applyFont="1" applyFill="1" applyAlignment="1" applyProtection="1">
      <protection locked="0"/>
    </xf>
    <xf numFmtId="43" fontId="41" fillId="9" borderId="0" xfId="9" applyFont="1" applyFill="1" applyAlignment="1" applyProtection="1"/>
    <xf numFmtId="7" fontId="41" fillId="9" borderId="0" xfId="3" applyFont="1" applyFill="1" applyAlignment="1" applyProtection="1"/>
    <xf numFmtId="2" fontId="18" fillId="9" borderId="14" xfId="22" applyNumberFormat="1" applyFont="1" applyFill="1" applyBorder="1" applyAlignment="1" applyProtection="1">
      <alignment horizontal="center" wrapText="1"/>
      <protection locked="0"/>
    </xf>
    <xf numFmtId="9" fontId="18" fillId="9" borderId="14" xfId="22" applyNumberFormat="1" applyFont="1" applyFill="1" applyBorder="1" applyAlignment="1" applyProtection="1">
      <alignment horizontal="center" wrapText="1"/>
      <protection locked="0"/>
    </xf>
    <xf numFmtId="2" fontId="51" fillId="15" borderId="29" xfId="91" applyNumberFormat="1" applyFont="1" applyAlignment="1" applyProtection="1">
      <protection locked="0"/>
    </xf>
    <xf numFmtId="166" fontId="51" fillId="15" borderId="29" xfId="91" applyNumberFormat="1" applyFont="1" applyAlignment="1" applyProtection="1">
      <protection locked="0"/>
    </xf>
    <xf numFmtId="7" fontId="41" fillId="9" borderId="0" xfId="23" applyFont="1" applyFill="1" applyProtection="1"/>
    <xf numFmtId="2" fontId="24" fillId="9" borderId="25" xfId="10" applyNumberFormat="1" applyFont="1" applyFill="1" applyAlignment="1" applyProtection="1"/>
    <xf numFmtId="7" fontId="24" fillId="9" borderId="25" xfId="10" applyNumberFormat="1" applyFont="1" applyFill="1" applyProtection="1"/>
    <xf numFmtId="2" fontId="41" fillId="9" borderId="0" xfId="22" applyNumberFormat="1" applyFont="1" applyFill="1" applyAlignment="1" applyProtection="1">
      <alignment horizontal="center"/>
    </xf>
    <xf numFmtId="9" fontId="41" fillId="9" borderId="0" xfId="22" applyNumberFormat="1" applyFont="1" applyFill="1" applyAlignment="1" applyProtection="1"/>
    <xf numFmtId="2" fontId="18" fillId="9" borderId="14" xfId="22" applyNumberFormat="1" applyFont="1" applyFill="1" applyBorder="1" applyAlignment="1" applyProtection="1">
      <alignment horizontal="center" wrapText="1"/>
    </xf>
    <xf numFmtId="9" fontId="18" fillId="9" borderId="14" xfId="22" applyNumberFormat="1" applyFont="1" applyFill="1" applyBorder="1" applyAlignment="1" applyProtection="1">
      <alignment horizontal="center" wrapText="1"/>
    </xf>
    <xf numFmtId="43" fontId="51" fillId="15" borderId="29" xfId="9" applyNumberFormat="1" applyFont="1" applyFill="1" applyBorder="1" applyProtection="1">
      <protection locked="0"/>
    </xf>
    <xf numFmtId="0" fontId="0" fillId="0" borderId="0" xfId="0" applyFill="1" applyAlignment="1" applyProtection="1"/>
    <xf numFmtId="166" fontId="51" fillId="0" borderId="29" xfId="91" applyNumberFormat="1" applyFill="1" applyAlignment="1" applyProtection="1">
      <protection locked="0"/>
    </xf>
    <xf numFmtId="10" fontId="51" fillId="15" borderId="29" xfId="8" applyFont="1" applyFill="1" applyBorder="1" applyProtection="1">
      <protection locked="0"/>
    </xf>
    <xf numFmtId="7" fontId="41" fillId="0" borderId="0" xfId="0" applyNumberFormat="1" applyFont="1" applyAlignment="1" applyProtection="1">
      <alignment vertical="center"/>
    </xf>
    <xf numFmtId="7" fontId="41" fillId="0" borderId="0" xfId="0" applyNumberFormat="1" applyFont="1" applyFill="1" applyBorder="1" applyAlignment="1" applyProtection="1">
      <alignment vertical="center"/>
    </xf>
    <xf numFmtId="0" fontId="3" fillId="0" borderId="0" xfId="19" applyFont="1" applyBorder="1"/>
    <xf numFmtId="0" fontId="2" fillId="0" borderId="0" xfId="19" quotePrefix="1" applyFont="1" applyProtection="1"/>
    <xf numFmtId="0" fontId="2" fillId="0" borderId="0" xfId="19" applyFont="1" applyProtection="1"/>
    <xf numFmtId="0" fontId="2" fillId="0" borderId="14" xfId="19" applyFont="1" applyBorder="1" applyAlignment="1">
      <alignment horizontal="center" wrapText="1"/>
    </xf>
    <xf numFmtId="39" fontId="51" fillId="15" borderId="29" xfId="91" applyNumberFormat="1" applyProtection="1">
      <protection locked="0"/>
    </xf>
    <xf numFmtId="44" fontId="17" fillId="0" borderId="26" xfId="12" applyFont="1" applyBorder="1" applyAlignment="1">
      <alignment horizontal="center" wrapText="1"/>
    </xf>
    <xf numFmtId="0" fontId="2" fillId="0" borderId="0" xfId="19" applyFont="1"/>
    <xf numFmtId="0" fontId="41" fillId="0" borderId="0" xfId="0" applyFont="1" applyAlignment="1" applyProtection="1">
      <protection locked="0"/>
    </xf>
    <xf numFmtId="0" fontId="41" fillId="0" borderId="0" xfId="0" applyFont="1" applyAlignment="1" applyProtection="1">
      <alignment horizontal="left"/>
    </xf>
    <xf numFmtId="43" fontId="43" fillId="17" borderId="0" xfId="9" applyFont="1" applyFill="1" applyAlignment="1" applyProtection="1">
      <protection locked="0"/>
    </xf>
    <xf numFmtId="7" fontId="43" fillId="0" borderId="0" xfId="3" applyFont="1" applyAlignment="1" applyProtection="1"/>
    <xf numFmtId="7" fontId="51" fillId="15" borderId="29" xfId="3" applyFont="1" applyFill="1" applyBorder="1" applyAlignment="1" applyProtection="1">
      <protection locked="0"/>
    </xf>
    <xf numFmtId="7" fontId="43" fillId="17" borderId="0" xfId="3" applyFont="1" applyFill="1" applyAlignment="1" applyProtection="1">
      <protection locked="0"/>
    </xf>
    <xf numFmtId="0" fontId="41" fillId="0" borderId="0" xfId="0" applyFont="1" applyAlignment="1" applyProtection="1">
      <protection locked="0"/>
    </xf>
    <xf numFmtId="0" fontId="17" fillId="0" borderId="0" xfId="0" applyFont="1" applyAlignment="1">
      <alignment wrapText="1"/>
    </xf>
    <xf numFmtId="0" fontId="9" fillId="0" borderId="40" xfId="0" applyFont="1" applyBorder="1" applyAlignment="1">
      <alignment horizontal="center" wrapText="1"/>
    </xf>
    <xf numFmtId="0" fontId="9" fillId="0" borderId="41" xfId="0" applyFont="1" applyBorder="1" applyAlignment="1">
      <alignment horizontal="center" wrapText="1"/>
    </xf>
    <xf numFmtId="0" fontId="9" fillId="0" borderId="42" xfId="0" applyFont="1" applyBorder="1" applyAlignment="1">
      <alignment horizontal="center" wrapText="1"/>
    </xf>
    <xf numFmtId="7" fontId="0" fillId="0" borderId="43" xfId="3" applyFont="1" applyBorder="1" applyAlignment="1"/>
    <xf numFmtId="0" fontId="16" fillId="0" borderId="0" xfId="7" applyAlignment="1" applyProtection="1">
      <protection locked="0"/>
    </xf>
    <xf numFmtId="0" fontId="16" fillId="0" borderId="0" xfId="7" applyFill="1" applyBorder="1" applyAlignment="1" applyProtection="1">
      <alignment horizontal="center" wrapText="1"/>
    </xf>
    <xf numFmtId="2" fontId="51" fillId="15" borderId="29" xfId="91" applyNumberFormat="1" applyAlignment="1" applyProtection="1">
      <protection locked="0"/>
    </xf>
    <xf numFmtId="10" fontId="38" fillId="17" borderId="0" xfId="8" applyFont="1" applyFill="1" applyAlignment="1"/>
    <xf numFmtId="3" fontId="38" fillId="0" borderId="0" xfId="0" applyNumberFormat="1" applyFont="1" applyAlignment="1"/>
    <xf numFmtId="10" fontId="51" fillId="8" borderId="29" xfId="91" applyNumberFormat="1" applyFill="1" applyProtection="1">
      <protection locked="0"/>
    </xf>
    <xf numFmtId="43" fontId="43" fillId="17" borderId="0" xfId="9" applyFont="1" applyFill="1" applyBorder="1" applyAlignment="1" applyProtection="1">
      <protection locked="0"/>
    </xf>
    <xf numFmtId="2" fontId="18" fillId="18" borderId="0" xfId="0" applyNumberFormat="1" applyFont="1" applyFill="1" applyAlignment="1" applyProtection="1"/>
    <xf numFmtId="2" fontId="51" fillId="8" borderId="29" xfId="91" applyNumberFormat="1" applyFill="1" applyProtection="1"/>
    <xf numFmtId="0" fontId="0" fillId="0" borderId="0" xfId="0" applyAlignment="1">
      <alignment horizontal="center" wrapText="1"/>
    </xf>
    <xf numFmtId="0" fontId="41" fillId="0" borderId="16" xfId="0" applyFont="1" applyBorder="1" applyAlignment="1" applyProtection="1">
      <alignment horizontal="left"/>
    </xf>
    <xf numFmtId="0" fontId="41" fillId="0" borderId="0" xfId="0" applyFont="1" applyAlignment="1" applyProtection="1">
      <alignment horizontal="left"/>
    </xf>
    <xf numFmtId="1" fontId="18" fillId="0" borderId="18" xfId="0" applyNumberFormat="1" applyFont="1" applyFill="1" applyBorder="1" applyAlignment="1" applyProtection="1">
      <alignment horizontal="center" vertical="center" wrapText="1"/>
    </xf>
    <xf numFmtId="1" fontId="18" fillId="0" borderId="16" xfId="0" applyNumberFormat="1" applyFont="1" applyFill="1" applyBorder="1" applyAlignment="1" applyProtection="1">
      <alignment horizontal="center" vertical="center" wrapText="1"/>
    </xf>
    <xf numFmtId="0" fontId="18" fillId="0" borderId="17" xfId="0" applyFont="1" applyBorder="1" applyAlignment="1" applyProtection="1">
      <alignment horizontal="center" wrapText="1"/>
      <protection locked="0"/>
    </xf>
    <xf numFmtId="0" fontId="18" fillId="0" borderId="14" xfId="0" applyFont="1" applyBorder="1" applyAlignment="1" applyProtection="1">
      <alignment horizontal="center" wrapText="1"/>
      <protection locked="0"/>
    </xf>
    <xf numFmtId="0" fontId="41" fillId="0" borderId="0" xfId="0" applyFont="1" applyBorder="1" applyAlignment="1" applyProtection="1">
      <alignment horizontal="left"/>
    </xf>
    <xf numFmtId="0" fontId="41" fillId="0" borderId="0" xfId="0" applyFont="1" applyBorder="1" applyAlignment="1" applyProtection="1"/>
    <xf numFmtId="0" fontId="18" fillId="0" borderId="16" xfId="0" applyFont="1" applyBorder="1" applyAlignment="1" applyProtection="1">
      <alignment horizontal="left"/>
    </xf>
    <xf numFmtId="0" fontId="40" fillId="7" borderId="0" xfId="0" applyFont="1" applyFill="1" applyAlignment="1" applyProtection="1">
      <alignment horizontal="left"/>
    </xf>
    <xf numFmtId="0" fontId="41" fillId="0" borderId="0" xfId="0" applyFont="1" applyAlignment="1" applyProtection="1">
      <alignment horizontal="left" vertical="top" wrapText="1"/>
    </xf>
    <xf numFmtId="0" fontId="41" fillId="0" borderId="0" xfId="0" applyFont="1" applyAlignment="1" applyProtection="1">
      <alignment horizontal="left"/>
      <protection locked="0"/>
    </xf>
    <xf numFmtId="0" fontId="18" fillId="0" borderId="32" xfId="0" applyFont="1" applyBorder="1" applyAlignment="1" applyProtection="1">
      <alignment horizontal="center" vertical="center" wrapText="1"/>
    </xf>
    <xf numFmtId="0" fontId="18" fillId="0" borderId="34" xfId="0" applyFont="1" applyBorder="1" applyAlignment="1" applyProtection="1">
      <alignment horizontal="center" vertical="center" wrapText="1"/>
    </xf>
    <xf numFmtId="0" fontId="18" fillId="0" borderId="32" xfId="0" applyFont="1" applyFill="1" applyBorder="1" applyAlignment="1" applyProtection="1">
      <alignment horizontal="center" vertical="center" wrapText="1"/>
    </xf>
    <xf numFmtId="0" fontId="18" fillId="0" borderId="34" xfId="0" applyFont="1" applyFill="1" applyBorder="1" applyAlignment="1" applyProtection="1">
      <alignment horizontal="center" vertical="center" wrapText="1"/>
    </xf>
    <xf numFmtId="0" fontId="46" fillId="0" borderId="0" xfId="0" applyFont="1" applyBorder="1" applyAlignment="1" applyProtection="1">
      <alignment horizontal="center"/>
    </xf>
    <xf numFmtId="0" fontId="24" fillId="8" borderId="30" xfId="10" applyFont="1" applyFill="1" applyBorder="1" applyAlignment="1" applyProtection="1">
      <alignment horizontal="left"/>
    </xf>
    <xf numFmtId="0" fontId="46" fillId="8" borderId="19" xfId="0" applyFont="1" applyFill="1" applyBorder="1" applyAlignment="1" applyProtection="1">
      <alignment horizontal="center" wrapText="1"/>
    </xf>
    <xf numFmtId="0" fontId="46" fillId="8" borderId="33" xfId="0" applyFont="1" applyFill="1" applyBorder="1" applyAlignment="1" applyProtection="1">
      <alignment horizontal="center" wrapText="1"/>
    </xf>
    <xf numFmtId="0" fontId="18" fillId="0" borderId="0" xfId="0" applyFont="1" applyBorder="1" applyAlignment="1" applyProtection="1">
      <alignment horizontal="center"/>
    </xf>
    <xf numFmtId="0" fontId="18" fillId="13" borderId="0" xfId="0" applyFont="1" applyFill="1" applyBorder="1" applyAlignment="1">
      <alignment horizontal="center"/>
    </xf>
    <xf numFmtId="0" fontId="41" fillId="13" borderId="0" xfId="0" applyFont="1" applyFill="1" applyBorder="1" applyAlignment="1">
      <alignment horizontal="center"/>
    </xf>
    <xf numFmtId="0" fontId="41" fillId="14" borderId="0" xfId="0" applyFont="1" applyFill="1" applyBorder="1" applyAlignment="1">
      <alignment horizontal="center"/>
    </xf>
    <xf numFmtId="0" fontId="41" fillId="0" borderId="0" xfId="0" applyFont="1" applyAlignment="1" applyProtection="1">
      <alignment horizontal="center" wrapText="1"/>
      <protection locked="0"/>
    </xf>
    <xf numFmtId="0" fontId="41" fillId="0" borderId="0" xfId="0" applyFont="1" applyAlignment="1" applyProtection="1">
      <protection locked="0"/>
    </xf>
    <xf numFmtId="169" fontId="18" fillId="14" borderId="0" xfId="0" applyNumberFormat="1" applyFont="1" applyFill="1" applyBorder="1" applyAlignment="1">
      <alignment horizontal="center"/>
    </xf>
    <xf numFmtId="0" fontId="18" fillId="13" borderId="0" xfId="0" applyFont="1" applyFill="1" applyBorder="1" applyAlignment="1" applyProtection="1">
      <alignment horizontal="center"/>
      <protection locked="0"/>
    </xf>
    <xf numFmtId="0" fontId="42" fillId="0" borderId="0" xfId="0" applyFont="1" applyBorder="1" applyAlignment="1" applyProtection="1">
      <alignment horizontal="center"/>
      <protection locked="0"/>
    </xf>
    <xf numFmtId="0" fontId="41" fillId="0" borderId="18" xfId="0" applyFont="1" applyBorder="1" applyAlignment="1" applyProtection="1">
      <alignment horizontal="left"/>
    </xf>
    <xf numFmtId="0" fontId="41" fillId="0" borderId="35" xfId="0" applyFont="1" applyBorder="1" applyAlignment="1" applyProtection="1">
      <alignment horizontal="left"/>
      <protection locked="0"/>
    </xf>
    <xf numFmtId="0" fontId="51" fillId="15" borderId="37" xfId="91" applyBorder="1" applyAlignment="1" applyProtection="1">
      <alignment horizontal="left"/>
      <protection locked="0"/>
    </xf>
    <xf numFmtId="0" fontId="51" fillId="15" borderId="38" xfId="91" applyBorder="1" applyAlignment="1" applyProtection="1">
      <alignment horizontal="left"/>
      <protection locked="0"/>
    </xf>
    <xf numFmtId="0" fontId="51" fillId="15" borderId="39" xfId="91" applyBorder="1" applyAlignment="1" applyProtection="1">
      <alignment horizontal="left"/>
      <protection locked="0"/>
    </xf>
    <xf numFmtId="0" fontId="18" fillId="0" borderId="14" xfId="0" applyFont="1" applyBorder="1" applyAlignment="1">
      <alignment horizontal="center" vertical="center"/>
    </xf>
    <xf numFmtId="0" fontId="18" fillId="0" borderId="0" xfId="0" applyFont="1" applyAlignment="1" applyProtection="1">
      <alignment horizontal="left" wrapText="1"/>
      <protection locked="0"/>
    </xf>
    <xf numFmtId="0" fontId="18" fillId="3" borderId="17" xfId="0" applyFont="1" applyFill="1" applyBorder="1" applyAlignment="1" applyProtection="1">
      <alignment horizontal="left"/>
      <protection locked="0"/>
    </xf>
    <xf numFmtId="0" fontId="18" fillId="3" borderId="14" xfId="0" applyFont="1" applyFill="1" applyBorder="1" applyAlignment="1" applyProtection="1">
      <alignment horizontal="left"/>
      <protection locked="0"/>
    </xf>
    <xf numFmtId="0" fontId="3" fillId="16" borderId="0" xfId="92" applyFont="1" applyAlignment="1" applyProtection="1">
      <alignment horizontal="center"/>
    </xf>
    <xf numFmtId="0" fontId="5" fillId="16" borderId="0" xfId="92" applyAlignment="1" applyProtection="1">
      <alignment horizontal="center"/>
    </xf>
    <xf numFmtId="0" fontId="5" fillId="16" borderId="35" xfId="92" applyBorder="1" applyAlignment="1" applyProtection="1">
      <alignment horizontal="center"/>
    </xf>
    <xf numFmtId="0" fontId="41" fillId="0" borderId="0" xfId="0" applyFont="1" applyBorder="1" applyAlignment="1" applyProtection="1">
      <protection locked="0"/>
    </xf>
    <xf numFmtId="0" fontId="9" fillId="0" borderId="17" xfId="0" applyFont="1" applyBorder="1" applyAlignment="1" applyProtection="1">
      <alignment horizontal="left"/>
    </xf>
    <xf numFmtId="0" fontId="9" fillId="0" borderId="14" xfId="0" applyFont="1" applyBorder="1" applyAlignment="1" applyProtection="1">
      <alignment horizontal="left"/>
    </xf>
    <xf numFmtId="0" fontId="9" fillId="0" borderId="15" xfId="0" applyFont="1" applyBorder="1" applyAlignment="1" applyProtection="1">
      <alignment horizontal="left"/>
    </xf>
    <xf numFmtId="0" fontId="0" fillId="0" borderId="0" xfId="0" applyAlignment="1" applyProtection="1">
      <alignment horizontal="left"/>
    </xf>
    <xf numFmtId="0" fontId="0" fillId="0" borderId="0" xfId="0" applyFill="1" applyAlignment="1" applyProtection="1">
      <alignment horizontal="left"/>
    </xf>
    <xf numFmtId="0" fontId="9" fillId="0" borderId="0" xfId="0" applyFont="1" applyBorder="1" applyAlignment="1" applyProtection="1">
      <alignment horizontal="left"/>
    </xf>
    <xf numFmtId="1" fontId="12" fillId="0" borderId="0" xfId="0" applyNumberFormat="1" applyFont="1" applyAlignment="1" applyProtection="1">
      <alignment horizontal="left"/>
    </xf>
    <xf numFmtId="0" fontId="14" fillId="0" borderId="17" xfId="0" applyFont="1" applyBorder="1" applyAlignment="1" applyProtection="1">
      <alignment horizontal="left"/>
    </xf>
    <xf numFmtId="0" fontId="14" fillId="0" borderId="14" xfId="0" applyFont="1" applyBorder="1" applyAlignment="1" applyProtection="1">
      <alignment horizontal="left"/>
    </xf>
    <xf numFmtId="0" fontId="14" fillId="2" borderId="0" xfId="0" applyFont="1" applyFill="1" applyAlignment="1" applyProtection="1">
      <alignment horizontal="center"/>
    </xf>
    <xf numFmtId="0" fontId="9" fillId="5" borderId="0" xfId="0" applyFont="1" applyFill="1" applyAlignment="1" applyProtection="1">
      <alignment horizontal="center"/>
    </xf>
    <xf numFmtId="0" fontId="14" fillId="5" borderId="0" xfId="0" applyFont="1" applyFill="1" applyAlignment="1" applyProtection="1">
      <alignment horizontal="center"/>
    </xf>
    <xf numFmtId="1" fontId="12" fillId="0" borderId="16" xfId="0" applyNumberFormat="1" applyFont="1" applyBorder="1" applyAlignment="1" applyProtection="1">
      <alignment horizontal="left"/>
    </xf>
    <xf numFmtId="0" fontId="49" fillId="0" borderId="0" xfId="89" applyBorder="1" applyAlignment="1" applyProtection="1">
      <alignment horizontal="center"/>
    </xf>
    <xf numFmtId="0" fontId="14" fillId="0" borderId="24" xfId="0" applyFont="1" applyBorder="1" applyAlignment="1" applyProtection="1">
      <alignment horizontal="center" wrapText="1"/>
    </xf>
    <xf numFmtId="0" fontId="14" fillId="0" borderId="20" xfId="0" applyFont="1" applyBorder="1" applyAlignment="1" applyProtection="1">
      <alignment horizontal="center" wrapText="1"/>
    </xf>
    <xf numFmtId="0" fontId="14" fillId="0" borderId="0" xfId="0" applyFont="1" applyAlignment="1">
      <alignment horizontal="center"/>
    </xf>
    <xf numFmtId="0" fontId="14" fillId="0" borderId="17" xfId="0" applyFont="1" applyFill="1" applyBorder="1" applyAlignment="1">
      <alignment horizontal="left"/>
    </xf>
    <xf numFmtId="0" fontId="14" fillId="0" borderId="14" xfId="0" applyFont="1" applyFill="1" applyBorder="1" applyAlignment="1">
      <alignment horizontal="left"/>
    </xf>
    <xf numFmtId="0" fontId="14" fillId="0" borderId="18" xfId="0" applyFont="1" applyBorder="1" applyAlignment="1">
      <alignment horizontal="left"/>
    </xf>
    <xf numFmtId="0" fontId="14" fillId="2" borderId="17" xfId="0" applyFont="1" applyFill="1" applyBorder="1" applyAlignment="1">
      <alignment horizontal="left"/>
    </xf>
    <xf numFmtId="0" fontId="14" fillId="2" borderId="14" xfId="0" applyFont="1" applyFill="1" applyBorder="1" applyAlignment="1">
      <alignment horizontal="left"/>
    </xf>
    <xf numFmtId="0" fontId="49" fillId="0" borderId="0" xfId="89" applyAlignment="1">
      <alignment horizontal="center"/>
    </xf>
    <xf numFmtId="44" fontId="16" fillId="0" borderId="0" xfId="7" applyNumberFormat="1" applyAlignment="1" applyProtection="1">
      <alignment horizontal="center"/>
    </xf>
    <xf numFmtId="0" fontId="49" fillId="0" borderId="35" xfId="89" applyBorder="1" applyAlignment="1">
      <alignment horizontal="center"/>
    </xf>
    <xf numFmtId="7" fontId="41" fillId="11" borderId="0" xfId="3" applyFont="1" applyFill="1" applyAlignment="1">
      <alignment horizontal="center"/>
    </xf>
    <xf numFmtId="0" fontId="9" fillId="0" borderId="0" xfId="11" applyFont="1" applyAlignment="1">
      <alignment horizontal="center"/>
    </xf>
    <xf numFmtId="0" fontId="17" fillId="0" borderId="0" xfId="11" applyFont="1" applyFill="1" applyBorder="1" applyAlignment="1">
      <alignment horizontal="left" wrapText="1"/>
    </xf>
    <xf numFmtId="0" fontId="24" fillId="0" borderId="0" xfId="19" applyFont="1"/>
    <xf numFmtId="0" fontId="24" fillId="8" borderId="25" xfId="10" applyFill="1" applyAlignment="1"/>
    <xf numFmtId="0" fontId="29" fillId="0" borderId="18" xfId="19" applyFont="1" applyBorder="1"/>
    <xf numFmtId="2" fontId="41" fillId="9" borderId="0" xfId="22" applyNumberFormat="1" applyFont="1" applyFill="1" applyAlignment="1" applyProtection="1"/>
    <xf numFmtId="0" fontId="3" fillId="0" borderId="0" xfId="19" applyFont="1" applyBorder="1"/>
    <xf numFmtId="2" fontId="41" fillId="9" borderId="36" xfId="22" applyNumberFormat="1" applyFont="1" applyFill="1" applyBorder="1" applyAlignment="1" applyProtection="1"/>
    <xf numFmtId="2" fontId="49" fillId="9" borderId="0" xfId="89" applyNumberFormat="1" applyFill="1" applyBorder="1" applyAlignment="1" applyProtection="1">
      <alignment horizontal="center"/>
      <protection locked="0"/>
    </xf>
    <xf numFmtId="44" fontId="45" fillId="0" borderId="0" xfId="7" applyNumberFormat="1" applyFont="1" applyAlignment="1" applyProtection="1">
      <alignment horizontal="center"/>
    </xf>
    <xf numFmtId="2" fontId="18" fillId="9" borderId="17" xfId="22" applyNumberFormat="1" applyFont="1" applyFill="1" applyBorder="1" applyAlignment="1" applyProtection="1">
      <alignment horizontal="center"/>
      <protection locked="0"/>
    </xf>
    <xf numFmtId="2" fontId="18" fillId="9" borderId="14" xfId="22" applyNumberFormat="1" applyFont="1" applyFill="1" applyBorder="1" applyAlignment="1" applyProtection="1">
      <alignment horizontal="center"/>
      <protection locked="0"/>
    </xf>
    <xf numFmtId="2" fontId="41" fillId="9" borderId="0" xfId="22" applyNumberFormat="1" applyFont="1" applyFill="1" applyAlignment="1" applyProtection="1">
      <alignment horizontal="left"/>
    </xf>
    <xf numFmtId="2" fontId="49" fillId="9" borderId="0" xfId="89" applyNumberFormat="1" applyFill="1" applyBorder="1" applyAlignment="1" applyProtection="1">
      <alignment horizontal="center"/>
    </xf>
    <xf numFmtId="2" fontId="18" fillId="9" borderId="17" xfId="22" applyNumberFormat="1" applyFont="1" applyFill="1" applyBorder="1" applyAlignment="1" applyProtection="1">
      <alignment horizontal="center"/>
    </xf>
    <xf numFmtId="2" fontId="18" fillId="9" borderId="14" xfId="22" applyNumberFormat="1" applyFont="1" applyFill="1" applyBorder="1" applyAlignment="1" applyProtection="1">
      <alignment horizontal="center"/>
    </xf>
    <xf numFmtId="2" fontId="18" fillId="9" borderId="18" xfId="22" applyNumberFormat="1" applyFont="1" applyFill="1" applyBorder="1" applyAlignment="1" applyProtection="1"/>
    <xf numFmtId="0" fontId="54" fillId="0" borderId="0" xfId="0" applyFont="1" applyAlignment="1" applyProtection="1"/>
    <xf numFmtId="0" fontId="16" fillId="0" borderId="0" xfId="7" applyAlignment="1" applyProtection="1">
      <alignment horizontal="left"/>
    </xf>
    <xf numFmtId="0" fontId="49" fillId="0" borderId="0" xfId="89" applyBorder="1" applyAlignment="1" applyProtection="1">
      <alignment horizontal="center"/>
      <protection locked="0"/>
    </xf>
    <xf numFmtId="168" fontId="0" fillId="17" borderId="0" xfId="9" applyNumberFormat="1" applyFont="1" applyFill="1" applyAlignment="1" applyProtection="1">
      <protection locked="0"/>
    </xf>
    <xf numFmtId="7" fontId="0" fillId="17" borderId="0" xfId="3" applyFont="1" applyFill="1" applyAlignment="1" applyProtection="1">
      <protection locked="0"/>
    </xf>
    <xf numFmtId="168" fontId="0" fillId="17" borderId="43" xfId="9" applyNumberFormat="1" applyFont="1" applyFill="1" applyBorder="1" applyAlignment="1" applyProtection="1">
      <protection locked="0"/>
    </xf>
    <xf numFmtId="7" fontId="0" fillId="17" borderId="43" xfId="3" applyFont="1" applyFill="1" applyBorder="1" applyAlignment="1" applyProtection="1">
      <protection locked="0"/>
    </xf>
  </cellXfs>
  <cellStyles count="199">
    <cellStyle name="20% - Accent6" xfId="92" builtinId="50"/>
    <cellStyle name="Calculation" xfId="26" builtinId="22"/>
    <cellStyle name="Code" xfId="1"/>
    <cellStyle name="Comma" xfId="9" builtinId="3"/>
    <cellStyle name="Comma0" xfId="2"/>
    <cellStyle name="Currency" xfId="3" builtinId="4"/>
    <cellStyle name="Currency 2" xfId="12"/>
    <cellStyle name="Currency 3" xfId="20"/>
    <cellStyle name="Currency 4" xfId="23"/>
    <cellStyle name="Currency0" xfId="4"/>
    <cellStyle name="Date" xfId="5"/>
    <cellStyle name="Fixed" xfId="6"/>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Heading 1" xfId="90" builtinId="16"/>
    <cellStyle name="Heading 1 2" xfId="25"/>
    <cellStyle name="Hyperlink" xfId="7" builtinId="8"/>
    <cellStyle name="Hyperlink 2" xfId="21"/>
    <cellStyle name="Input" xfId="91" builtinId="20"/>
    <cellStyle name="Normal" xfId="0" builtinId="0"/>
    <cellStyle name="Normal 2" xfId="11"/>
    <cellStyle name="Normal 3" xfId="19"/>
    <cellStyle name="Normal 4" xfId="22"/>
    <cellStyle name="Percent" xfId="8" builtinId="5"/>
    <cellStyle name="Percent 2" xfId="13"/>
    <cellStyle name="Percent 3" xfId="24"/>
    <cellStyle name="Title" xfId="89" builtinId="15"/>
    <cellStyle name="Total" xfId="10" builtinId="2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externalLink" Target="externalLinks/externalLink1.xml"/><Relationship Id="rId24" Type="http://schemas.openxmlformats.org/officeDocument/2006/relationships/externalLink" Target="externalLinks/externalLink2.xml"/><Relationship Id="rId25" Type="http://schemas.openxmlformats.org/officeDocument/2006/relationships/externalLink" Target="externalLinks/externalLink3.xml"/><Relationship Id="rId26" Type="http://schemas.openxmlformats.org/officeDocument/2006/relationships/externalLink" Target="externalLinks/externalLink4.xml"/><Relationship Id="rId27" Type="http://schemas.openxmlformats.org/officeDocument/2006/relationships/externalLink" Target="externalLinks/externalLink5.xml"/><Relationship Id="rId28" Type="http://schemas.openxmlformats.org/officeDocument/2006/relationships/theme" Target="theme/theme1.xml"/><Relationship Id="rId29" Type="http://schemas.openxmlformats.org/officeDocument/2006/relationships/styles" Target="styles.xml"/><Relationship Id="rId30" Type="http://schemas.openxmlformats.org/officeDocument/2006/relationships/sharedStrings" Target="sharedStrings.xml"/><Relationship Id="rId3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 Id="rId2"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1193800</xdr:colOff>
      <xdr:row>9</xdr:row>
      <xdr:rowOff>0</xdr:rowOff>
    </xdr:from>
    <xdr:to>
      <xdr:col>7</xdr:col>
      <xdr:colOff>624840</xdr:colOff>
      <xdr:row>10</xdr:row>
      <xdr:rowOff>111760</xdr:rowOff>
    </xdr:to>
    <xdr:sp macro="" textlink="">
      <xdr:nvSpPr>
        <xdr:cNvPr id="2060" name="CommandButton1" hidden="1">
          <a:extLst>
            <a:ext uri="{63B3BB69-23CF-44E3-9099-C40C66FF867C}">
              <a14:compatExt xmlns:a14="http://schemas.microsoft.com/office/drawing/2010/main" spid="_x0000_s2060"/>
            </a:ext>
          </a:extLst>
        </xdr:cNvPr>
        <xdr:cNvSpPr/>
      </xdr:nvSpPr>
      <xdr:spPr>
        <a:xfrm>
          <a:off x="0" y="0"/>
          <a:ext cx="0" cy="0"/>
        </a:xfrm>
        <a:prstGeom prst="rect">
          <a:avLst/>
        </a:prstGeom>
      </xdr:spPr>
    </xdr:sp>
    <xdr:clientData/>
  </xdr:twoCellAnchor>
  <xdr:twoCellAnchor editAs="oneCell">
    <xdr:from>
      <xdr:col>6</xdr:col>
      <xdr:colOff>244475</xdr:colOff>
      <xdr:row>124</xdr:row>
      <xdr:rowOff>42147</xdr:rowOff>
    </xdr:from>
    <xdr:to>
      <xdr:col>8</xdr:col>
      <xdr:colOff>1043305</xdr:colOff>
      <xdr:row>137</xdr:row>
      <xdr:rowOff>18193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63225" y="24505522"/>
          <a:ext cx="3037205" cy="2452546"/>
        </a:xfrm>
        <a:prstGeom prst="rect">
          <a:avLst/>
        </a:prstGeom>
      </xdr:spPr>
    </xdr:pic>
    <xdr:clientData/>
  </xdr:twoCellAnchor>
  <xdr:twoCellAnchor editAs="oneCell">
    <xdr:from>
      <xdr:col>1</xdr:col>
      <xdr:colOff>460374</xdr:colOff>
      <xdr:row>126</xdr:row>
      <xdr:rowOff>111124</xdr:rowOff>
    </xdr:from>
    <xdr:to>
      <xdr:col>2</xdr:col>
      <xdr:colOff>957406</xdr:colOff>
      <xdr:row>133</xdr:row>
      <xdr:rowOff>95249</xdr:rowOff>
    </xdr:to>
    <xdr:pic>
      <xdr:nvPicPr>
        <xdr:cNvPr id="3" name="Picture 2" descr="UGAextension_cmyk.eps"/>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01999" y="24955499"/>
          <a:ext cx="3713307" cy="1317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29852</xdr:colOff>
      <xdr:row>105</xdr:row>
      <xdr:rowOff>120608</xdr:rowOff>
    </xdr:from>
    <xdr:to>
      <xdr:col>5</xdr:col>
      <xdr:colOff>914399</xdr:colOff>
      <xdr:row>110</xdr:row>
      <xdr:rowOff>132080</xdr:rowOff>
    </xdr:to>
    <xdr:sp macro="" textlink="">
      <xdr:nvSpPr>
        <xdr:cNvPr id="3076" name="Text Box 4"/>
        <xdr:cNvSpPr txBox="1">
          <a:spLocks noChangeArrowheads="1"/>
        </xdr:cNvSpPr>
      </xdr:nvSpPr>
      <xdr:spPr bwMode="auto">
        <a:xfrm>
          <a:off x="1574172" y="19292528"/>
          <a:ext cx="6604627" cy="7734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ea typeface="Arial"/>
              <a:cs typeface="Arial"/>
            </a:rPr>
            <a:t>Values for females are either the purchase price or opportunity cost of having this number of females.  The Total Cost budget uses the opportunity cost for these females to arrive at an annual depreciation plus interest charge .  The Cash Flow budget uses the purchase price and financing arrangments to determine an actual annual payment for these cows.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85725</xdr:colOff>
      <xdr:row>0</xdr:row>
      <xdr:rowOff>12700</xdr:rowOff>
    </xdr:from>
    <xdr:to>
      <xdr:col>3</xdr:col>
      <xdr:colOff>362115</xdr:colOff>
      <xdr:row>1</xdr:row>
      <xdr:rowOff>6350</xdr:rowOff>
    </xdr:to>
    <xdr:sp macro="[0]!Rect9_Click" textlink="">
      <xdr:nvSpPr>
        <xdr:cNvPr id="4097" name="Rectangle 1"/>
        <xdr:cNvSpPr>
          <a:spLocks noChangeArrowheads="1"/>
        </xdr:cNvSpPr>
      </xdr:nvSpPr>
      <xdr:spPr bwMode="auto">
        <a:xfrm>
          <a:off x="901700" y="12700"/>
          <a:ext cx="1651000" cy="152400"/>
        </a:xfrm>
        <a:prstGeom prst="rect">
          <a:avLst/>
        </a:prstGeom>
        <a:solidFill>
          <a:srgbClr xmlns:mc="http://schemas.openxmlformats.org/markup-compatibility/2006" xmlns:a14="http://schemas.microsoft.com/office/drawing/2010/main" val="E3E3E3"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sz="1000" b="1" i="0" u="none" strike="noStrike" baseline="0">
              <a:solidFill>
                <a:srgbClr val="000000"/>
              </a:solidFill>
              <a:latin typeface="Arial"/>
              <a:ea typeface="Arial"/>
              <a:cs typeface="Arial"/>
            </a:rPr>
            <a:t>Back</a:t>
          </a:r>
        </a:p>
      </xdr:txBody>
    </xdr:sp>
    <xdr:clientData/>
  </xdr:twoCellAnchor>
  <xdr:twoCellAnchor>
    <xdr:from>
      <xdr:col>1</xdr:col>
      <xdr:colOff>0</xdr:colOff>
      <xdr:row>60</xdr:row>
      <xdr:rowOff>0</xdr:rowOff>
    </xdr:from>
    <xdr:to>
      <xdr:col>2</xdr:col>
      <xdr:colOff>0</xdr:colOff>
      <xdr:row>61</xdr:row>
      <xdr:rowOff>0</xdr:rowOff>
    </xdr:to>
    <xdr:sp macro="" textlink="">
      <xdr:nvSpPr>
        <xdr:cNvPr id="4100" name="Rectangle 4"/>
        <xdr:cNvSpPr>
          <a:spLocks noChangeArrowheads="1"/>
        </xdr:cNvSpPr>
      </xdr:nvSpPr>
      <xdr:spPr bwMode="auto">
        <a:xfrm>
          <a:off x="342900" y="9271000"/>
          <a:ext cx="4699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8</xdr:row>
      <xdr:rowOff>0</xdr:rowOff>
    </xdr:from>
    <xdr:to>
      <xdr:col>13</xdr:col>
      <xdr:colOff>0</xdr:colOff>
      <xdr:row>9</xdr:row>
      <xdr:rowOff>0</xdr:rowOff>
    </xdr:to>
    <xdr:sp macro="" textlink="">
      <xdr:nvSpPr>
        <xdr:cNvPr id="4101" name="Rectangle 5"/>
        <xdr:cNvSpPr>
          <a:spLocks noChangeArrowheads="1"/>
        </xdr:cNvSpPr>
      </xdr:nvSpPr>
      <xdr:spPr bwMode="auto">
        <a:xfrm>
          <a:off x="10312400" y="12192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9</xdr:row>
      <xdr:rowOff>0</xdr:rowOff>
    </xdr:from>
    <xdr:to>
      <xdr:col>13</xdr:col>
      <xdr:colOff>0</xdr:colOff>
      <xdr:row>10</xdr:row>
      <xdr:rowOff>0</xdr:rowOff>
    </xdr:to>
    <xdr:sp macro="" textlink="">
      <xdr:nvSpPr>
        <xdr:cNvPr id="4102" name="Rectangle 6"/>
        <xdr:cNvSpPr>
          <a:spLocks noChangeArrowheads="1"/>
        </xdr:cNvSpPr>
      </xdr:nvSpPr>
      <xdr:spPr bwMode="auto">
        <a:xfrm>
          <a:off x="10312400" y="13716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10</xdr:row>
      <xdr:rowOff>0</xdr:rowOff>
    </xdr:from>
    <xdr:to>
      <xdr:col>13</xdr:col>
      <xdr:colOff>0</xdr:colOff>
      <xdr:row>11</xdr:row>
      <xdr:rowOff>0</xdr:rowOff>
    </xdr:to>
    <xdr:sp macro="" textlink="">
      <xdr:nvSpPr>
        <xdr:cNvPr id="4103" name="Rectangle 7"/>
        <xdr:cNvSpPr>
          <a:spLocks noChangeArrowheads="1"/>
        </xdr:cNvSpPr>
      </xdr:nvSpPr>
      <xdr:spPr bwMode="auto">
        <a:xfrm>
          <a:off x="10312400" y="15240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11</xdr:row>
      <xdr:rowOff>0</xdr:rowOff>
    </xdr:from>
    <xdr:to>
      <xdr:col>13</xdr:col>
      <xdr:colOff>0</xdr:colOff>
      <xdr:row>12</xdr:row>
      <xdr:rowOff>0</xdr:rowOff>
    </xdr:to>
    <xdr:sp macro="" textlink="">
      <xdr:nvSpPr>
        <xdr:cNvPr id="4104" name="Rectangle 8"/>
        <xdr:cNvSpPr>
          <a:spLocks noChangeArrowheads="1"/>
        </xdr:cNvSpPr>
      </xdr:nvSpPr>
      <xdr:spPr bwMode="auto">
        <a:xfrm>
          <a:off x="10312400" y="1676400"/>
          <a:ext cx="673100" cy="165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21</xdr:row>
      <xdr:rowOff>0</xdr:rowOff>
    </xdr:from>
    <xdr:to>
      <xdr:col>13</xdr:col>
      <xdr:colOff>0</xdr:colOff>
      <xdr:row>22</xdr:row>
      <xdr:rowOff>0</xdr:rowOff>
    </xdr:to>
    <xdr:sp macro="" textlink="">
      <xdr:nvSpPr>
        <xdr:cNvPr id="4105" name="Rectangle 9"/>
        <xdr:cNvSpPr>
          <a:spLocks noChangeArrowheads="1"/>
        </xdr:cNvSpPr>
      </xdr:nvSpPr>
      <xdr:spPr bwMode="auto">
        <a:xfrm>
          <a:off x="10312400" y="32258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22</xdr:row>
      <xdr:rowOff>0</xdr:rowOff>
    </xdr:from>
    <xdr:to>
      <xdr:col>13</xdr:col>
      <xdr:colOff>0</xdr:colOff>
      <xdr:row>23</xdr:row>
      <xdr:rowOff>0</xdr:rowOff>
    </xdr:to>
    <xdr:sp macro="" textlink="">
      <xdr:nvSpPr>
        <xdr:cNvPr id="4106" name="Rectangle 10"/>
        <xdr:cNvSpPr>
          <a:spLocks noChangeArrowheads="1"/>
        </xdr:cNvSpPr>
      </xdr:nvSpPr>
      <xdr:spPr bwMode="auto">
        <a:xfrm>
          <a:off x="10312400" y="33782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23</xdr:row>
      <xdr:rowOff>0</xdr:rowOff>
    </xdr:from>
    <xdr:to>
      <xdr:col>13</xdr:col>
      <xdr:colOff>0</xdr:colOff>
      <xdr:row>24</xdr:row>
      <xdr:rowOff>0</xdr:rowOff>
    </xdr:to>
    <xdr:sp macro="" textlink="">
      <xdr:nvSpPr>
        <xdr:cNvPr id="4107" name="Rectangle 11"/>
        <xdr:cNvSpPr>
          <a:spLocks noChangeArrowheads="1"/>
        </xdr:cNvSpPr>
      </xdr:nvSpPr>
      <xdr:spPr bwMode="auto">
        <a:xfrm>
          <a:off x="10312400" y="35306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24</xdr:row>
      <xdr:rowOff>0</xdr:rowOff>
    </xdr:from>
    <xdr:to>
      <xdr:col>13</xdr:col>
      <xdr:colOff>0</xdr:colOff>
      <xdr:row>25</xdr:row>
      <xdr:rowOff>0</xdr:rowOff>
    </xdr:to>
    <xdr:sp macro="" textlink="">
      <xdr:nvSpPr>
        <xdr:cNvPr id="4108" name="Rectangle 12"/>
        <xdr:cNvSpPr>
          <a:spLocks noChangeArrowheads="1"/>
        </xdr:cNvSpPr>
      </xdr:nvSpPr>
      <xdr:spPr bwMode="auto">
        <a:xfrm>
          <a:off x="10312400" y="36830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25</xdr:row>
      <xdr:rowOff>0</xdr:rowOff>
    </xdr:from>
    <xdr:to>
      <xdr:col>13</xdr:col>
      <xdr:colOff>0</xdr:colOff>
      <xdr:row>26</xdr:row>
      <xdr:rowOff>0</xdr:rowOff>
    </xdr:to>
    <xdr:sp macro="" textlink="">
      <xdr:nvSpPr>
        <xdr:cNvPr id="4109" name="Rectangle 13"/>
        <xdr:cNvSpPr>
          <a:spLocks noChangeArrowheads="1"/>
        </xdr:cNvSpPr>
      </xdr:nvSpPr>
      <xdr:spPr bwMode="auto">
        <a:xfrm>
          <a:off x="10312400" y="38354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26</xdr:row>
      <xdr:rowOff>0</xdr:rowOff>
    </xdr:from>
    <xdr:to>
      <xdr:col>13</xdr:col>
      <xdr:colOff>0</xdr:colOff>
      <xdr:row>27</xdr:row>
      <xdr:rowOff>0</xdr:rowOff>
    </xdr:to>
    <xdr:sp macro="" textlink="">
      <xdr:nvSpPr>
        <xdr:cNvPr id="4110" name="Rectangle 14"/>
        <xdr:cNvSpPr>
          <a:spLocks noChangeArrowheads="1"/>
        </xdr:cNvSpPr>
      </xdr:nvSpPr>
      <xdr:spPr bwMode="auto">
        <a:xfrm>
          <a:off x="10312400" y="3987800"/>
          <a:ext cx="673100" cy="165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46</xdr:row>
      <xdr:rowOff>0</xdr:rowOff>
    </xdr:from>
    <xdr:to>
      <xdr:col>13</xdr:col>
      <xdr:colOff>0</xdr:colOff>
      <xdr:row>47</xdr:row>
      <xdr:rowOff>0</xdr:rowOff>
    </xdr:to>
    <xdr:sp macro="" textlink="">
      <xdr:nvSpPr>
        <xdr:cNvPr id="4111" name="Rectangle 15"/>
        <xdr:cNvSpPr>
          <a:spLocks noChangeArrowheads="1"/>
        </xdr:cNvSpPr>
      </xdr:nvSpPr>
      <xdr:spPr bwMode="auto">
        <a:xfrm>
          <a:off x="10312400" y="7099300"/>
          <a:ext cx="673100" cy="165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45</xdr:row>
      <xdr:rowOff>0</xdr:rowOff>
    </xdr:from>
    <xdr:to>
      <xdr:col>13</xdr:col>
      <xdr:colOff>0</xdr:colOff>
      <xdr:row>46</xdr:row>
      <xdr:rowOff>0</xdr:rowOff>
    </xdr:to>
    <xdr:sp macro="" textlink="">
      <xdr:nvSpPr>
        <xdr:cNvPr id="4112" name="Rectangle 16"/>
        <xdr:cNvSpPr>
          <a:spLocks noChangeArrowheads="1"/>
        </xdr:cNvSpPr>
      </xdr:nvSpPr>
      <xdr:spPr bwMode="auto">
        <a:xfrm>
          <a:off x="10312400" y="6934200"/>
          <a:ext cx="673100" cy="165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15</xdr:row>
      <xdr:rowOff>0</xdr:rowOff>
    </xdr:from>
    <xdr:to>
      <xdr:col>13</xdr:col>
      <xdr:colOff>0</xdr:colOff>
      <xdr:row>16</xdr:row>
      <xdr:rowOff>0</xdr:rowOff>
    </xdr:to>
    <xdr:sp macro="" textlink="">
      <xdr:nvSpPr>
        <xdr:cNvPr id="4113" name="Rectangle 17"/>
        <xdr:cNvSpPr>
          <a:spLocks noChangeArrowheads="1"/>
        </xdr:cNvSpPr>
      </xdr:nvSpPr>
      <xdr:spPr bwMode="auto">
        <a:xfrm>
          <a:off x="10312400" y="23114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16</xdr:row>
      <xdr:rowOff>0</xdr:rowOff>
    </xdr:from>
    <xdr:to>
      <xdr:col>13</xdr:col>
      <xdr:colOff>0</xdr:colOff>
      <xdr:row>17</xdr:row>
      <xdr:rowOff>0</xdr:rowOff>
    </xdr:to>
    <xdr:sp macro="" textlink="">
      <xdr:nvSpPr>
        <xdr:cNvPr id="4114" name="Rectangle 18"/>
        <xdr:cNvSpPr>
          <a:spLocks noChangeArrowheads="1"/>
        </xdr:cNvSpPr>
      </xdr:nvSpPr>
      <xdr:spPr bwMode="auto">
        <a:xfrm>
          <a:off x="10312400" y="24638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17</xdr:row>
      <xdr:rowOff>0</xdr:rowOff>
    </xdr:from>
    <xdr:to>
      <xdr:col>13</xdr:col>
      <xdr:colOff>0</xdr:colOff>
      <xdr:row>18</xdr:row>
      <xdr:rowOff>0</xdr:rowOff>
    </xdr:to>
    <xdr:sp macro="" textlink="">
      <xdr:nvSpPr>
        <xdr:cNvPr id="4115" name="Rectangle 19"/>
        <xdr:cNvSpPr>
          <a:spLocks noChangeArrowheads="1"/>
        </xdr:cNvSpPr>
      </xdr:nvSpPr>
      <xdr:spPr bwMode="auto">
        <a:xfrm>
          <a:off x="10312400" y="26162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18</xdr:row>
      <xdr:rowOff>0</xdr:rowOff>
    </xdr:from>
    <xdr:to>
      <xdr:col>13</xdr:col>
      <xdr:colOff>0</xdr:colOff>
      <xdr:row>19</xdr:row>
      <xdr:rowOff>0</xdr:rowOff>
    </xdr:to>
    <xdr:sp macro="" textlink="">
      <xdr:nvSpPr>
        <xdr:cNvPr id="4116" name="Rectangle 20"/>
        <xdr:cNvSpPr>
          <a:spLocks noChangeArrowheads="1"/>
        </xdr:cNvSpPr>
      </xdr:nvSpPr>
      <xdr:spPr bwMode="auto">
        <a:xfrm>
          <a:off x="10312400" y="27686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19</xdr:row>
      <xdr:rowOff>0</xdr:rowOff>
    </xdr:from>
    <xdr:to>
      <xdr:col>13</xdr:col>
      <xdr:colOff>0</xdr:colOff>
      <xdr:row>20</xdr:row>
      <xdr:rowOff>0</xdr:rowOff>
    </xdr:to>
    <xdr:sp macro="" textlink="">
      <xdr:nvSpPr>
        <xdr:cNvPr id="4117" name="Rectangle 21"/>
        <xdr:cNvSpPr>
          <a:spLocks noChangeArrowheads="1"/>
        </xdr:cNvSpPr>
      </xdr:nvSpPr>
      <xdr:spPr bwMode="auto">
        <a:xfrm>
          <a:off x="10312400" y="29210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20</xdr:row>
      <xdr:rowOff>0</xdr:rowOff>
    </xdr:from>
    <xdr:to>
      <xdr:col>13</xdr:col>
      <xdr:colOff>0</xdr:colOff>
      <xdr:row>21</xdr:row>
      <xdr:rowOff>0</xdr:rowOff>
    </xdr:to>
    <xdr:sp macro="" textlink="">
      <xdr:nvSpPr>
        <xdr:cNvPr id="4118" name="Rectangle 22"/>
        <xdr:cNvSpPr>
          <a:spLocks noChangeArrowheads="1"/>
        </xdr:cNvSpPr>
      </xdr:nvSpPr>
      <xdr:spPr bwMode="auto">
        <a:xfrm>
          <a:off x="10312400" y="30734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50</xdr:row>
      <xdr:rowOff>0</xdr:rowOff>
    </xdr:from>
    <xdr:to>
      <xdr:col>13</xdr:col>
      <xdr:colOff>0</xdr:colOff>
      <xdr:row>51</xdr:row>
      <xdr:rowOff>0</xdr:rowOff>
    </xdr:to>
    <xdr:sp macro="" textlink="">
      <xdr:nvSpPr>
        <xdr:cNvPr id="4119" name="Rectangle 23"/>
        <xdr:cNvSpPr>
          <a:spLocks noChangeArrowheads="1"/>
        </xdr:cNvSpPr>
      </xdr:nvSpPr>
      <xdr:spPr bwMode="auto">
        <a:xfrm>
          <a:off x="10312400" y="7721600"/>
          <a:ext cx="673100" cy="165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10160</xdr:colOff>
      <xdr:row>54</xdr:row>
      <xdr:rowOff>20320</xdr:rowOff>
    </xdr:from>
    <xdr:ext cx="7569200" cy="461665"/>
    <xdr:sp macro="" textlink="">
      <xdr:nvSpPr>
        <xdr:cNvPr id="2" name="TextBox 1"/>
        <xdr:cNvSpPr txBox="1"/>
      </xdr:nvSpPr>
      <xdr:spPr>
        <a:xfrm>
          <a:off x="1016000" y="11003280"/>
          <a:ext cx="7569200" cy="46166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n-US" sz="1200"/>
            <a:t>*Negative</a:t>
          </a:r>
          <a:r>
            <a:rPr lang="en-US" sz="1200" baseline="0"/>
            <a:t> balances indicate a SURPLUS.  On the Main page make sure there is no price associated with these surpluses, unless you intend to sell some of the surplus commodity.  Otherwise, your costs will be incorrectly reduced.  </a:t>
          </a:r>
          <a:endParaRPr lang="en-US" sz="12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cy/Documents/PC%20Documents/Budgets/Forages/Hybrid%20Bermuda%20-%202008%20-%20irrigated%20-%20ROUN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enaperry/Downloads/Documents%20and%20Settings/clacy.TIFTON_CAMPUS/Desktop/Old_LT/My%20Documents/Budgets/New%20budgets/Stockers-Fescu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lacy/Documents/PC%20Documents/Budgets/Forages/Sorghum%20silage%20-%20Irrigated%20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lacy/Documents/PC%20Documents/Budgets/Forages/Corn%20silage%20-%20Irrigated%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acy-lt/C-Drive/My%20Documents/Budgets/Machinery%20Info/implmnt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Main"/>
      <sheetName val="Establishment"/>
      <sheetName val="Fixed_Payment"/>
      <sheetName val="Fixed_Cost"/>
      <sheetName val="G"/>
      <sheetName val="H"/>
      <sheetName val="I"/>
      <sheetName val="J"/>
    </sheetNames>
    <sheetDataSet>
      <sheetData sheetId="0">
        <row r="4">
          <cell r="B4" t="str">
            <v>WELCOME TO THE COASTAL</v>
          </cell>
          <cell r="H4" t="str">
            <v>REMEMBER</v>
          </cell>
        </row>
        <row r="5">
          <cell r="B5" t="str">
            <v>HAY PRODUCTION  BUDGET</v>
          </cell>
        </row>
      </sheetData>
      <sheetData sheetId="1">
        <row r="4">
          <cell r="B4" t="str">
            <v>University of Georgia, 2002</v>
          </cell>
        </row>
        <row r="5">
          <cell r="K5" t="str">
            <v/>
          </cell>
        </row>
      </sheetData>
      <sheetData sheetId="2">
        <row r="3">
          <cell r="C3">
            <v>20</v>
          </cell>
        </row>
        <row r="4">
          <cell r="B4" t="str">
            <v>ESTABLISHMENT COST DETAIL</v>
          </cell>
        </row>
      </sheetData>
      <sheetData sheetId="3">
        <row r="39">
          <cell r="I39">
            <v>8318.7987087023448</v>
          </cell>
        </row>
      </sheetData>
      <sheetData sheetId="4">
        <row r="30">
          <cell r="I30">
            <v>11538.5875</v>
          </cell>
        </row>
      </sheetData>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Main"/>
      <sheetName val="Fescue Grazing"/>
      <sheetName val="Feed Cost"/>
      <sheetName val="Procurement"/>
      <sheetName val="Fixed_Cost"/>
      <sheetName val="Fixed_Payment"/>
      <sheetName val="G"/>
      <sheetName val="H"/>
      <sheetName val="I"/>
      <sheetName val="J"/>
      <sheetName val="K"/>
      <sheetName val="L"/>
    </sheetNames>
    <sheetDataSet>
      <sheetData sheetId="0"/>
      <sheetData sheetId="1"/>
      <sheetData sheetId="2"/>
      <sheetData sheetId="3"/>
      <sheetData sheetId="4"/>
      <sheetData sheetId="5">
        <row r="45">
          <cell r="J45">
            <v>1069.47</v>
          </cell>
        </row>
        <row r="46">
          <cell r="J46">
            <v>1393.95</v>
          </cell>
        </row>
      </sheetData>
      <sheetData sheetId="6">
        <row r="41">
          <cell r="J41">
            <v>1786.0992045632743</v>
          </cell>
        </row>
      </sheetData>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s"/>
    </sheetNames>
    <sheetDataSet>
      <sheetData sheetId="0"/>
      <sheetData sheetId="1"/>
      <sheetData sheetId="2">
        <row r="11">
          <cell r="F11">
            <v>14.59</v>
          </cell>
        </row>
        <row r="25">
          <cell r="F25">
            <v>6.53125</v>
          </cell>
        </row>
      </sheetData>
      <sheetData sheetId="3">
        <row r="18">
          <cell r="F18">
            <v>0.45124983107277999</v>
          </cell>
          <cell r="M18">
            <v>3.7323369868144622</v>
          </cell>
          <cell r="R18">
            <v>17.596400233502234</v>
          </cell>
        </row>
        <row r="27">
          <cell r="H27">
            <v>0</v>
          </cell>
          <cell r="J27">
            <v>0</v>
          </cell>
          <cell r="L27">
            <v>0</v>
          </cell>
        </row>
      </sheetData>
      <sheetData sheetId="4">
        <row r="21">
          <cell r="F21">
            <v>0</v>
          </cell>
          <cell r="J21">
            <v>0</v>
          </cell>
          <cell r="R21">
            <v>0</v>
          </cell>
        </row>
      </sheetData>
      <sheetData sheetId="5">
        <row r="14">
          <cell r="A14" t="str">
            <v>Sprayer (300-450 Gal)47'</v>
          </cell>
          <cell r="B14" t="str">
            <v>Sprayer (300-450 Gal)</v>
          </cell>
          <cell r="C14" t="str">
            <v>47'</v>
          </cell>
          <cell r="D14">
            <v>47</v>
          </cell>
          <cell r="E14">
            <v>12</v>
          </cell>
          <cell r="F14">
            <v>0.65</v>
          </cell>
          <cell r="G14">
            <v>2.2504091653027823E-2</v>
          </cell>
          <cell r="H14">
            <v>5.4050000000000002</v>
          </cell>
          <cell r="I14">
            <v>67065</v>
          </cell>
          <cell r="J14">
            <v>30</v>
          </cell>
          <cell r="K14">
            <v>15</v>
          </cell>
          <cell r="L14">
            <v>8</v>
          </cell>
          <cell r="M14">
            <v>350</v>
          </cell>
          <cell r="N14">
            <v>47</v>
          </cell>
          <cell r="O14">
            <v>12</v>
          </cell>
          <cell r="P14">
            <v>65</v>
          </cell>
          <cell r="Q14">
            <v>44.436360000000001</v>
          </cell>
          <cell r="R14">
            <v>1257.46875</v>
          </cell>
          <cell r="S14">
            <v>3.592767857142857</v>
          </cell>
          <cell r="T14">
            <v>20119.5</v>
          </cell>
          <cell r="U14">
            <v>2514.9375</v>
          </cell>
          <cell r="V14">
            <v>43592.25</v>
          </cell>
          <cell r="W14">
            <v>3923.3024999999998</v>
          </cell>
          <cell r="X14">
            <v>1046.2139999999999</v>
          </cell>
          <cell r="Y14">
            <v>7484.4539999999997</v>
          </cell>
          <cell r="Z14">
            <v>21.384154285714285</v>
          </cell>
        </row>
        <row r="15">
          <cell r="A15" t="str">
            <v>Sprayer (300-450 Gal)60'</v>
          </cell>
          <cell r="B15" t="str">
            <v>Sprayer (300-450 Gal)</v>
          </cell>
          <cell r="C15" t="str">
            <v>60'</v>
          </cell>
          <cell r="D15">
            <v>60</v>
          </cell>
          <cell r="E15">
            <v>12</v>
          </cell>
          <cell r="F15">
            <v>0.65</v>
          </cell>
          <cell r="G15">
            <v>1.7628205128205128E-2</v>
          </cell>
          <cell r="H15">
            <v>5.6619999999999999</v>
          </cell>
          <cell r="I15">
            <v>77512</v>
          </cell>
          <cell r="J15">
            <v>30</v>
          </cell>
          <cell r="K15">
            <v>15</v>
          </cell>
          <cell r="L15">
            <v>8</v>
          </cell>
          <cell r="M15">
            <v>350</v>
          </cell>
          <cell r="N15">
            <v>60</v>
          </cell>
          <cell r="O15">
            <v>12</v>
          </cell>
          <cell r="P15">
            <v>65</v>
          </cell>
          <cell r="Q15">
            <v>56.727269999999997</v>
          </cell>
          <cell r="R15">
            <v>1453.35</v>
          </cell>
          <cell r="S15">
            <v>4.1524285714285716</v>
          </cell>
          <cell r="T15">
            <v>23253.599999999999</v>
          </cell>
          <cell r="U15">
            <v>2906.7</v>
          </cell>
          <cell r="V15">
            <v>50382.8</v>
          </cell>
          <cell r="W15">
            <v>4534.4520000000002</v>
          </cell>
          <cell r="X15">
            <v>1209.1872000000001</v>
          </cell>
          <cell r="Y15">
            <v>8650.3392000000003</v>
          </cell>
          <cell r="Z15">
            <v>24.71525485714286</v>
          </cell>
        </row>
        <row r="16">
          <cell r="A16" t="str">
            <v>Sprayer (300-450 Gal)80'</v>
          </cell>
          <cell r="B16" t="str">
            <v>Sprayer (300-450 Gal)</v>
          </cell>
          <cell r="C16" t="str">
            <v>80'</v>
          </cell>
          <cell r="D16">
            <v>80</v>
          </cell>
          <cell r="E16">
            <v>12</v>
          </cell>
          <cell r="F16">
            <v>0.65</v>
          </cell>
          <cell r="G16">
            <v>1.3221153846153846E-2</v>
          </cell>
          <cell r="H16">
            <v>5.6619999999999999</v>
          </cell>
          <cell r="I16">
            <v>76429</v>
          </cell>
          <cell r="J16">
            <v>30</v>
          </cell>
          <cell r="K16">
            <v>15</v>
          </cell>
          <cell r="L16">
            <v>8</v>
          </cell>
          <cell r="M16">
            <v>350</v>
          </cell>
          <cell r="N16">
            <v>80</v>
          </cell>
          <cell r="O16">
            <v>12</v>
          </cell>
          <cell r="P16">
            <v>65</v>
          </cell>
          <cell r="Q16">
            <v>75.636359999999996</v>
          </cell>
          <cell r="R16">
            <v>1433.04375</v>
          </cell>
          <cell r="S16">
            <v>4.094410714285714</v>
          </cell>
          <cell r="T16">
            <v>22928.7</v>
          </cell>
          <cell r="U16">
            <v>2866.0875000000001</v>
          </cell>
          <cell r="V16">
            <v>49678.85</v>
          </cell>
          <cell r="W16">
            <v>4471.0964999999997</v>
          </cell>
          <cell r="X16">
            <v>1192.2924</v>
          </cell>
          <cell r="Y16">
            <v>8529.4763999999996</v>
          </cell>
          <cell r="Z16">
            <v>24.369932571428571</v>
          </cell>
        </row>
        <row r="17">
          <cell r="A17" t="str">
            <v>Sprayer (600-750 Gal)60'</v>
          </cell>
          <cell r="B17" t="str">
            <v>Sprayer (600-750 Gal)</v>
          </cell>
          <cell r="C17" t="str">
            <v>60'</v>
          </cell>
          <cell r="D17">
            <v>60</v>
          </cell>
          <cell r="E17">
            <v>12</v>
          </cell>
          <cell r="F17">
            <v>0.65</v>
          </cell>
          <cell r="G17">
            <v>1.7628205128205128E-2</v>
          </cell>
          <cell r="H17">
            <v>10.295</v>
          </cell>
          <cell r="I17">
            <v>138905</v>
          </cell>
          <cell r="J17">
            <v>30</v>
          </cell>
          <cell r="K17">
            <v>15</v>
          </cell>
          <cell r="L17">
            <v>8</v>
          </cell>
          <cell r="M17">
            <v>350</v>
          </cell>
          <cell r="N17">
            <v>60</v>
          </cell>
          <cell r="O17">
            <v>12</v>
          </cell>
          <cell r="P17">
            <v>65</v>
          </cell>
          <cell r="Q17">
            <v>56.727269999999997</v>
          </cell>
          <cell r="R17">
            <v>2604.46875</v>
          </cell>
          <cell r="S17">
            <v>7.4413392857142862</v>
          </cell>
          <cell r="T17">
            <v>41671.5</v>
          </cell>
          <cell r="U17">
            <v>5208.9375</v>
          </cell>
          <cell r="V17">
            <v>90288.25</v>
          </cell>
          <cell r="W17">
            <v>8125.9425000000001</v>
          </cell>
          <cell r="X17">
            <v>2166.9180000000001</v>
          </cell>
          <cell r="Y17">
            <v>15501.798000000001</v>
          </cell>
          <cell r="Z17">
            <v>44.290851428571429</v>
          </cell>
        </row>
        <row r="18">
          <cell r="A18" t="str">
            <v>Sprayer (600-825 Gal)90'</v>
          </cell>
          <cell r="B18" t="str">
            <v>Sprayer (600-825 Gal)</v>
          </cell>
          <cell r="C18" t="str">
            <v>90'</v>
          </cell>
          <cell r="D18">
            <v>90</v>
          </cell>
          <cell r="E18">
            <v>10</v>
          </cell>
          <cell r="F18">
            <v>0.65</v>
          </cell>
          <cell r="G18">
            <v>1.4102564102564103E-2</v>
          </cell>
          <cell r="H18">
            <v>10.295</v>
          </cell>
          <cell r="I18">
            <v>147891</v>
          </cell>
          <cell r="J18">
            <v>30</v>
          </cell>
          <cell r="K18">
            <v>15</v>
          </cell>
          <cell r="L18">
            <v>8</v>
          </cell>
          <cell r="M18">
            <v>350</v>
          </cell>
          <cell r="N18">
            <v>90</v>
          </cell>
          <cell r="O18">
            <v>10</v>
          </cell>
          <cell r="P18">
            <v>65</v>
          </cell>
          <cell r="Q18">
            <v>70.909090000000006</v>
          </cell>
          <cell r="R18">
            <v>2772.9562500000002</v>
          </cell>
          <cell r="S18">
            <v>7.9227321428571438</v>
          </cell>
          <cell r="T18">
            <v>44367.3</v>
          </cell>
          <cell r="U18">
            <v>5545.9125000000004</v>
          </cell>
          <cell r="V18">
            <v>96129.15</v>
          </cell>
          <cell r="W18">
            <v>8651.6234999999997</v>
          </cell>
          <cell r="X18">
            <v>2307.0996</v>
          </cell>
          <cell r="Y18">
            <v>16504.635600000001</v>
          </cell>
          <cell r="Z18">
            <v>47.156101714285718</v>
          </cell>
        </row>
        <row r="19">
          <cell r="A19" t="str">
            <v>Sprayer (800-1000Gal)90'</v>
          </cell>
          <cell r="B19" t="str">
            <v>Sprayer (800-1000Gal)</v>
          </cell>
          <cell r="C19" t="str">
            <v>90'</v>
          </cell>
          <cell r="D19">
            <v>90</v>
          </cell>
          <cell r="E19">
            <v>10</v>
          </cell>
          <cell r="F19">
            <v>0.65</v>
          </cell>
          <cell r="G19">
            <v>1.4102564102564103E-2</v>
          </cell>
          <cell r="H19">
            <v>14.154999999999999</v>
          </cell>
          <cell r="I19">
            <v>207081</v>
          </cell>
          <cell r="J19">
            <v>30</v>
          </cell>
          <cell r="K19">
            <v>15</v>
          </cell>
          <cell r="L19">
            <v>8</v>
          </cell>
          <cell r="M19">
            <v>350</v>
          </cell>
          <cell r="N19">
            <v>90</v>
          </cell>
          <cell r="O19">
            <v>10</v>
          </cell>
          <cell r="P19">
            <v>65</v>
          </cell>
          <cell r="Q19">
            <v>70.909090000000006</v>
          </cell>
          <cell r="R19">
            <v>3882.7687500000002</v>
          </cell>
          <cell r="S19">
            <v>11.093625000000001</v>
          </cell>
          <cell r="T19">
            <v>62124.3</v>
          </cell>
          <cell r="U19">
            <v>7765.5375000000004</v>
          </cell>
          <cell r="V19">
            <v>134602.65</v>
          </cell>
          <cell r="W19">
            <v>12114.238499999999</v>
          </cell>
          <cell r="X19">
            <v>3230.4636</v>
          </cell>
          <cell r="Y19">
            <v>23110.239600000001</v>
          </cell>
          <cell r="Z19">
            <v>66.029256000000004</v>
          </cell>
        </row>
      </sheetData>
      <sheetData sheetId="6">
        <row r="6">
          <cell r="A6" t="str">
            <v>Chisel Plow(Folding)16'</v>
          </cell>
          <cell r="B6" t="str">
            <v>Chisel Plow(Folding)</v>
          </cell>
          <cell r="C6" t="str">
            <v>16'</v>
          </cell>
          <cell r="D6">
            <v>16</v>
          </cell>
          <cell r="E6">
            <v>5.25</v>
          </cell>
          <cell r="F6">
            <v>0.85</v>
          </cell>
          <cell r="G6">
            <v>0.11554621848739496</v>
          </cell>
          <cell r="H6">
            <v>10736</v>
          </cell>
          <cell r="I6">
            <v>30</v>
          </cell>
          <cell r="J6">
            <v>65</v>
          </cell>
          <cell r="K6">
            <v>12</v>
          </cell>
          <cell r="L6">
            <v>150</v>
          </cell>
          <cell r="M6">
            <v>0</v>
          </cell>
          <cell r="N6">
            <v>1800</v>
          </cell>
          <cell r="O6">
            <v>1</v>
          </cell>
          <cell r="P6">
            <v>0.28000000000000003</v>
          </cell>
          <cell r="Q6">
            <v>1.4</v>
          </cell>
          <cell r="R6">
            <v>211.11947481078752</v>
          </cell>
          <cell r="S6">
            <v>1.4074631654052501</v>
          </cell>
          <cell r="T6">
            <v>581.5333333333333</v>
          </cell>
          <cell r="U6">
            <v>3.8768888888888888</v>
          </cell>
          <cell r="V6">
            <v>3220.8</v>
          </cell>
          <cell r="W6">
            <v>626.26666666666665</v>
          </cell>
          <cell r="X6">
            <v>6978.4</v>
          </cell>
          <cell r="Y6">
            <v>628.05599999999993</v>
          </cell>
          <cell r="Z6">
            <v>167.48159999999999</v>
          </cell>
          <cell r="AA6">
            <v>1421.8042666666665</v>
          </cell>
          <cell r="AB6">
            <v>9.4786951111111097</v>
          </cell>
        </row>
        <row r="7">
          <cell r="A7" t="str">
            <v>Chisel Plow(Folding)24'</v>
          </cell>
          <cell r="B7" t="str">
            <v>Chisel Plow(Folding)</v>
          </cell>
          <cell r="C7" t="str">
            <v>24'</v>
          </cell>
          <cell r="D7">
            <v>24</v>
          </cell>
          <cell r="E7">
            <v>5.25</v>
          </cell>
          <cell r="F7">
            <v>0.85</v>
          </cell>
          <cell r="G7">
            <v>7.7030812324929962E-2</v>
          </cell>
          <cell r="H7">
            <v>22086</v>
          </cell>
          <cell r="I7">
            <v>30</v>
          </cell>
          <cell r="J7">
            <v>65</v>
          </cell>
          <cell r="K7">
            <v>12</v>
          </cell>
          <cell r="L7">
            <v>150</v>
          </cell>
          <cell r="M7">
            <v>0</v>
          </cell>
          <cell r="N7">
            <v>1800</v>
          </cell>
          <cell r="O7">
            <v>1</v>
          </cell>
          <cell r="P7">
            <v>0.27</v>
          </cell>
          <cell r="Q7">
            <v>1.4</v>
          </cell>
          <cell r="R7">
            <v>418.80185310476907</v>
          </cell>
          <cell r="S7">
            <v>2.7920123540317938</v>
          </cell>
          <cell r="T7">
            <v>1196.325</v>
          </cell>
          <cell r="U7">
            <v>7.9755000000000003</v>
          </cell>
          <cell r="V7">
            <v>6625.8</v>
          </cell>
          <cell r="W7">
            <v>1288.3500000000001</v>
          </cell>
          <cell r="X7">
            <v>14355.9</v>
          </cell>
          <cell r="Y7">
            <v>1292.0309999999999</v>
          </cell>
          <cell r="Z7">
            <v>344.54160000000002</v>
          </cell>
          <cell r="AA7">
            <v>2924.9225999999999</v>
          </cell>
          <cell r="AB7">
            <v>19.499483999999999</v>
          </cell>
        </row>
        <row r="8">
          <cell r="A8" t="str">
            <v>Chisel Plow(Folding)32'</v>
          </cell>
          <cell r="B8" t="str">
            <v>Chisel Plow(Folding)</v>
          </cell>
          <cell r="C8" t="str">
            <v>32'</v>
          </cell>
          <cell r="D8">
            <v>32</v>
          </cell>
          <cell r="E8">
            <v>5.25</v>
          </cell>
          <cell r="F8">
            <v>0.85</v>
          </cell>
          <cell r="G8">
            <v>5.7773109243697482E-2</v>
          </cell>
          <cell r="H8">
            <v>26167</v>
          </cell>
          <cell r="I8">
            <v>30</v>
          </cell>
          <cell r="J8">
            <v>65</v>
          </cell>
          <cell r="K8">
            <v>12</v>
          </cell>
          <cell r="L8">
            <v>150</v>
          </cell>
          <cell r="M8">
            <v>0</v>
          </cell>
          <cell r="N8">
            <v>1800</v>
          </cell>
          <cell r="O8">
            <v>1</v>
          </cell>
          <cell r="P8">
            <v>0.19</v>
          </cell>
          <cell r="Q8">
            <v>1.3</v>
          </cell>
          <cell r="R8">
            <v>422.11051629367984</v>
          </cell>
          <cell r="S8">
            <v>2.8140701086245321</v>
          </cell>
          <cell r="T8">
            <v>1417.3791666666666</v>
          </cell>
          <cell r="U8">
            <v>9.4491944444444442</v>
          </cell>
          <cell r="V8">
            <v>7850.1</v>
          </cell>
          <cell r="W8">
            <v>1526.4083333333335</v>
          </cell>
          <cell r="X8">
            <v>17008.55</v>
          </cell>
          <cell r="Y8">
            <v>1530.7694999999999</v>
          </cell>
          <cell r="Z8">
            <v>408.20519999999999</v>
          </cell>
          <cell r="AA8">
            <v>3465.3830333333335</v>
          </cell>
          <cell r="AB8">
            <v>23.102553555555556</v>
          </cell>
        </row>
        <row r="9">
          <cell r="A9" t="str">
            <v>Chisel Plow(Folding)42'</v>
          </cell>
          <cell r="B9" t="str">
            <v>Chisel Plow(Folding)</v>
          </cell>
          <cell r="C9" t="str">
            <v>42'</v>
          </cell>
          <cell r="D9">
            <v>42</v>
          </cell>
          <cell r="E9">
            <v>5.25</v>
          </cell>
          <cell r="F9">
            <v>0.85</v>
          </cell>
          <cell r="G9">
            <v>4.4017607042817125E-2</v>
          </cell>
          <cell r="H9">
            <v>31213</v>
          </cell>
          <cell r="I9">
            <v>30</v>
          </cell>
          <cell r="J9">
            <v>65</v>
          </cell>
          <cell r="K9">
            <v>12</v>
          </cell>
          <cell r="L9">
            <v>150</v>
          </cell>
          <cell r="M9">
            <v>0</v>
          </cell>
          <cell r="N9">
            <v>1800</v>
          </cell>
          <cell r="O9">
            <v>1</v>
          </cell>
          <cell r="P9">
            <v>0.27</v>
          </cell>
          <cell r="Q9">
            <v>1.4</v>
          </cell>
          <cell r="R9">
            <v>591.87096988857911</v>
          </cell>
          <cell r="S9">
            <v>3.9458064659238605</v>
          </cell>
          <cell r="T9">
            <v>1690.7041666666667</v>
          </cell>
          <cell r="U9">
            <v>11.27136111111111</v>
          </cell>
          <cell r="V9">
            <v>9363.9</v>
          </cell>
          <cell r="W9">
            <v>1820.7583333333332</v>
          </cell>
          <cell r="X9">
            <v>20288.45</v>
          </cell>
          <cell r="Y9">
            <v>1825.9604999999999</v>
          </cell>
          <cell r="Z9">
            <v>486.92280000000005</v>
          </cell>
          <cell r="AA9">
            <v>4133.6416333333327</v>
          </cell>
          <cell r="AB9">
            <v>27.557610888888885</v>
          </cell>
        </row>
        <row r="10">
          <cell r="A10" t="str">
            <v>Chisel Plow(Rigid)15'</v>
          </cell>
          <cell r="B10" t="str">
            <v>Chisel Plow(Rigid)</v>
          </cell>
          <cell r="C10" t="str">
            <v>15'</v>
          </cell>
          <cell r="D10">
            <v>15</v>
          </cell>
          <cell r="E10">
            <v>5.25</v>
          </cell>
          <cell r="F10">
            <v>0.85</v>
          </cell>
          <cell r="G10">
            <v>0.12324929971988796</v>
          </cell>
          <cell r="H10">
            <v>7660</v>
          </cell>
          <cell r="I10">
            <v>30</v>
          </cell>
          <cell r="J10">
            <v>65</v>
          </cell>
          <cell r="K10">
            <v>12</v>
          </cell>
          <cell r="L10">
            <v>150</v>
          </cell>
          <cell r="M10">
            <v>0</v>
          </cell>
          <cell r="N10">
            <v>1800</v>
          </cell>
          <cell r="O10">
            <v>1</v>
          </cell>
          <cell r="P10">
            <v>0.27</v>
          </cell>
          <cell r="Q10">
            <v>1.4</v>
          </cell>
          <cell r="R10">
            <v>145.25138978459347</v>
          </cell>
          <cell r="S10">
            <v>0.96834259856395644</v>
          </cell>
          <cell r="T10">
            <v>414.91666666666669</v>
          </cell>
          <cell r="U10">
            <v>2.7661111111111114</v>
          </cell>
          <cell r="V10">
            <v>2298</v>
          </cell>
          <cell r="W10">
            <v>446.83333333333331</v>
          </cell>
          <cell r="X10">
            <v>4979</v>
          </cell>
          <cell r="Y10">
            <v>448.10999999999996</v>
          </cell>
          <cell r="Z10">
            <v>119.49600000000001</v>
          </cell>
          <cell r="AA10">
            <v>1014.4393333333333</v>
          </cell>
          <cell r="AB10">
            <v>6.7629288888888883</v>
          </cell>
        </row>
        <row r="11">
          <cell r="A11" t="str">
            <v>Chisel Plow(Rigid)24'</v>
          </cell>
          <cell r="B11" t="str">
            <v>Chisel Plow(Rigid)</v>
          </cell>
          <cell r="C11" t="str">
            <v>24'</v>
          </cell>
          <cell r="D11">
            <v>24</v>
          </cell>
          <cell r="E11">
            <v>5.25</v>
          </cell>
          <cell r="F11">
            <v>0.85</v>
          </cell>
          <cell r="G11">
            <v>7.7030812324929962E-2</v>
          </cell>
          <cell r="H11">
            <v>8803</v>
          </cell>
          <cell r="I11">
            <v>30</v>
          </cell>
          <cell r="J11">
            <v>65</v>
          </cell>
          <cell r="K11">
            <v>12</v>
          </cell>
          <cell r="L11">
            <v>150</v>
          </cell>
          <cell r="M11">
            <v>0</v>
          </cell>
          <cell r="N11">
            <v>1800</v>
          </cell>
          <cell r="O11">
            <v>1</v>
          </cell>
          <cell r="P11">
            <v>0.27</v>
          </cell>
          <cell r="Q11">
            <v>1.4</v>
          </cell>
          <cell r="R11">
            <v>166.92532431772534</v>
          </cell>
          <cell r="S11">
            <v>1.1128354954515023</v>
          </cell>
          <cell r="T11">
            <v>476.82916666666665</v>
          </cell>
          <cell r="U11">
            <v>3.1788611111111109</v>
          </cell>
          <cell r="V11">
            <v>2640.9</v>
          </cell>
          <cell r="W11">
            <v>513.50833333333333</v>
          </cell>
          <cell r="X11">
            <v>5721.95</v>
          </cell>
          <cell r="Y11">
            <v>514.97550000000001</v>
          </cell>
          <cell r="Z11">
            <v>137.32679999999999</v>
          </cell>
          <cell r="AA11">
            <v>1165.8106333333335</v>
          </cell>
          <cell r="AB11">
            <v>7.7720708888888899</v>
          </cell>
        </row>
        <row r="12">
          <cell r="A12" t="str">
            <v>Chisel-Harrow21 shank</v>
          </cell>
          <cell r="B12" t="str">
            <v>Chisel-Harrow</v>
          </cell>
          <cell r="C12" t="str">
            <v>21 shank</v>
          </cell>
          <cell r="D12">
            <v>21</v>
          </cell>
          <cell r="E12">
            <v>5.25</v>
          </cell>
          <cell r="F12">
            <v>0.85</v>
          </cell>
          <cell r="G12">
            <v>8.803521408563425E-2</v>
          </cell>
          <cell r="H12">
            <v>8033</v>
          </cell>
          <cell r="I12">
            <v>30</v>
          </cell>
          <cell r="J12">
            <v>65</v>
          </cell>
          <cell r="K12">
            <v>12</v>
          </cell>
          <cell r="L12">
            <v>150</v>
          </cell>
          <cell r="M12">
            <v>0</v>
          </cell>
          <cell r="N12">
            <v>1800</v>
          </cell>
          <cell r="O12">
            <v>1</v>
          </cell>
          <cell r="P12">
            <v>0.27</v>
          </cell>
          <cell r="Q12">
            <v>1.4</v>
          </cell>
          <cell r="R12">
            <v>152.32433604956128</v>
          </cell>
          <cell r="S12">
            <v>1.0154955736637419</v>
          </cell>
          <cell r="T12">
            <v>435.12083333333334</v>
          </cell>
          <cell r="U12">
            <v>2.9008055555555554</v>
          </cell>
          <cell r="V12">
            <v>2409.9</v>
          </cell>
          <cell r="W12">
            <v>468.5916666666667</v>
          </cell>
          <cell r="X12">
            <v>5221.45</v>
          </cell>
          <cell r="Y12">
            <v>469.93049999999994</v>
          </cell>
          <cell r="Z12">
            <v>125.31480000000001</v>
          </cell>
          <cell r="AA12">
            <v>1063.8369666666667</v>
          </cell>
          <cell r="AB12">
            <v>7.0922464444444451</v>
          </cell>
        </row>
        <row r="13">
          <cell r="A13" t="str">
            <v>Chisel-Harrow27 shank</v>
          </cell>
          <cell r="B13" t="str">
            <v>Chisel-Harrow</v>
          </cell>
          <cell r="C13" t="str">
            <v>27 shank</v>
          </cell>
          <cell r="D13">
            <v>27</v>
          </cell>
          <cell r="E13">
            <v>5.25</v>
          </cell>
          <cell r="F13">
            <v>0.85</v>
          </cell>
          <cell r="G13">
            <v>6.8471833177715533E-2</v>
          </cell>
          <cell r="H13">
            <v>10575</v>
          </cell>
          <cell r="I13">
            <v>30</v>
          </cell>
          <cell r="J13">
            <v>65</v>
          </cell>
          <cell r="K13">
            <v>12</v>
          </cell>
          <cell r="L13">
            <v>150</v>
          </cell>
          <cell r="M13">
            <v>0</v>
          </cell>
          <cell r="N13">
            <v>1800</v>
          </cell>
          <cell r="O13">
            <v>1</v>
          </cell>
          <cell r="P13">
            <v>0.27</v>
          </cell>
          <cell r="Q13">
            <v>1.4</v>
          </cell>
          <cell r="R13">
            <v>200.52655965692895</v>
          </cell>
          <cell r="S13">
            <v>1.3368437310461929</v>
          </cell>
          <cell r="T13">
            <v>572.8125</v>
          </cell>
          <cell r="U13">
            <v>3.8187500000000001</v>
          </cell>
          <cell r="V13">
            <v>3172.5</v>
          </cell>
          <cell r="W13">
            <v>616.875</v>
          </cell>
          <cell r="X13">
            <v>6873.75</v>
          </cell>
          <cell r="Y13">
            <v>618.63749999999993</v>
          </cell>
          <cell r="Z13">
            <v>164.97</v>
          </cell>
          <cell r="AA13">
            <v>1400.4825000000001</v>
          </cell>
          <cell r="AB13">
            <v>9.3365500000000008</v>
          </cell>
        </row>
        <row r="14">
          <cell r="A14" t="str">
            <v>Colter-Chisel-Harrow21 shank</v>
          </cell>
          <cell r="B14" t="str">
            <v>Colter-Chisel-Harrow</v>
          </cell>
          <cell r="C14" t="str">
            <v>21 shank</v>
          </cell>
          <cell r="D14">
            <v>21</v>
          </cell>
          <cell r="E14">
            <v>5.25</v>
          </cell>
          <cell r="F14">
            <v>0.85</v>
          </cell>
          <cell r="G14">
            <v>8.803521408563425E-2</v>
          </cell>
          <cell r="H14">
            <v>14365</v>
          </cell>
          <cell r="I14">
            <v>30</v>
          </cell>
          <cell r="J14">
            <v>65</v>
          </cell>
          <cell r="K14">
            <v>12</v>
          </cell>
          <cell r="L14">
            <v>150</v>
          </cell>
          <cell r="M14">
            <v>0</v>
          </cell>
          <cell r="N14">
            <v>1800</v>
          </cell>
          <cell r="O14">
            <v>1</v>
          </cell>
          <cell r="P14">
            <v>0.27</v>
          </cell>
          <cell r="Q14">
            <v>1.4</v>
          </cell>
          <cell r="R14">
            <v>272.39376165217823</v>
          </cell>
          <cell r="S14">
            <v>1.8159584110145215</v>
          </cell>
          <cell r="T14">
            <v>778.10416666666663</v>
          </cell>
          <cell r="U14">
            <v>5.1873611111111106</v>
          </cell>
          <cell r="V14">
            <v>4309.5</v>
          </cell>
          <cell r="W14">
            <v>837.95833333333337</v>
          </cell>
          <cell r="X14">
            <v>9337.25</v>
          </cell>
          <cell r="Y14">
            <v>840.35249999999996</v>
          </cell>
          <cell r="Z14">
            <v>224.09399999999999</v>
          </cell>
          <cell r="AA14">
            <v>1902.4048333333335</v>
          </cell>
          <cell r="AB14">
            <v>12.68269888888889</v>
          </cell>
        </row>
        <row r="15">
          <cell r="A15" t="str">
            <v>Colter-Chisel-Harrow27 shank</v>
          </cell>
          <cell r="B15" t="str">
            <v>Colter-Chisel-Harrow</v>
          </cell>
          <cell r="C15" t="str">
            <v>27 shank</v>
          </cell>
          <cell r="D15">
            <v>27</v>
          </cell>
          <cell r="E15">
            <v>5</v>
          </cell>
          <cell r="F15">
            <v>0.85</v>
          </cell>
          <cell r="G15">
            <v>7.1895424836601315E-2</v>
          </cell>
          <cell r="H15">
            <v>18716</v>
          </cell>
          <cell r="I15">
            <v>30</v>
          </cell>
          <cell r="J15">
            <v>65</v>
          </cell>
          <cell r="K15">
            <v>12</v>
          </cell>
          <cell r="L15">
            <v>150</v>
          </cell>
          <cell r="M15">
            <v>0</v>
          </cell>
          <cell r="N15">
            <v>1800</v>
          </cell>
          <cell r="O15">
            <v>1</v>
          </cell>
          <cell r="P15">
            <v>0.27</v>
          </cell>
          <cell r="Q15">
            <v>1.4</v>
          </cell>
          <cell r="R15">
            <v>354.89882652851844</v>
          </cell>
          <cell r="S15">
            <v>2.3659921768567895</v>
          </cell>
          <cell r="T15">
            <v>1013.7833333333333</v>
          </cell>
          <cell r="U15">
            <v>6.7585555555555556</v>
          </cell>
          <cell r="V15">
            <v>5614.8</v>
          </cell>
          <cell r="W15">
            <v>1091.7666666666667</v>
          </cell>
          <cell r="X15">
            <v>12165.4</v>
          </cell>
          <cell r="Y15">
            <v>1094.886</v>
          </cell>
          <cell r="Z15">
            <v>291.96960000000001</v>
          </cell>
          <cell r="AA15">
            <v>2478.6222666666663</v>
          </cell>
          <cell r="AB15">
            <v>16.524148444444442</v>
          </cell>
        </row>
        <row r="16">
          <cell r="A16" t="str">
            <v>Cult &amp; Post10R-30</v>
          </cell>
          <cell r="B16" t="str">
            <v>Cult &amp; Post</v>
          </cell>
          <cell r="C16" t="str">
            <v>10R-30</v>
          </cell>
          <cell r="D16">
            <v>25</v>
          </cell>
          <cell r="E16">
            <v>5</v>
          </cell>
          <cell r="F16">
            <v>0.8</v>
          </cell>
          <cell r="G16">
            <v>8.2500000000000004E-2</v>
          </cell>
          <cell r="H16">
            <v>25170</v>
          </cell>
          <cell r="I16">
            <v>30</v>
          </cell>
          <cell r="J16">
            <v>40</v>
          </cell>
          <cell r="K16">
            <v>10</v>
          </cell>
          <cell r="L16">
            <v>150</v>
          </cell>
          <cell r="M16">
            <v>0</v>
          </cell>
          <cell r="N16">
            <v>1500</v>
          </cell>
          <cell r="O16">
            <v>1</v>
          </cell>
          <cell r="P16">
            <v>0.27</v>
          </cell>
          <cell r="Q16">
            <v>1.4</v>
          </cell>
          <cell r="R16">
            <v>477.28165546713024</v>
          </cell>
          <cell r="S16">
            <v>3.1818777031142016</v>
          </cell>
          <cell r="T16">
            <v>1006.8</v>
          </cell>
          <cell r="U16">
            <v>6.7119999999999997</v>
          </cell>
          <cell r="V16">
            <v>7551</v>
          </cell>
          <cell r="W16">
            <v>1761.9</v>
          </cell>
          <cell r="X16">
            <v>16360.5</v>
          </cell>
          <cell r="Y16">
            <v>1472.4449999999999</v>
          </cell>
          <cell r="Z16">
            <v>392.65199999999999</v>
          </cell>
          <cell r="AA16">
            <v>3626.9970000000003</v>
          </cell>
          <cell r="AB16">
            <v>24.17998</v>
          </cell>
        </row>
        <row r="17">
          <cell r="A17" t="str">
            <v>Cult &amp; Post10R-36</v>
          </cell>
          <cell r="B17" t="str">
            <v>Cult &amp; Post</v>
          </cell>
          <cell r="C17" t="str">
            <v>10R-36</v>
          </cell>
          <cell r="D17">
            <v>30</v>
          </cell>
          <cell r="E17">
            <v>5</v>
          </cell>
          <cell r="F17">
            <v>0.8</v>
          </cell>
          <cell r="G17">
            <v>6.8750000000000006E-2</v>
          </cell>
          <cell r="H17">
            <v>29310</v>
          </cell>
          <cell r="I17">
            <v>30</v>
          </cell>
          <cell r="J17">
            <v>40</v>
          </cell>
          <cell r="K17">
            <v>10</v>
          </cell>
          <cell r="L17">
            <v>150</v>
          </cell>
          <cell r="M17">
            <v>0</v>
          </cell>
          <cell r="N17">
            <v>1500</v>
          </cell>
          <cell r="O17">
            <v>1</v>
          </cell>
          <cell r="P17">
            <v>0.27</v>
          </cell>
          <cell r="Q17">
            <v>1.4</v>
          </cell>
          <cell r="R17">
            <v>555.785670311545</v>
          </cell>
          <cell r="S17">
            <v>3.7052378020769665</v>
          </cell>
          <cell r="T17">
            <v>1172.4000000000001</v>
          </cell>
          <cell r="U17">
            <v>7.8160000000000007</v>
          </cell>
          <cell r="V17">
            <v>8793</v>
          </cell>
          <cell r="W17">
            <v>2051.6999999999998</v>
          </cell>
          <cell r="X17">
            <v>19051.5</v>
          </cell>
          <cell r="Y17">
            <v>1714.635</v>
          </cell>
          <cell r="Z17">
            <v>457.23599999999999</v>
          </cell>
          <cell r="AA17">
            <v>4223.5709999999999</v>
          </cell>
          <cell r="AB17">
            <v>28.157139999999998</v>
          </cell>
        </row>
        <row r="18">
          <cell r="A18" t="str">
            <v>Cult &amp; Post12R-30</v>
          </cell>
          <cell r="B18" t="str">
            <v>Cult &amp; Post</v>
          </cell>
          <cell r="C18" t="str">
            <v>12R-30</v>
          </cell>
          <cell r="D18">
            <v>30</v>
          </cell>
          <cell r="E18">
            <v>5</v>
          </cell>
          <cell r="F18">
            <v>0.8</v>
          </cell>
          <cell r="G18">
            <v>6.8750000000000006E-2</v>
          </cell>
          <cell r="H18">
            <v>29310</v>
          </cell>
          <cell r="I18">
            <v>30</v>
          </cell>
          <cell r="J18">
            <v>40</v>
          </cell>
          <cell r="K18">
            <v>10</v>
          </cell>
          <cell r="L18">
            <v>150</v>
          </cell>
          <cell r="M18">
            <v>0</v>
          </cell>
          <cell r="N18">
            <v>1500</v>
          </cell>
          <cell r="O18">
            <v>1</v>
          </cell>
          <cell r="P18">
            <v>0.27</v>
          </cell>
          <cell r="Q18">
            <v>1.4</v>
          </cell>
          <cell r="R18">
            <v>555.785670311545</v>
          </cell>
          <cell r="S18">
            <v>3.7052378020769665</v>
          </cell>
          <cell r="T18">
            <v>1172.4000000000001</v>
          </cell>
          <cell r="U18">
            <v>7.8160000000000007</v>
          </cell>
          <cell r="V18">
            <v>8793</v>
          </cell>
          <cell r="W18">
            <v>2051.6999999999998</v>
          </cell>
          <cell r="X18">
            <v>19051.5</v>
          </cell>
          <cell r="Y18">
            <v>1714.635</v>
          </cell>
          <cell r="Z18">
            <v>457.23599999999999</v>
          </cell>
          <cell r="AA18">
            <v>4223.5709999999999</v>
          </cell>
          <cell r="AB18">
            <v>28.157139999999998</v>
          </cell>
        </row>
        <row r="19">
          <cell r="A19" t="str">
            <v>Cult &amp; Post12R-36</v>
          </cell>
          <cell r="B19" t="str">
            <v>Cult &amp; Post</v>
          </cell>
          <cell r="C19" t="str">
            <v>12R-36</v>
          </cell>
          <cell r="D19">
            <v>36</v>
          </cell>
          <cell r="E19">
            <v>5</v>
          </cell>
          <cell r="F19">
            <v>0.8</v>
          </cell>
          <cell r="G19">
            <v>5.7291666666666671E-2</v>
          </cell>
          <cell r="H19">
            <v>31338</v>
          </cell>
          <cell r="I19">
            <v>30</v>
          </cell>
          <cell r="J19">
            <v>40</v>
          </cell>
          <cell r="K19">
            <v>10</v>
          </cell>
          <cell r="L19">
            <v>150</v>
          </cell>
          <cell r="M19">
            <v>0</v>
          </cell>
          <cell r="N19">
            <v>1500</v>
          </cell>
          <cell r="O19">
            <v>1</v>
          </cell>
          <cell r="P19">
            <v>0.27</v>
          </cell>
          <cell r="Q19">
            <v>1.4</v>
          </cell>
          <cell r="R19">
            <v>594.24126019185246</v>
          </cell>
          <cell r="S19">
            <v>3.9616084012790163</v>
          </cell>
          <cell r="T19">
            <v>1253.52</v>
          </cell>
          <cell r="U19">
            <v>8.3567999999999998</v>
          </cell>
          <cell r="V19">
            <v>9401.4</v>
          </cell>
          <cell r="W19">
            <v>2193.66</v>
          </cell>
          <cell r="X19">
            <v>20369.7</v>
          </cell>
          <cell r="Y19">
            <v>1833.2729999999999</v>
          </cell>
          <cell r="Z19">
            <v>488.87280000000004</v>
          </cell>
          <cell r="AA19">
            <v>4515.8058000000001</v>
          </cell>
          <cell r="AB19">
            <v>30.105371999999999</v>
          </cell>
        </row>
        <row r="20">
          <cell r="A20" t="str">
            <v>Cult &amp; Post4R-36</v>
          </cell>
          <cell r="B20" t="str">
            <v>Cult &amp; Post</v>
          </cell>
          <cell r="C20" t="str">
            <v>4R-36</v>
          </cell>
          <cell r="D20">
            <v>12</v>
          </cell>
          <cell r="E20">
            <v>5</v>
          </cell>
          <cell r="F20">
            <v>0.8</v>
          </cell>
          <cell r="G20">
            <v>0.171875</v>
          </cell>
          <cell r="H20">
            <v>13307</v>
          </cell>
          <cell r="I20">
            <v>30</v>
          </cell>
          <cell r="J20">
            <v>40</v>
          </cell>
          <cell r="K20">
            <v>10</v>
          </cell>
          <cell r="L20">
            <v>150</v>
          </cell>
          <cell r="M20">
            <v>0</v>
          </cell>
          <cell r="N20">
            <v>1500</v>
          </cell>
          <cell r="O20">
            <v>1</v>
          </cell>
          <cell r="P20">
            <v>0.27</v>
          </cell>
          <cell r="Q20">
            <v>1.4</v>
          </cell>
          <cell r="R20">
            <v>252.33162452527222</v>
          </cell>
          <cell r="S20">
            <v>1.6822108301684815</v>
          </cell>
          <cell r="T20">
            <v>532.28</v>
          </cell>
          <cell r="U20">
            <v>3.5485333333333333</v>
          </cell>
          <cell r="V20">
            <v>3992.1</v>
          </cell>
          <cell r="W20">
            <v>931.49</v>
          </cell>
          <cell r="X20">
            <v>8649.5499999999993</v>
          </cell>
          <cell r="Y20">
            <v>778.45949999999993</v>
          </cell>
          <cell r="Z20">
            <v>207.58919999999998</v>
          </cell>
          <cell r="AA20">
            <v>1917.5387000000001</v>
          </cell>
          <cell r="AB20">
            <v>12.783591333333334</v>
          </cell>
        </row>
        <row r="21">
          <cell r="A21" t="str">
            <v>Cult &amp; Post6R-30</v>
          </cell>
          <cell r="B21" t="str">
            <v>Cult &amp; Post</v>
          </cell>
          <cell r="C21" t="str">
            <v>6R-30</v>
          </cell>
          <cell r="D21">
            <v>15</v>
          </cell>
          <cell r="E21">
            <v>5</v>
          </cell>
          <cell r="F21">
            <v>0.8</v>
          </cell>
          <cell r="G21">
            <v>0.13750000000000001</v>
          </cell>
          <cell r="H21">
            <v>17362</v>
          </cell>
          <cell r="I21">
            <v>30</v>
          </cell>
          <cell r="J21">
            <v>40</v>
          </cell>
          <cell r="K21">
            <v>10</v>
          </cell>
          <cell r="L21">
            <v>150</v>
          </cell>
          <cell r="M21">
            <v>0</v>
          </cell>
          <cell r="N21">
            <v>1500</v>
          </cell>
          <cell r="O21">
            <v>1</v>
          </cell>
          <cell r="P21">
            <v>0.27</v>
          </cell>
          <cell r="Q21">
            <v>1.4</v>
          </cell>
          <cell r="R21">
            <v>329.2238419634611</v>
          </cell>
          <cell r="S21">
            <v>2.1948256130897406</v>
          </cell>
          <cell r="T21">
            <v>694.48</v>
          </cell>
          <cell r="U21">
            <v>4.6298666666666666</v>
          </cell>
          <cell r="V21">
            <v>5208.6000000000004</v>
          </cell>
          <cell r="W21">
            <v>1215.3399999999999</v>
          </cell>
          <cell r="X21">
            <v>11285.3</v>
          </cell>
          <cell r="Y21">
            <v>1015.6769999999999</v>
          </cell>
          <cell r="Z21">
            <v>270.84719999999999</v>
          </cell>
          <cell r="AA21">
            <v>2501.8642</v>
          </cell>
          <cell r="AB21">
            <v>16.679094666666668</v>
          </cell>
        </row>
        <row r="22">
          <cell r="A22" t="str">
            <v>Cult &amp; Post6R-36</v>
          </cell>
          <cell r="B22" t="str">
            <v>Cult &amp; Post</v>
          </cell>
          <cell r="C22" t="str">
            <v>6R-36</v>
          </cell>
          <cell r="D22">
            <v>18</v>
          </cell>
          <cell r="E22">
            <v>5</v>
          </cell>
          <cell r="F22">
            <v>0.8</v>
          </cell>
          <cell r="G22">
            <v>0.11458333333333334</v>
          </cell>
          <cell r="H22">
            <v>17735</v>
          </cell>
          <cell r="I22">
            <v>30</v>
          </cell>
          <cell r="J22">
            <v>40</v>
          </cell>
          <cell r="K22">
            <v>10</v>
          </cell>
          <cell r="L22">
            <v>150</v>
          </cell>
          <cell r="M22">
            <v>0</v>
          </cell>
          <cell r="N22">
            <v>1500</v>
          </cell>
          <cell r="O22">
            <v>1</v>
          </cell>
          <cell r="P22">
            <v>0.27</v>
          </cell>
          <cell r="Q22">
            <v>1.4</v>
          </cell>
          <cell r="R22">
            <v>336.29678822842891</v>
          </cell>
          <cell r="S22">
            <v>2.241978588189526</v>
          </cell>
          <cell r="T22">
            <v>709.4</v>
          </cell>
          <cell r="U22">
            <v>4.7293333333333329</v>
          </cell>
          <cell r="V22">
            <v>5320.5</v>
          </cell>
          <cell r="W22">
            <v>1241.45</v>
          </cell>
          <cell r="X22">
            <v>11527.75</v>
          </cell>
          <cell r="Y22">
            <v>1037.4974999999999</v>
          </cell>
          <cell r="Z22">
            <v>276.666</v>
          </cell>
          <cell r="AA22">
            <v>2555.6134999999999</v>
          </cell>
          <cell r="AB22">
            <v>17.037423333333333</v>
          </cell>
        </row>
        <row r="23">
          <cell r="A23" t="str">
            <v>Cult &amp; Post8R-30</v>
          </cell>
          <cell r="B23" t="str">
            <v>Cult &amp; Post</v>
          </cell>
          <cell r="C23" t="str">
            <v>8R-30</v>
          </cell>
          <cell r="D23">
            <v>20</v>
          </cell>
          <cell r="E23">
            <v>5</v>
          </cell>
          <cell r="F23">
            <v>0.8</v>
          </cell>
          <cell r="G23">
            <v>0.10312499999999999</v>
          </cell>
          <cell r="H23">
            <v>20627</v>
          </cell>
          <cell r="I23">
            <v>30</v>
          </cell>
          <cell r="J23">
            <v>40</v>
          </cell>
          <cell r="K23">
            <v>10</v>
          </cell>
          <cell r="L23">
            <v>150</v>
          </cell>
          <cell r="M23">
            <v>0</v>
          </cell>
          <cell r="N23">
            <v>1500</v>
          </cell>
          <cell r="O23">
            <v>1</v>
          </cell>
          <cell r="P23">
            <v>0.27</v>
          </cell>
          <cell r="Q23">
            <v>1.4</v>
          </cell>
          <cell r="R23">
            <v>391.13582468496202</v>
          </cell>
          <cell r="S23">
            <v>2.6075721645664136</v>
          </cell>
          <cell r="T23">
            <v>825.07999999999993</v>
          </cell>
          <cell r="U23">
            <v>5.5005333333333333</v>
          </cell>
          <cell r="V23">
            <v>6188.1</v>
          </cell>
          <cell r="W23">
            <v>1443.8899999999999</v>
          </cell>
          <cell r="X23">
            <v>13407.55</v>
          </cell>
          <cell r="Y23">
            <v>1206.6795</v>
          </cell>
          <cell r="Z23">
            <v>321.78120000000001</v>
          </cell>
          <cell r="AA23">
            <v>2972.3507</v>
          </cell>
          <cell r="AB23">
            <v>19.815671333333334</v>
          </cell>
        </row>
        <row r="24">
          <cell r="A24" t="str">
            <v>Cult &amp; Post8R-36</v>
          </cell>
          <cell r="B24" t="str">
            <v>Cult &amp; Post</v>
          </cell>
          <cell r="C24" t="str">
            <v>8R-36</v>
          </cell>
          <cell r="D24">
            <v>24</v>
          </cell>
          <cell r="E24">
            <v>5</v>
          </cell>
          <cell r="F24">
            <v>0.8</v>
          </cell>
          <cell r="G24">
            <v>8.59375E-2</v>
          </cell>
          <cell r="H24">
            <v>22021</v>
          </cell>
          <cell r="I24">
            <v>30</v>
          </cell>
          <cell r="J24">
            <v>40</v>
          </cell>
          <cell r="K24">
            <v>10</v>
          </cell>
          <cell r="L24">
            <v>150</v>
          </cell>
          <cell r="M24">
            <v>0</v>
          </cell>
          <cell r="N24">
            <v>1500</v>
          </cell>
          <cell r="O24">
            <v>1</v>
          </cell>
          <cell r="P24">
            <v>0.27</v>
          </cell>
          <cell r="Q24">
            <v>1.4</v>
          </cell>
          <cell r="R24">
            <v>417.56930214706694</v>
          </cell>
          <cell r="S24">
            <v>2.7837953476471129</v>
          </cell>
          <cell r="T24">
            <v>880.83999999999992</v>
          </cell>
          <cell r="U24">
            <v>5.8722666666666665</v>
          </cell>
          <cell r="V24">
            <v>6606.3</v>
          </cell>
          <cell r="W24">
            <v>1541.47</v>
          </cell>
          <cell r="X24">
            <v>14313.65</v>
          </cell>
          <cell r="Y24">
            <v>1288.2284999999999</v>
          </cell>
          <cell r="Z24">
            <v>343.52760000000001</v>
          </cell>
          <cell r="AA24">
            <v>3173.2260999999999</v>
          </cell>
          <cell r="AB24">
            <v>21.154840666666665</v>
          </cell>
        </row>
        <row r="25">
          <cell r="A25" t="str">
            <v>Cult &amp; Post8R-40 2x1</v>
          </cell>
          <cell r="B25" t="str">
            <v>Cult &amp; Post</v>
          </cell>
          <cell r="C25" t="str">
            <v>8R-40 2x1</v>
          </cell>
          <cell r="D25">
            <v>40</v>
          </cell>
          <cell r="E25">
            <v>5</v>
          </cell>
          <cell r="F25">
            <v>0.8</v>
          </cell>
          <cell r="G25">
            <v>5.1562499999999997E-2</v>
          </cell>
          <cell r="H25">
            <v>31338</v>
          </cell>
          <cell r="I25">
            <v>30</v>
          </cell>
          <cell r="J25">
            <v>40</v>
          </cell>
          <cell r="K25">
            <v>10</v>
          </cell>
          <cell r="L25">
            <v>150</v>
          </cell>
          <cell r="M25">
            <v>0</v>
          </cell>
          <cell r="N25">
            <v>1500</v>
          </cell>
          <cell r="O25">
            <v>1</v>
          </cell>
          <cell r="P25">
            <v>0.27</v>
          </cell>
          <cell r="Q25">
            <v>1.4</v>
          </cell>
          <cell r="R25">
            <v>594.24126019185246</v>
          </cell>
          <cell r="S25">
            <v>3.9616084012790163</v>
          </cell>
          <cell r="T25">
            <v>1253.52</v>
          </cell>
          <cell r="U25">
            <v>8.3567999999999998</v>
          </cell>
          <cell r="V25">
            <v>9401.4</v>
          </cell>
          <cell r="W25">
            <v>2193.66</v>
          </cell>
          <cell r="X25">
            <v>20369.7</v>
          </cell>
          <cell r="Y25">
            <v>1833.2729999999999</v>
          </cell>
          <cell r="Z25">
            <v>488.87280000000004</v>
          </cell>
          <cell r="AA25">
            <v>4515.8058000000001</v>
          </cell>
          <cell r="AB25">
            <v>30.105371999999999</v>
          </cell>
        </row>
        <row r="26">
          <cell r="A26" t="str">
            <v>Cultipacker12'</v>
          </cell>
          <cell r="B26" t="str">
            <v>Cultipacker</v>
          </cell>
          <cell r="C26" t="str">
            <v>12'</v>
          </cell>
          <cell r="D26">
            <v>12</v>
          </cell>
          <cell r="E26">
            <v>6.5</v>
          </cell>
          <cell r="F26">
            <v>0.85</v>
          </cell>
          <cell r="G26">
            <v>0.12443438914027148</v>
          </cell>
          <cell r="H26">
            <v>3666</v>
          </cell>
          <cell r="I26">
            <v>25</v>
          </cell>
          <cell r="J26">
            <v>85</v>
          </cell>
          <cell r="K26">
            <v>12</v>
          </cell>
          <cell r="L26">
            <v>300</v>
          </cell>
          <cell r="M26">
            <v>0</v>
          </cell>
          <cell r="N26">
            <v>3600</v>
          </cell>
          <cell r="O26">
            <v>1</v>
          </cell>
          <cell r="P26">
            <v>0.27</v>
          </cell>
          <cell r="Q26">
            <v>1.4</v>
          </cell>
          <cell r="R26">
            <v>183.45349137259069</v>
          </cell>
          <cell r="S26">
            <v>0.61151163790863561</v>
          </cell>
          <cell r="T26">
            <v>259.67500000000001</v>
          </cell>
          <cell r="U26">
            <v>0.86558333333333337</v>
          </cell>
          <cell r="V26">
            <v>916.5</v>
          </cell>
          <cell r="W26">
            <v>229.125</v>
          </cell>
          <cell r="X26">
            <v>2291.25</v>
          </cell>
          <cell r="Y26">
            <v>206.21250000000001</v>
          </cell>
          <cell r="Z26">
            <v>54.99</v>
          </cell>
          <cell r="AA26">
            <v>490.32749999999999</v>
          </cell>
          <cell r="AB26">
            <v>1.634425</v>
          </cell>
        </row>
        <row r="27">
          <cell r="A27" t="str">
            <v>Cultipacker20'</v>
          </cell>
          <cell r="B27" t="str">
            <v>Cultipacker</v>
          </cell>
          <cell r="C27" t="str">
            <v>20'</v>
          </cell>
          <cell r="D27">
            <v>20</v>
          </cell>
          <cell r="E27">
            <v>6.5</v>
          </cell>
          <cell r="F27">
            <v>0.85</v>
          </cell>
          <cell r="G27">
            <v>7.4660633484162894E-2</v>
          </cell>
          <cell r="H27">
            <v>11414</v>
          </cell>
          <cell r="I27">
            <v>25</v>
          </cell>
          <cell r="J27">
            <v>85</v>
          </cell>
          <cell r="K27">
            <v>12</v>
          </cell>
          <cell r="L27">
            <v>300</v>
          </cell>
          <cell r="M27">
            <v>0</v>
          </cell>
          <cell r="N27">
            <v>3600</v>
          </cell>
          <cell r="O27">
            <v>1</v>
          </cell>
          <cell r="P27">
            <v>0.27</v>
          </cell>
          <cell r="Q27">
            <v>1.4</v>
          </cell>
          <cell r="R27">
            <v>571.17789157849165</v>
          </cell>
          <cell r="S27">
            <v>1.9039263052616389</v>
          </cell>
          <cell r="T27">
            <v>808.49166666666667</v>
          </cell>
          <cell r="U27">
            <v>2.6949722222222223</v>
          </cell>
          <cell r="V27">
            <v>2853.5</v>
          </cell>
          <cell r="W27">
            <v>713.375</v>
          </cell>
          <cell r="X27">
            <v>7133.75</v>
          </cell>
          <cell r="Y27">
            <v>642.03750000000002</v>
          </cell>
          <cell r="Z27">
            <v>171.21</v>
          </cell>
          <cell r="AA27">
            <v>1526.6224999999999</v>
          </cell>
          <cell r="AB27">
            <v>5.0887416666666665</v>
          </cell>
        </row>
        <row r="28">
          <cell r="A28" t="str">
            <v>Cultivate10R-30</v>
          </cell>
          <cell r="B28" t="str">
            <v>Cultivate</v>
          </cell>
          <cell r="C28" t="str">
            <v>10R-30</v>
          </cell>
          <cell r="D28">
            <v>25</v>
          </cell>
          <cell r="E28">
            <v>5</v>
          </cell>
          <cell r="F28">
            <v>0.8</v>
          </cell>
          <cell r="G28">
            <v>8.2500000000000004E-2</v>
          </cell>
          <cell r="H28">
            <v>19800</v>
          </cell>
          <cell r="I28">
            <v>30</v>
          </cell>
          <cell r="J28">
            <v>40</v>
          </cell>
          <cell r="K28">
            <v>10</v>
          </cell>
          <cell r="L28">
            <v>150</v>
          </cell>
          <cell r="M28">
            <v>0</v>
          </cell>
          <cell r="N28">
            <v>1500</v>
          </cell>
          <cell r="O28">
            <v>1</v>
          </cell>
          <cell r="P28">
            <v>0.27</v>
          </cell>
          <cell r="Q28">
            <v>1.4</v>
          </cell>
          <cell r="R28">
            <v>375.45398403850527</v>
          </cell>
          <cell r="S28">
            <v>2.5030265602567017</v>
          </cell>
          <cell r="T28">
            <v>792</v>
          </cell>
          <cell r="U28">
            <v>5.28</v>
          </cell>
          <cell r="V28">
            <v>5940</v>
          </cell>
          <cell r="W28">
            <v>1386</v>
          </cell>
          <cell r="X28">
            <v>12870</v>
          </cell>
          <cell r="Y28">
            <v>1158.3</v>
          </cell>
          <cell r="Z28">
            <v>308.88</v>
          </cell>
          <cell r="AA28">
            <v>2853.18</v>
          </cell>
          <cell r="AB28">
            <v>19.0212</v>
          </cell>
        </row>
        <row r="29">
          <cell r="A29" t="str">
            <v>Cultivate10R-36</v>
          </cell>
          <cell r="B29" t="str">
            <v>Cultivate</v>
          </cell>
          <cell r="C29" t="str">
            <v>10R-36</v>
          </cell>
          <cell r="D29">
            <v>30</v>
          </cell>
          <cell r="E29">
            <v>5</v>
          </cell>
          <cell r="F29">
            <v>0.8</v>
          </cell>
          <cell r="G29">
            <v>6.8750000000000006E-2</v>
          </cell>
          <cell r="H29">
            <v>23941</v>
          </cell>
          <cell r="I29">
            <v>30</v>
          </cell>
          <cell r="J29">
            <v>40</v>
          </cell>
          <cell r="K29">
            <v>10</v>
          </cell>
          <cell r="L29">
            <v>150</v>
          </cell>
          <cell r="M29">
            <v>0</v>
          </cell>
          <cell r="N29">
            <v>1500</v>
          </cell>
          <cell r="O29">
            <v>1</v>
          </cell>
          <cell r="P29">
            <v>0.27</v>
          </cell>
          <cell r="Q29">
            <v>1.4</v>
          </cell>
          <cell r="R29">
            <v>453.97696120534624</v>
          </cell>
          <cell r="S29">
            <v>3.0265130747023083</v>
          </cell>
          <cell r="T29">
            <v>957.64</v>
          </cell>
          <cell r="U29">
            <v>6.384266666666667</v>
          </cell>
          <cell r="V29">
            <v>7182.3</v>
          </cell>
          <cell r="W29">
            <v>1675.8700000000001</v>
          </cell>
          <cell r="X29">
            <v>15561.65</v>
          </cell>
          <cell r="Y29">
            <v>1400.5484999999999</v>
          </cell>
          <cell r="Z29">
            <v>373.4796</v>
          </cell>
          <cell r="AA29">
            <v>3449.8981000000003</v>
          </cell>
          <cell r="AB29">
            <v>22.999320666666669</v>
          </cell>
        </row>
        <row r="30">
          <cell r="A30" t="str">
            <v>Cultivate12R-36</v>
          </cell>
          <cell r="B30" t="str">
            <v>Cultivate</v>
          </cell>
          <cell r="C30" t="str">
            <v>12R-36</v>
          </cell>
          <cell r="D30">
            <v>36</v>
          </cell>
          <cell r="E30">
            <v>5</v>
          </cell>
          <cell r="F30">
            <v>0.8</v>
          </cell>
          <cell r="G30">
            <v>5.7291666666666671E-2</v>
          </cell>
          <cell r="H30">
            <v>25766</v>
          </cell>
          <cell r="I30">
            <v>30</v>
          </cell>
          <cell r="J30">
            <v>40</v>
          </cell>
          <cell r="K30">
            <v>10</v>
          </cell>
          <cell r="L30">
            <v>150</v>
          </cell>
          <cell r="M30">
            <v>0</v>
          </cell>
          <cell r="N30">
            <v>1500</v>
          </cell>
          <cell r="O30">
            <v>1</v>
          </cell>
          <cell r="P30">
            <v>0.27</v>
          </cell>
          <cell r="Q30">
            <v>1.4</v>
          </cell>
          <cell r="R30">
            <v>488.58319963313778</v>
          </cell>
          <cell r="S30">
            <v>3.2572213308875853</v>
          </cell>
          <cell r="T30">
            <v>1030.6399999999999</v>
          </cell>
          <cell r="U30">
            <v>6.8709333333333324</v>
          </cell>
          <cell r="V30">
            <v>7729.8</v>
          </cell>
          <cell r="W30">
            <v>1803.6200000000001</v>
          </cell>
          <cell r="X30">
            <v>16747.900000000001</v>
          </cell>
          <cell r="Y30">
            <v>1507.3110000000001</v>
          </cell>
          <cell r="Z30">
            <v>401.94960000000003</v>
          </cell>
          <cell r="AA30">
            <v>3712.8806000000004</v>
          </cell>
          <cell r="AB30">
            <v>24.752537333333336</v>
          </cell>
        </row>
        <row r="31">
          <cell r="A31" t="str">
            <v>Cultivate4R-36</v>
          </cell>
          <cell r="B31" t="str">
            <v>Cultivate</v>
          </cell>
          <cell r="C31" t="str">
            <v>4R-36</v>
          </cell>
          <cell r="D31">
            <v>12</v>
          </cell>
          <cell r="E31">
            <v>5</v>
          </cell>
          <cell r="F31">
            <v>0.8</v>
          </cell>
          <cell r="G31">
            <v>0.171875</v>
          </cell>
          <cell r="H31">
            <v>7938</v>
          </cell>
          <cell r="I31">
            <v>30</v>
          </cell>
          <cell r="J31">
            <v>40</v>
          </cell>
          <cell r="K31">
            <v>10</v>
          </cell>
          <cell r="L31">
            <v>150</v>
          </cell>
          <cell r="M31">
            <v>0</v>
          </cell>
          <cell r="N31">
            <v>1500</v>
          </cell>
          <cell r="O31">
            <v>1</v>
          </cell>
          <cell r="P31">
            <v>0.27</v>
          </cell>
          <cell r="Q31">
            <v>1.4</v>
          </cell>
          <cell r="R31">
            <v>150.52291541907348</v>
          </cell>
          <cell r="S31">
            <v>1.0034861027938233</v>
          </cell>
          <cell r="T31">
            <v>317.52</v>
          </cell>
          <cell r="U31">
            <v>2.1168</v>
          </cell>
          <cell r="V31">
            <v>2381.4</v>
          </cell>
          <cell r="W31">
            <v>555.66000000000008</v>
          </cell>
          <cell r="X31">
            <v>5159.7</v>
          </cell>
          <cell r="Y31">
            <v>464.37299999999999</v>
          </cell>
          <cell r="Z31">
            <v>123.83279999999999</v>
          </cell>
          <cell r="AA31">
            <v>1143.8658</v>
          </cell>
          <cell r="AB31">
            <v>7.6257720000000004</v>
          </cell>
        </row>
        <row r="32">
          <cell r="A32" t="str">
            <v>Cultivate6R-30</v>
          </cell>
          <cell r="B32" t="str">
            <v>Cultivate</v>
          </cell>
          <cell r="C32" t="str">
            <v>6R-30</v>
          </cell>
          <cell r="D32">
            <v>15</v>
          </cell>
          <cell r="E32">
            <v>5</v>
          </cell>
          <cell r="F32">
            <v>0.8</v>
          </cell>
          <cell r="G32">
            <v>0.13750000000000001</v>
          </cell>
          <cell r="H32">
            <v>11992</v>
          </cell>
          <cell r="I32">
            <v>30</v>
          </cell>
          <cell r="J32">
            <v>40</v>
          </cell>
          <cell r="K32">
            <v>10</v>
          </cell>
          <cell r="L32">
            <v>150</v>
          </cell>
          <cell r="M32">
            <v>0</v>
          </cell>
          <cell r="N32">
            <v>1500</v>
          </cell>
          <cell r="O32">
            <v>1</v>
          </cell>
          <cell r="P32">
            <v>0.27</v>
          </cell>
          <cell r="Q32">
            <v>1.4</v>
          </cell>
          <cell r="R32">
            <v>227.39617053483613</v>
          </cell>
          <cell r="S32">
            <v>1.5159744702322409</v>
          </cell>
          <cell r="T32">
            <v>479.68</v>
          </cell>
          <cell r="U32">
            <v>3.1978666666666666</v>
          </cell>
          <cell r="V32">
            <v>3597.6</v>
          </cell>
          <cell r="W32">
            <v>839.43999999999994</v>
          </cell>
          <cell r="X32">
            <v>7794.8</v>
          </cell>
          <cell r="Y32">
            <v>701.53200000000004</v>
          </cell>
          <cell r="Z32">
            <v>187.0752</v>
          </cell>
          <cell r="AA32">
            <v>1728.0472</v>
          </cell>
          <cell r="AB32">
            <v>11.520314666666666</v>
          </cell>
        </row>
        <row r="33">
          <cell r="A33" t="str">
            <v>Cultivate6R-36</v>
          </cell>
          <cell r="B33" t="str">
            <v>Cultivate</v>
          </cell>
          <cell r="C33" t="str">
            <v>6R-36</v>
          </cell>
          <cell r="D33">
            <v>18</v>
          </cell>
          <cell r="E33">
            <v>5</v>
          </cell>
          <cell r="F33">
            <v>0.8</v>
          </cell>
          <cell r="G33">
            <v>0.11458333333333334</v>
          </cell>
          <cell r="H33">
            <v>12366</v>
          </cell>
          <cell r="I33">
            <v>30</v>
          </cell>
          <cell r="J33">
            <v>40</v>
          </cell>
          <cell r="K33">
            <v>10</v>
          </cell>
          <cell r="L33">
            <v>150</v>
          </cell>
          <cell r="M33">
            <v>0</v>
          </cell>
          <cell r="N33">
            <v>1500</v>
          </cell>
          <cell r="O33">
            <v>1</v>
          </cell>
          <cell r="P33">
            <v>0.27</v>
          </cell>
          <cell r="Q33">
            <v>1.4</v>
          </cell>
          <cell r="R33">
            <v>234.48807912223012</v>
          </cell>
          <cell r="S33">
            <v>1.5632538608148674</v>
          </cell>
          <cell r="T33">
            <v>494.64</v>
          </cell>
          <cell r="U33">
            <v>3.2976000000000001</v>
          </cell>
          <cell r="V33">
            <v>3709.8</v>
          </cell>
          <cell r="W33">
            <v>865.62000000000012</v>
          </cell>
          <cell r="X33">
            <v>8037.9</v>
          </cell>
          <cell r="Y33">
            <v>723.41099999999994</v>
          </cell>
          <cell r="Z33">
            <v>192.90959999999998</v>
          </cell>
          <cell r="AA33">
            <v>1781.9405999999999</v>
          </cell>
          <cell r="AB33">
            <v>11.879603999999999</v>
          </cell>
        </row>
        <row r="34">
          <cell r="A34" t="str">
            <v>Cultivate8R-30</v>
          </cell>
          <cell r="B34" t="str">
            <v>Cultivate</v>
          </cell>
          <cell r="C34" t="str">
            <v>8R-30</v>
          </cell>
          <cell r="D34">
            <v>20</v>
          </cell>
          <cell r="E34">
            <v>5</v>
          </cell>
          <cell r="F34">
            <v>0.8</v>
          </cell>
          <cell r="G34">
            <v>0.10312499999999999</v>
          </cell>
          <cell r="H34">
            <v>12258</v>
          </cell>
          <cell r="I34">
            <v>30</v>
          </cell>
          <cell r="J34">
            <v>40</v>
          </cell>
          <cell r="K34">
            <v>10</v>
          </cell>
          <cell r="L34">
            <v>150</v>
          </cell>
          <cell r="M34">
            <v>0</v>
          </cell>
          <cell r="N34">
            <v>1500</v>
          </cell>
          <cell r="O34">
            <v>1</v>
          </cell>
          <cell r="P34">
            <v>0.27</v>
          </cell>
          <cell r="Q34">
            <v>1.4</v>
          </cell>
          <cell r="R34">
            <v>232.44014830020191</v>
          </cell>
          <cell r="S34">
            <v>1.5496009886680127</v>
          </cell>
          <cell r="T34">
            <v>490.32</v>
          </cell>
          <cell r="U34">
            <v>3.2688000000000001</v>
          </cell>
          <cell r="V34">
            <v>3677.4</v>
          </cell>
          <cell r="W34">
            <v>858.06000000000006</v>
          </cell>
          <cell r="X34">
            <v>7967.7</v>
          </cell>
          <cell r="Y34">
            <v>717.09299999999996</v>
          </cell>
          <cell r="Z34">
            <v>191.22479999999999</v>
          </cell>
          <cell r="AA34">
            <v>1766.3778</v>
          </cell>
          <cell r="AB34">
            <v>11.775852</v>
          </cell>
        </row>
        <row r="35">
          <cell r="A35" t="str">
            <v>Cultivate8R-36</v>
          </cell>
          <cell r="B35" t="str">
            <v>Cultivate</v>
          </cell>
          <cell r="C35" t="str">
            <v>8R-36</v>
          </cell>
          <cell r="D35">
            <v>24</v>
          </cell>
          <cell r="E35">
            <v>5</v>
          </cell>
          <cell r="F35">
            <v>0.8</v>
          </cell>
          <cell r="G35">
            <v>8.59375E-2</v>
          </cell>
          <cell r="H35">
            <v>16651</v>
          </cell>
          <cell r="I35">
            <v>30</v>
          </cell>
          <cell r="J35">
            <v>40</v>
          </cell>
          <cell r="K35">
            <v>10</v>
          </cell>
          <cell r="L35">
            <v>150</v>
          </cell>
          <cell r="M35">
            <v>0</v>
          </cell>
          <cell r="N35">
            <v>1500</v>
          </cell>
          <cell r="O35">
            <v>1</v>
          </cell>
          <cell r="P35">
            <v>0.27</v>
          </cell>
          <cell r="Q35">
            <v>1.4</v>
          </cell>
          <cell r="R35">
            <v>315.74163071844202</v>
          </cell>
          <cell r="S35">
            <v>2.1049442047896134</v>
          </cell>
          <cell r="T35">
            <v>666.04</v>
          </cell>
          <cell r="U35">
            <v>4.4402666666666661</v>
          </cell>
          <cell r="V35">
            <v>4995.3</v>
          </cell>
          <cell r="W35">
            <v>1165.5700000000002</v>
          </cell>
          <cell r="X35">
            <v>10823.15</v>
          </cell>
          <cell r="Y35">
            <v>974.08349999999996</v>
          </cell>
          <cell r="Z35">
            <v>259.75560000000002</v>
          </cell>
          <cell r="AA35">
            <v>2399.4090999999999</v>
          </cell>
          <cell r="AB35">
            <v>15.996060666666665</v>
          </cell>
        </row>
        <row r="36">
          <cell r="A36" t="str">
            <v>Cultivate8R-40 2x1</v>
          </cell>
          <cell r="B36" t="str">
            <v>Cultivate</v>
          </cell>
          <cell r="C36" t="str">
            <v>8R-40 2x1</v>
          </cell>
          <cell r="D36">
            <v>40</v>
          </cell>
          <cell r="E36">
            <v>5</v>
          </cell>
          <cell r="F36">
            <v>0.8</v>
          </cell>
          <cell r="G36">
            <v>5.1562499999999997E-2</v>
          </cell>
          <cell r="H36">
            <v>25766</v>
          </cell>
          <cell r="I36">
            <v>30</v>
          </cell>
          <cell r="J36">
            <v>40</v>
          </cell>
          <cell r="K36">
            <v>10</v>
          </cell>
          <cell r="L36">
            <v>150</v>
          </cell>
          <cell r="M36">
            <v>0</v>
          </cell>
          <cell r="N36">
            <v>1500</v>
          </cell>
          <cell r="O36">
            <v>1</v>
          </cell>
          <cell r="P36">
            <v>0.27</v>
          </cell>
          <cell r="Q36">
            <v>1.4</v>
          </cell>
          <cell r="R36">
            <v>488.58319963313778</v>
          </cell>
          <cell r="S36">
            <v>3.2572213308875853</v>
          </cell>
          <cell r="T36">
            <v>1030.6399999999999</v>
          </cell>
          <cell r="U36">
            <v>6.8709333333333324</v>
          </cell>
          <cell r="V36">
            <v>7729.8</v>
          </cell>
          <cell r="W36">
            <v>1803.6200000000001</v>
          </cell>
          <cell r="X36">
            <v>16747.900000000001</v>
          </cell>
          <cell r="Y36">
            <v>1507.3110000000001</v>
          </cell>
          <cell r="Z36">
            <v>401.94960000000003</v>
          </cell>
          <cell r="AA36">
            <v>3712.8806000000004</v>
          </cell>
          <cell r="AB36">
            <v>24.752537333333336</v>
          </cell>
        </row>
        <row r="37">
          <cell r="A37" t="str">
            <v>Disk &amp; Incorporate14'</v>
          </cell>
          <cell r="B37" t="str">
            <v>Disk &amp; Incorporate</v>
          </cell>
          <cell r="C37" t="str">
            <v>14'</v>
          </cell>
          <cell r="D37">
            <v>14</v>
          </cell>
          <cell r="E37">
            <v>5</v>
          </cell>
          <cell r="F37">
            <v>0.8</v>
          </cell>
          <cell r="G37">
            <v>0.14732142857142858</v>
          </cell>
          <cell r="H37">
            <v>16285</v>
          </cell>
          <cell r="I37">
            <v>30</v>
          </cell>
          <cell r="J37">
            <v>60</v>
          </cell>
          <cell r="K37">
            <v>10</v>
          </cell>
          <cell r="L37">
            <v>200</v>
          </cell>
          <cell r="M37">
            <v>0</v>
          </cell>
          <cell r="N37">
            <v>2000</v>
          </cell>
          <cell r="O37">
            <v>1</v>
          </cell>
          <cell r="P37">
            <v>0.27</v>
          </cell>
          <cell r="Q37">
            <v>1.4</v>
          </cell>
          <cell r="R37">
            <v>461.94845718292589</v>
          </cell>
          <cell r="S37">
            <v>2.3097422859146293</v>
          </cell>
          <cell r="T37">
            <v>977.1</v>
          </cell>
          <cell r="U37">
            <v>4.8855000000000004</v>
          </cell>
          <cell r="V37">
            <v>4885.5</v>
          </cell>
          <cell r="W37">
            <v>1139.95</v>
          </cell>
          <cell r="X37">
            <v>10585.25</v>
          </cell>
          <cell r="Y37">
            <v>952.67250000000001</v>
          </cell>
          <cell r="Z37">
            <v>254.04599999999999</v>
          </cell>
          <cell r="AA37">
            <v>2346.6684999999998</v>
          </cell>
          <cell r="AB37">
            <v>11.733342499999999</v>
          </cell>
        </row>
        <row r="38">
          <cell r="A38" t="str">
            <v>Disk &amp; Incorporate24'</v>
          </cell>
          <cell r="B38" t="str">
            <v>Disk &amp; Incorporate</v>
          </cell>
          <cell r="C38" t="str">
            <v>24'</v>
          </cell>
          <cell r="D38">
            <v>24</v>
          </cell>
          <cell r="E38">
            <v>5</v>
          </cell>
          <cell r="F38">
            <v>0.8</v>
          </cell>
          <cell r="G38">
            <v>8.59375E-2</v>
          </cell>
          <cell r="H38">
            <v>31068</v>
          </cell>
          <cell r="I38">
            <v>30</v>
          </cell>
          <cell r="J38">
            <v>60</v>
          </cell>
          <cell r="K38">
            <v>10</v>
          </cell>
          <cell r="L38">
            <v>200</v>
          </cell>
          <cell r="M38">
            <v>0</v>
          </cell>
          <cell r="N38">
            <v>2000</v>
          </cell>
          <cell r="O38">
            <v>1</v>
          </cell>
          <cell r="P38">
            <v>0.27</v>
          </cell>
          <cell r="Q38">
            <v>1.4</v>
          </cell>
          <cell r="R38">
            <v>881.29043093393557</v>
          </cell>
          <cell r="S38">
            <v>4.4064521546696778</v>
          </cell>
          <cell r="T38">
            <v>1864.08</v>
          </cell>
          <cell r="U38">
            <v>9.3203999999999994</v>
          </cell>
          <cell r="V38">
            <v>9320.4</v>
          </cell>
          <cell r="W38">
            <v>2174.7599999999998</v>
          </cell>
          <cell r="X38">
            <v>20194.2</v>
          </cell>
          <cell r="Y38">
            <v>1817.4780000000001</v>
          </cell>
          <cell r="Z38">
            <v>484.66080000000005</v>
          </cell>
          <cell r="AA38">
            <v>4476.8987999999999</v>
          </cell>
          <cell r="AB38">
            <v>22.384494</v>
          </cell>
        </row>
        <row r="39">
          <cell r="A39" t="str">
            <v>Disk &amp; Incorporate32'</v>
          </cell>
          <cell r="B39" t="str">
            <v>Disk &amp; Incorporate</v>
          </cell>
          <cell r="C39" t="str">
            <v>32'</v>
          </cell>
          <cell r="D39">
            <v>32</v>
          </cell>
          <cell r="E39">
            <v>5</v>
          </cell>
          <cell r="F39">
            <v>0.8</v>
          </cell>
          <cell r="G39">
            <v>6.4453125E-2</v>
          </cell>
          <cell r="H39">
            <v>37716</v>
          </cell>
          <cell r="I39">
            <v>30</v>
          </cell>
          <cell r="J39">
            <v>60</v>
          </cell>
          <cell r="K39">
            <v>10</v>
          </cell>
          <cell r="L39">
            <v>200</v>
          </cell>
          <cell r="M39">
            <v>0</v>
          </cell>
          <cell r="N39">
            <v>2000</v>
          </cell>
          <cell r="O39">
            <v>1</v>
          </cell>
          <cell r="P39">
            <v>0.27</v>
          </cell>
          <cell r="Q39">
            <v>1.4</v>
          </cell>
          <cell r="R39">
            <v>1069.8709248456391</v>
          </cell>
          <cell r="S39">
            <v>5.3493546242281953</v>
          </cell>
          <cell r="T39">
            <v>2262.96</v>
          </cell>
          <cell r="U39">
            <v>11.3148</v>
          </cell>
          <cell r="V39">
            <v>11314.8</v>
          </cell>
          <cell r="W39">
            <v>2640.12</v>
          </cell>
          <cell r="X39">
            <v>24515.4</v>
          </cell>
          <cell r="Y39">
            <v>2206.386</v>
          </cell>
          <cell r="Z39">
            <v>588.36959999999999</v>
          </cell>
          <cell r="AA39">
            <v>5434.8755999999994</v>
          </cell>
          <cell r="AB39">
            <v>27.174377999999997</v>
          </cell>
        </row>
        <row r="40">
          <cell r="A40" t="str">
            <v>Disk &amp; Incorporate42'</v>
          </cell>
          <cell r="B40" t="str">
            <v>Disk &amp; Incorporate</v>
          </cell>
          <cell r="C40" t="str">
            <v>42'</v>
          </cell>
          <cell r="D40">
            <v>42</v>
          </cell>
          <cell r="E40">
            <v>5</v>
          </cell>
          <cell r="F40">
            <v>0.8</v>
          </cell>
          <cell r="G40">
            <v>4.9107142857142856E-2</v>
          </cell>
          <cell r="H40">
            <v>43268</v>
          </cell>
          <cell r="I40">
            <v>30</v>
          </cell>
          <cell r="J40">
            <v>60</v>
          </cell>
          <cell r="K40">
            <v>10</v>
          </cell>
          <cell r="L40">
            <v>200</v>
          </cell>
          <cell r="M40">
            <v>0</v>
          </cell>
          <cell r="N40">
            <v>2000</v>
          </cell>
          <cell r="O40">
            <v>1</v>
          </cell>
          <cell r="P40">
            <v>0.27</v>
          </cell>
          <cell r="Q40">
            <v>1.4</v>
          </cell>
          <cell r="R40">
            <v>1227.3617344421759</v>
          </cell>
          <cell r="S40">
            <v>6.1368086722108792</v>
          </cell>
          <cell r="T40">
            <v>2596.08</v>
          </cell>
          <cell r="U40">
            <v>12.980399999999999</v>
          </cell>
          <cell r="V40">
            <v>12980.4</v>
          </cell>
          <cell r="W40">
            <v>3028.7599999999998</v>
          </cell>
          <cell r="X40">
            <v>28124.2</v>
          </cell>
          <cell r="Y40">
            <v>2531.1779999999999</v>
          </cell>
          <cell r="Z40">
            <v>674.98080000000004</v>
          </cell>
          <cell r="AA40">
            <v>6234.9187999999995</v>
          </cell>
          <cell r="AB40">
            <v>31.174593999999999</v>
          </cell>
        </row>
        <row r="41">
          <cell r="A41" t="str">
            <v>Disk Bed (Hipper)10R-30</v>
          </cell>
          <cell r="B41" t="str">
            <v>Disk Bed (Hipper)</v>
          </cell>
          <cell r="C41" t="str">
            <v>10R-30</v>
          </cell>
          <cell r="D41">
            <v>25</v>
          </cell>
          <cell r="E41">
            <v>5.5</v>
          </cell>
          <cell r="F41">
            <v>0.8</v>
          </cell>
          <cell r="G41">
            <v>7.4999999999999997E-2</v>
          </cell>
          <cell r="H41">
            <v>15252</v>
          </cell>
          <cell r="I41">
            <v>30</v>
          </cell>
          <cell r="J41">
            <v>40</v>
          </cell>
          <cell r="K41">
            <v>10</v>
          </cell>
          <cell r="L41">
            <v>160</v>
          </cell>
          <cell r="M41">
            <v>0</v>
          </cell>
          <cell r="N41">
            <v>1600</v>
          </cell>
          <cell r="O41">
            <v>1</v>
          </cell>
          <cell r="P41">
            <v>0.27</v>
          </cell>
          <cell r="Q41">
            <v>1.4</v>
          </cell>
          <cell r="R41">
            <v>316.56182170322518</v>
          </cell>
          <cell r="S41">
            <v>1.9785113856451573</v>
          </cell>
          <cell r="T41">
            <v>610.08000000000004</v>
          </cell>
          <cell r="U41">
            <v>3.8130000000000002</v>
          </cell>
          <cell r="V41">
            <v>4575.6000000000004</v>
          </cell>
          <cell r="W41">
            <v>1067.6399999999999</v>
          </cell>
          <cell r="X41">
            <v>9913.7999999999993</v>
          </cell>
          <cell r="Y41">
            <v>892.24199999999985</v>
          </cell>
          <cell r="Z41">
            <v>237.93119999999999</v>
          </cell>
          <cell r="AA41">
            <v>2197.8131999999996</v>
          </cell>
          <cell r="AB41">
            <v>13.736332499999998</v>
          </cell>
        </row>
        <row r="42">
          <cell r="A42" t="str">
            <v>Disk Bed (Hipper)10R-36</v>
          </cell>
          <cell r="B42" t="str">
            <v>Disk Bed (Hipper)</v>
          </cell>
          <cell r="C42" t="str">
            <v>10R-36</v>
          </cell>
          <cell r="D42">
            <v>30</v>
          </cell>
          <cell r="E42">
            <v>5.5</v>
          </cell>
          <cell r="F42">
            <v>0.8</v>
          </cell>
          <cell r="G42">
            <v>6.25E-2</v>
          </cell>
          <cell r="H42">
            <v>16898</v>
          </cell>
          <cell r="I42">
            <v>30</v>
          </cell>
          <cell r="J42">
            <v>40</v>
          </cell>
          <cell r="K42">
            <v>10</v>
          </cell>
          <cell r="L42">
            <v>160</v>
          </cell>
          <cell r="M42">
            <v>0</v>
          </cell>
          <cell r="N42">
            <v>1600</v>
          </cell>
          <cell r="O42">
            <v>1</v>
          </cell>
          <cell r="P42">
            <v>0.27</v>
          </cell>
          <cell r="Q42">
            <v>1.4</v>
          </cell>
          <cell r="R42">
            <v>350.72525984402694</v>
          </cell>
          <cell r="S42">
            <v>2.1920328740251684</v>
          </cell>
          <cell r="T42">
            <v>675.92</v>
          </cell>
          <cell r="U42">
            <v>4.2244999999999999</v>
          </cell>
          <cell r="V42">
            <v>5069.3999999999996</v>
          </cell>
          <cell r="W42">
            <v>1182.8600000000001</v>
          </cell>
          <cell r="X42">
            <v>10983.7</v>
          </cell>
          <cell r="Y42">
            <v>988.53300000000002</v>
          </cell>
          <cell r="Z42">
            <v>263.60880000000003</v>
          </cell>
          <cell r="AA42">
            <v>2435.0018</v>
          </cell>
          <cell r="AB42">
            <v>15.21876125</v>
          </cell>
        </row>
        <row r="43">
          <cell r="A43" t="str">
            <v>Disk Bed (Hipper)12R-30</v>
          </cell>
          <cell r="B43" t="str">
            <v>Disk Bed (Hipper)</v>
          </cell>
          <cell r="C43" t="str">
            <v>12R-30</v>
          </cell>
          <cell r="D43">
            <v>30</v>
          </cell>
          <cell r="E43">
            <v>5.5</v>
          </cell>
          <cell r="F43">
            <v>0.8</v>
          </cell>
          <cell r="G43">
            <v>6.25E-2</v>
          </cell>
          <cell r="H43">
            <v>17854</v>
          </cell>
          <cell r="I43">
            <v>30</v>
          </cell>
          <cell r="J43">
            <v>40</v>
          </cell>
          <cell r="K43">
            <v>10</v>
          </cell>
          <cell r="L43">
            <v>160</v>
          </cell>
          <cell r="M43">
            <v>0</v>
          </cell>
          <cell r="N43">
            <v>1600</v>
          </cell>
          <cell r="O43">
            <v>1</v>
          </cell>
          <cell r="P43">
            <v>0.27</v>
          </cell>
          <cell r="Q43">
            <v>1.4</v>
          </cell>
          <cell r="R43">
            <v>370.5674511335813</v>
          </cell>
          <cell r="S43">
            <v>2.3160465695848833</v>
          </cell>
          <cell r="T43">
            <v>714.16000000000008</v>
          </cell>
          <cell r="U43">
            <v>4.4635000000000007</v>
          </cell>
          <cell r="V43">
            <v>5356.2</v>
          </cell>
          <cell r="W43">
            <v>1249.78</v>
          </cell>
          <cell r="X43">
            <v>11605.1</v>
          </cell>
          <cell r="Y43">
            <v>1044.4590000000001</v>
          </cell>
          <cell r="Z43">
            <v>278.5224</v>
          </cell>
          <cell r="AA43">
            <v>2572.7614000000003</v>
          </cell>
          <cell r="AB43">
            <v>16.079758750000003</v>
          </cell>
        </row>
        <row r="44">
          <cell r="A44" t="str">
            <v>Disk Bed (Hipper)12R-36</v>
          </cell>
          <cell r="B44" t="str">
            <v>Disk Bed (Hipper)</v>
          </cell>
          <cell r="C44" t="str">
            <v>12R-36</v>
          </cell>
          <cell r="D44">
            <v>36</v>
          </cell>
          <cell r="E44">
            <v>5.5</v>
          </cell>
          <cell r="F44">
            <v>0.8</v>
          </cell>
          <cell r="G44">
            <v>5.2083333333333336E-2</v>
          </cell>
          <cell r="H44">
            <v>23602</v>
          </cell>
          <cell r="I44">
            <v>30</v>
          </cell>
          <cell r="J44">
            <v>40</v>
          </cell>
          <cell r="K44">
            <v>10</v>
          </cell>
          <cell r="L44">
            <v>160</v>
          </cell>
          <cell r="M44">
            <v>0</v>
          </cell>
          <cell r="N44">
            <v>1600</v>
          </cell>
          <cell r="O44">
            <v>1</v>
          </cell>
          <cell r="P44">
            <v>0.27</v>
          </cell>
          <cell r="Q44">
            <v>1.4</v>
          </cell>
          <cell r="R44">
            <v>489.86966403353802</v>
          </cell>
          <cell r="S44">
            <v>3.0616854002096128</v>
          </cell>
          <cell r="T44">
            <v>944.07999999999993</v>
          </cell>
          <cell r="U44">
            <v>5.9004999999999992</v>
          </cell>
          <cell r="V44">
            <v>7080.6</v>
          </cell>
          <cell r="W44">
            <v>1652.14</v>
          </cell>
          <cell r="X44">
            <v>15341.3</v>
          </cell>
          <cell r="Y44">
            <v>1380.7169999999999</v>
          </cell>
          <cell r="Z44">
            <v>368.19119999999998</v>
          </cell>
          <cell r="AA44">
            <v>3401.0482000000002</v>
          </cell>
          <cell r="AB44">
            <v>21.256551250000001</v>
          </cell>
        </row>
        <row r="45">
          <cell r="A45" t="str">
            <v>Disk Bed (Hipper)4R-36</v>
          </cell>
          <cell r="B45" t="str">
            <v>Disk Bed (Hipper)</v>
          </cell>
          <cell r="C45" t="str">
            <v>4R-36</v>
          </cell>
          <cell r="D45">
            <v>12</v>
          </cell>
          <cell r="E45">
            <v>5.5</v>
          </cell>
          <cell r="F45">
            <v>0.8</v>
          </cell>
          <cell r="G45">
            <v>0.15625</v>
          </cell>
          <cell r="H45">
            <v>6958</v>
          </cell>
          <cell r="I45">
            <v>30</v>
          </cell>
          <cell r="J45">
            <v>40</v>
          </cell>
          <cell r="K45">
            <v>10</v>
          </cell>
          <cell r="L45">
            <v>160</v>
          </cell>
          <cell r="M45">
            <v>0</v>
          </cell>
          <cell r="N45">
            <v>1600</v>
          </cell>
          <cell r="O45">
            <v>1</v>
          </cell>
          <cell r="P45">
            <v>0.27</v>
          </cell>
          <cell r="Q45">
            <v>1.4</v>
          </cell>
          <cell r="R45">
            <v>144.41628346518758</v>
          </cell>
          <cell r="S45">
            <v>0.90260177165742239</v>
          </cell>
          <cell r="T45">
            <v>278.32</v>
          </cell>
          <cell r="U45">
            <v>1.7395</v>
          </cell>
          <cell r="V45">
            <v>2087.4</v>
          </cell>
          <cell r="W45">
            <v>487.06000000000006</v>
          </cell>
          <cell r="X45">
            <v>4522.7</v>
          </cell>
          <cell r="Y45">
            <v>407.04299999999995</v>
          </cell>
          <cell r="Z45">
            <v>108.5448</v>
          </cell>
          <cell r="AA45">
            <v>1002.6478</v>
          </cell>
          <cell r="AB45">
            <v>6.2665487500000001</v>
          </cell>
        </row>
        <row r="46">
          <cell r="A46" t="str">
            <v>Disk Bed (Hipper)6R-30</v>
          </cell>
          <cell r="B46" t="str">
            <v>Disk Bed (Hipper)</v>
          </cell>
          <cell r="C46" t="str">
            <v>6R-30</v>
          </cell>
          <cell r="D46">
            <v>15</v>
          </cell>
          <cell r="E46">
            <v>5.5</v>
          </cell>
          <cell r="F46">
            <v>0.8</v>
          </cell>
          <cell r="G46">
            <v>0.125</v>
          </cell>
          <cell r="H46">
            <v>9459</v>
          </cell>
          <cell r="I46">
            <v>30</v>
          </cell>
          <cell r="J46">
            <v>40</v>
          </cell>
          <cell r="K46">
            <v>10</v>
          </cell>
          <cell r="L46">
            <v>160</v>
          </cell>
          <cell r="M46">
            <v>0</v>
          </cell>
          <cell r="N46">
            <v>1600</v>
          </cell>
          <cell r="O46">
            <v>1</v>
          </cell>
          <cell r="P46">
            <v>0.27</v>
          </cell>
          <cell r="Q46">
            <v>1.4</v>
          </cell>
          <cell r="R46">
            <v>196.32561444340462</v>
          </cell>
          <cell r="S46">
            <v>1.2270350902712788</v>
          </cell>
          <cell r="T46">
            <v>378.36</v>
          </cell>
          <cell r="U46">
            <v>2.3647499999999999</v>
          </cell>
          <cell r="V46">
            <v>2837.7</v>
          </cell>
          <cell r="W46">
            <v>662.13</v>
          </cell>
          <cell r="X46">
            <v>6148.35</v>
          </cell>
          <cell r="Y46">
            <v>553.35149999999999</v>
          </cell>
          <cell r="Z46">
            <v>147.56040000000002</v>
          </cell>
          <cell r="AA46">
            <v>1363.0419000000002</v>
          </cell>
          <cell r="AB46">
            <v>8.5190118750000003</v>
          </cell>
        </row>
        <row r="47">
          <cell r="A47" t="str">
            <v>Disk Bed (Hipper)6R-36</v>
          </cell>
          <cell r="B47" t="str">
            <v>Disk Bed (Hipper)</v>
          </cell>
          <cell r="C47" t="str">
            <v>6R-36</v>
          </cell>
          <cell r="D47">
            <v>18</v>
          </cell>
          <cell r="E47">
            <v>5.5</v>
          </cell>
          <cell r="F47">
            <v>0.8</v>
          </cell>
          <cell r="G47">
            <v>0.10416666666666667</v>
          </cell>
          <cell r="H47">
            <v>10455</v>
          </cell>
          <cell r="I47">
            <v>30</v>
          </cell>
          <cell r="J47">
            <v>40</v>
          </cell>
          <cell r="K47">
            <v>10</v>
          </cell>
          <cell r="L47">
            <v>160</v>
          </cell>
          <cell r="M47">
            <v>0</v>
          </cell>
          <cell r="N47">
            <v>1600</v>
          </cell>
          <cell r="O47">
            <v>1</v>
          </cell>
          <cell r="P47">
            <v>0.27</v>
          </cell>
          <cell r="Q47">
            <v>1.4</v>
          </cell>
          <cell r="R47">
            <v>216.99802294172696</v>
          </cell>
          <cell r="S47">
            <v>1.3562376433857934</v>
          </cell>
          <cell r="T47">
            <v>418.2</v>
          </cell>
          <cell r="U47">
            <v>2.61375</v>
          </cell>
          <cell r="V47">
            <v>3136.5</v>
          </cell>
          <cell r="W47">
            <v>731.85</v>
          </cell>
          <cell r="X47">
            <v>6795.75</v>
          </cell>
          <cell r="Y47">
            <v>611.61749999999995</v>
          </cell>
          <cell r="Z47">
            <v>163.09800000000001</v>
          </cell>
          <cell r="AA47">
            <v>1506.5655000000002</v>
          </cell>
          <cell r="AB47">
            <v>9.4160343750000006</v>
          </cell>
        </row>
        <row r="48">
          <cell r="A48" t="str">
            <v>Disk Bed (Hipper)8R-30</v>
          </cell>
          <cell r="B48" t="str">
            <v>Disk Bed (Hipper)</v>
          </cell>
          <cell r="C48" t="str">
            <v>8R-30</v>
          </cell>
          <cell r="D48">
            <v>20</v>
          </cell>
          <cell r="E48">
            <v>5.5</v>
          </cell>
          <cell r="F48">
            <v>0.8</v>
          </cell>
          <cell r="G48">
            <v>9.375E-2</v>
          </cell>
          <cell r="H48">
            <v>12195</v>
          </cell>
          <cell r="I48">
            <v>30</v>
          </cell>
          <cell r="J48">
            <v>40</v>
          </cell>
          <cell r="K48">
            <v>10</v>
          </cell>
          <cell r="L48">
            <v>160</v>
          </cell>
          <cell r="M48">
            <v>0</v>
          </cell>
          <cell r="N48">
            <v>1600</v>
          </cell>
          <cell r="O48">
            <v>1</v>
          </cell>
          <cell r="P48">
            <v>0.27</v>
          </cell>
          <cell r="Q48">
            <v>1.4</v>
          </cell>
          <cell r="R48">
            <v>253.11247152313345</v>
          </cell>
          <cell r="S48">
            <v>1.5819529470195841</v>
          </cell>
          <cell r="T48">
            <v>487.8</v>
          </cell>
          <cell r="U48">
            <v>3.0487500000000001</v>
          </cell>
          <cell r="V48">
            <v>3658.5</v>
          </cell>
          <cell r="W48">
            <v>853.65</v>
          </cell>
          <cell r="X48">
            <v>7926.75</v>
          </cell>
          <cell r="Y48">
            <v>713.40750000000003</v>
          </cell>
          <cell r="Z48">
            <v>190.24199999999999</v>
          </cell>
          <cell r="AA48">
            <v>1757.2995000000001</v>
          </cell>
          <cell r="AB48">
            <v>10.983121875</v>
          </cell>
        </row>
        <row r="49">
          <cell r="A49" t="str">
            <v>Disk Bed (Hipper)8R-40 2x1</v>
          </cell>
          <cell r="B49" t="str">
            <v>Disk Bed (Hipper)</v>
          </cell>
          <cell r="C49" t="str">
            <v>8R-40 2x1</v>
          </cell>
          <cell r="D49">
            <v>40</v>
          </cell>
          <cell r="E49">
            <v>5.5</v>
          </cell>
          <cell r="F49">
            <v>0.8</v>
          </cell>
          <cell r="G49">
            <v>4.6875E-2</v>
          </cell>
          <cell r="H49">
            <v>23602</v>
          </cell>
          <cell r="I49">
            <v>30</v>
          </cell>
          <cell r="J49">
            <v>40</v>
          </cell>
          <cell r="K49">
            <v>10</v>
          </cell>
          <cell r="L49">
            <v>160</v>
          </cell>
          <cell r="M49">
            <v>0</v>
          </cell>
          <cell r="N49">
            <v>1600</v>
          </cell>
          <cell r="O49">
            <v>1</v>
          </cell>
          <cell r="P49">
            <v>0.27</v>
          </cell>
          <cell r="Q49">
            <v>1.4</v>
          </cell>
          <cell r="R49">
            <v>489.86966403353802</v>
          </cell>
          <cell r="S49">
            <v>3.0616854002096128</v>
          </cell>
          <cell r="T49">
            <v>944.07999999999993</v>
          </cell>
          <cell r="U49">
            <v>5.9004999999999992</v>
          </cell>
          <cell r="V49">
            <v>7080.6</v>
          </cell>
          <cell r="W49">
            <v>1652.14</v>
          </cell>
          <cell r="X49">
            <v>15341.3</v>
          </cell>
          <cell r="Y49">
            <v>1380.7169999999999</v>
          </cell>
          <cell r="Z49">
            <v>368.19119999999998</v>
          </cell>
          <cell r="AA49">
            <v>3401.0482000000002</v>
          </cell>
          <cell r="AB49">
            <v>21.256551250000001</v>
          </cell>
        </row>
        <row r="50">
          <cell r="A50" t="str">
            <v>Disk Bed (Hipper)Fld8R-36</v>
          </cell>
          <cell r="B50" t="str">
            <v>Disk Bed (Hipper)Fld</v>
          </cell>
          <cell r="C50" t="str">
            <v>8R-36</v>
          </cell>
          <cell r="D50">
            <v>24</v>
          </cell>
          <cell r="E50">
            <v>5.5</v>
          </cell>
          <cell r="F50">
            <v>0.8</v>
          </cell>
          <cell r="G50">
            <v>7.8125E-2</v>
          </cell>
          <cell r="H50">
            <v>15522</v>
          </cell>
          <cell r="I50">
            <v>30</v>
          </cell>
          <cell r="J50">
            <v>40</v>
          </cell>
          <cell r="K50">
            <v>10</v>
          </cell>
          <cell r="L50">
            <v>160</v>
          </cell>
          <cell r="M50">
            <v>0</v>
          </cell>
          <cell r="N50">
            <v>1600</v>
          </cell>
          <cell r="O50">
            <v>1</v>
          </cell>
          <cell r="P50">
            <v>0.27</v>
          </cell>
          <cell r="Q50">
            <v>1.4</v>
          </cell>
          <cell r="R50">
            <v>322.16578786240899</v>
          </cell>
          <cell r="S50">
            <v>2.0135361741400564</v>
          </cell>
          <cell r="T50">
            <v>620.88</v>
          </cell>
          <cell r="U50">
            <v>3.8805000000000001</v>
          </cell>
          <cell r="V50">
            <v>4656.6000000000004</v>
          </cell>
          <cell r="W50">
            <v>1086.54</v>
          </cell>
          <cell r="X50">
            <v>10089.299999999999</v>
          </cell>
          <cell r="Y50">
            <v>908.03699999999992</v>
          </cell>
          <cell r="Z50">
            <v>242.14319999999998</v>
          </cell>
          <cell r="AA50">
            <v>2236.7201999999997</v>
          </cell>
          <cell r="AB50">
            <v>13.979501249999998</v>
          </cell>
        </row>
        <row r="51">
          <cell r="A51" t="str">
            <v>Disk Bed (Hipper)Rdg8R-36</v>
          </cell>
          <cell r="B51" t="str">
            <v>Disk Bed (Hipper)Rdg</v>
          </cell>
          <cell r="C51" t="str">
            <v>8R-36</v>
          </cell>
          <cell r="D51">
            <v>24</v>
          </cell>
          <cell r="E51">
            <v>5.5</v>
          </cell>
          <cell r="F51">
            <v>0.8</v>
          </cell>
          <cell r="G51">
            <v>7.8125E-2</v>
          </cell>
          <cell r="H51">
            <v>13449</v>
          </cell>
          <cell r="I51">
            <v>30</v>
          </cell>
          <cell r="J51">
            <v>40</v>
          </cell>
          <cell r="K51">
            <v>10</v>
          </cell>
          <cell r="L51">
            <v>160</v>
          </cell>
          <cell r="M51">
            <v>0</v>
          </cell>
          <cell r="N51">
            <v>1600</v>
          </cell>
          <cell r="O51">
            <v>1</v>
          </cell>
          <cell r="P51">
            <v>0.27</v>
          </cell>
          <cell r="Q51">
            <v>1.4</v>
          </cell>
          <cell r="R51">
            <v>279.13978101800916</v>
          </cell>
          <cell r="S51">
            <v>1.7446236313625572</v>
          </cell>
          <cell r="T51">
            <v>537.96</v>
          </cell>
          <cell r="U51">
            <v>3.3622500000000004</v>
          </cell>
          <cell r="V51">
            <v>4034.7</v>
          </cell>
          <cell r="W51">
            <v>941.43</v>
          </cell>
          <cell r="X51">
            <v>8741.85</v>
          </cell>
          <cell r="Y51">
            <v>786.76649999999995</v>
          </cell>
          <cell r="Z51">
            <v>209.80440000000002</v>
          </cell>
          <cell r="AA51">
            <v>1938.0009</v>
          </cell>
          <cell r="AB51">
            <v>12.112505625000001</v>
          </cell>
        </row>
        <row r="52">
          <cell r="A52" t="str">
            <v>Disk Bed w/roller12R-30</v>
          </cell>
          <cell r="B52" t="str">
            <v>Disk Bed w/roller</v>
          </cell>
          <cell r="C52" t="str">
            <v>12R-30</v>
          </cell>
          <cell r="D52">
            <v>30</v>
          </cell>
          <cell r="E52">
            <v>5.5</v>
          </cell>
          <cell r="F52">
            <v>0.8</v>
          </cell>
          <cell r="G52">
            <v>6.25E-2</v>
          </cell>
          <cell r="H52">
            <v>24672</v>
          </cell>
          <cell r="I52">
            <v>30</v>
          </cell>
          <cell r="J52">
            <v>40</v>
          </cell>
          <cell r="K52">
            <v>10</v>
          </cell>
          <cell r="L52">
            <v>160</v>
          </cell>
          <cell r="M52">
            <v>0</v>
          </cell>
          <cell r="N52">
            <v>1600</v>
          </cell>
          <cell r="O52">
            <v>1</v>
          </cell>
          <cell r="P52">
            <v>0.27</v>
          </cell>
          <cell r="Q52">
            <v>1.4</v>
          </cell>
          <cell r="R52">
            <v>512.07797436808107</v>
          </cell>
          <cell r="S52">
            <v>3.2004873398005067</v>
          </cell>
          <cell r="T52">
            <v>986.87999999999988</v>
          </cell>
          <cell r="U52">
            <v>6.1679999999999993</v>
          </cell>
          <cell r="V52">
            <v>7401.6</v>
          </cell>
          <cell r="W52">
            <v>1727.0400000000002</v>
          </cell>
          <cell r="X52">
            <v>16036.8</v>
          </cell>
          <cell r="Y52">
            <v>1443.3119999999999</v>
          </cell>
          <cell r="Z52">
            <v>384.88319999999999</v>
          </cell>
          <cell r="AA52">
            <v>3555.2352000000001</v>
          </cell>
          <cell r="AB52">
            <v>22.220220000000001</v>
          </cell>
        </row>
        <row r="53">
          <cell r="A53" t="str">
            <v>Disk Bed w/roller8R-30</v>
          </cell>
          <cell r="B53" t="str">
            <v>Disk Bed w/roller</v>
          </cell>
          <cell r="C53" t="str">
            <v>8R-30</v>
          </cell>
          <cell r="D53">
            <v>20</v>
          </cell>
          <cell r="E53">
            <v>5.5</v>
          </cell>
          <cell r="F53">
            <v>0.8</v>
          </cell>
          <cell r="G53">
            <v>9.375E-2</v>
          </cell>
          <cell r="H53">
            <v>14262</v>
          </cell>
          <cell r="I53">
            <v>30</v>
          </cell>
          <cell r="J53">
            <v>40</v>
          </cell>
          <cell r="K53">
            <v>10</v>
          </cell>
          <cell r="L53">
            <v>160</v>
          </cell>
          <cell r="M53">
            <v>0</v>
          </cell>
          <cell r="N53">
            <v>1600</v>
          </cell>
          <cell r="O53">
            <v>1</v>
          </cell>
          <cell r="P53">
            <v>0.27</v>
          </cell>
          <cell r="Q53">
            <v>1.4</v>
          </cell>
          <cell r="R53">
            <v>296.01394578621807</v>
          </cell>
          <cell r="S53">
            <v>1.850087161163863</v>
          </cell>
          <cell r="T53">
            <v>570.48</v>
          </cell>
          <cell r="U53">
            <v>3.5655000000000001</v>
          </cell>
          <cell r="V53">
            <v>4278.6000000000004</v>
          </cell>
          <cell r="W53">
            <v>998.33999999999992</v>
          </cell>
          <cell r="X53">
            <v>9270.2999999999993</v>
          </cell>
          <cell r="Y53">
            <v>834.32699999999988</v>
          </cell>
          <cell r="Z53">
            <v>222.48719999999997</v>
          </cell>
          <cell r="AA53">
            <v>2055.1541999999999</v>
          </cell>
          <cell r="AB53">
            <v>12.84471375</v>
          </cell>
        </row>
        <row r="54">
          <cell r="A54" t="str">
            <v>Disk Harrow14'</v>
          </cell>
          <cell r="B54" t="str">
            <v>Disk Harrow</v>
          </cell>
          <cell r="C54" t="str">
            <v>14'</v>
          </cell>
          <cell r="D54">
            <v>14</v>
          </cell>
          <cell r="E54">
            <v>5.25</v>
          </cell>
          <cell r="F54">
            <v>0.8</v>
          </cell>
          <cell r="G54">
            <v>0.14030612244897961</v>
          </cell>
          <cell r="H54">
            <v>10915</v>
          </cell>
          <cell r="I54">
            <v>30</v>
          </cell>
          <cell r="J54">
            <v>50</v>
          </cell>
          <cell r="K54">
            <v>10</v>
          </cell>
          <cell r="L54">
            <v>180</v>
          </cell>
          <cell r="M54">
            <v>0</v>
          </cell>
          <cell r="N54">
            <v>1800</v>
          </cell>
          <cell r="O54">
            <v>1</v>
          </cell>
          <cell r="P54">
            <v>0.27</v>
          </cell>
          <cell r="Q54">
            <v>1.4</v>
          </cell>
          <cell r="R54">
            <v>267.15850920170766</v>
          </cell>
          <cell r="S54">
            <v>1.4842139400094869</v>
          </cell>
          <cell r="T54">
            <v>545.75</v>
          </cell>
          <cell r="U54">
            <v>3.0319444444444446</v>
          </cell>
          <cell r="V54">
            <v>3274.5</v>
          </cell>
          <cell r="W54">
            <v>764.05</v>
          </cell>
          <cell r="X54">
            <v>7094.75</v>
          </cell>
          <cell r="Y54">
            <v>638.52750000000003</v>
          </cell>
          <cell r="Z54">
            <v>170.274</v>
          </cell>
          <cell r="AA54">
            <v>1572.8515</v>
          </cell>
          <cell r="AB54">
            <v>8.7380638888888882</v>
          </cell>
        </row>
        <row r="55">
          <cell r="A55" t="str">
            <v>Disk Harrow24'</v>
          </cell>
          <cell r="B55" t="str">
            <v>Disk Harrow</v>
          </cell>
          <cell r="C55" t="str">
            <v>24'</v>
          </cell>
          <cell r="D55">
            <v>24</v>
          </cell>
          <cell r="E55">
            <v>5.25</v>
          </cell>
          <cell r="F55">
            <v>0.8</v>
          </cell>
          <cell r="G55">
            <v>8.1845238095238096E-2</v>
          </cell>
          <cell r="H55">
            <v>25699</v>
          </cell>
          <cell r="I55">
            <v>30</v>
          </cell>
          <cell r="J55">
            <v>50</v>
          </cell>
          <cell r="K55">
            <v>10</v>
          </cell>
          <cell r="L55">
            <v>180</v>
          </cell>
          <cell r="M55">
            <v>0</v>
          </cell>
          <cell r="N55">
            <v>1800</v>
          </cell>
          <cell r="O55">
            <v>1</v>
          </cell>
          <cell r="P55">
            <v>0.27</v>
          </cell>
          <cell r="Q55">
            <v>1.4</v>
          </cell>
          <cell r="R55">
            <v>629.01571488544994</v>
          </cell>
          <cell r="S55">
            <v>3.4945317493636106</v>
          </cell>
          <cell r="T55">
            <v>1284.95</v>
          </cell>
          <cell r="U55">
            <v>7.1386111111111115</v>
          </cell>
          <cell r="V55">
            <v>7709.7</v>
          </cell>
          <cell r="W55">
            <v>1798.9299999999998</v>
          </cell>
          <cell r="X55">
            <v>16704.349999999999</v>
          </cell>
          <cell r="Y55">
            <v>1503.3914999999997</v>
          </cell>
          <cell r="Z55">
            <v>400.90439999999995</v>
          </cell>
          <cell r="AA55">
            <v>3703.2258999999995</v>
          </cell>
          <cell r="AB55">
            <v>20.57347722222222</v>
          </cell>
        </row>
        <row r="56">
          <cell r="A56" t="str">
            <v>Disk Harrow28'</v>
          </cell>
          <cell r="B56" t="str">
            <v>Disk Harrow</v>
          </cell>
          <cell r="C56" t="str">
            <v>28'</v>
          </cell>
          <cell r="D56">
            <v>28</v>
          </cell>
          <cell r="E56">
            <v>5.25</v>
          </cell>
          <cell r="F56">
            <v>0.8</v>
          </cell>
          <cell r="G56">
            <v>7.0153061224489804E-2</v>
          </cell>
          <cell r="H56">
            <v>29386</v>
          </cell>
          <cell r="I56">
            <v>30</v>
          </cell>
          <cell r="J56">
            <v>50</v>
          </cell>
          <cell r="K56">
            <v>10</v>
          </cell>
          <cell r="L56">
            <v>180</v>
          </cell>
          <cell r="M56">
            <v>0</v>
          </cell>
          <cell r="N56">
            <v>1800</v>
          </cell>
          <cell r="O56">
            <v>1</v>
          </cell>
          <cell r="P56">
            <v>0.27</v>
          </cell>
          <cell r="Q56">
            <v>1.4</v>
          </cell>
          <cell r="R56">
            <v>719.25972985812018</v>
          </cell>
          <cell r="S56">
            <v>3.9958873881006678</v>
          </cell>
          <cell r="T56">
            <v>1469.3</v>
          </cell>
          <cell r="U56">
            <v>8.1627777777777784</v>
          </cell>
          <cell r="V56">
            <v>8815.7999999999993</v>
          </cell>
          <cell r="W56">
            <v>2057.02</v>
          </cell>
          <cell r="X56">
            <v>19100.900000000001</v>
          </cell>
          <cell r="Y56">
            <v>1719.0810000000001</v>
          </cell>
          <cell r="Z56">
            <v>458.42160000000007</v>
          </cell>
          <cell r="AA56">
            <v>4234.5226000000002</v>
          </cell>
          <cell r="AB56">
            <v>23.525125555555558</v>
          </cell>
        </row>
        <row r="57">
          <cell r="A57" t="str">
            <v>Disk Harrow32'</v>
          </cell>
          <cell r="B57" t="str">
            <v>Disk Harrow</v>
          </cell>
          <cell r="C57" t="str">
            <v>32'</v>
          </cell>
          <cell r="D57">
            <v>32</v>
          </cell>
          <cell r="E57">
            <v>5.25</v>
          </cell>
          <cell r="F57">
            <v>0.8</v>
          </cell>
          <cell r="G57">
            <v>6.1383928571428575E-2</v>
          </cell>
          <cell r="H57">
            <v>32347</v>
          </cell>
          <cell r="I57">
            <v>30</v>
          </cell>
          <cell r="J57">
            <v>50</v>
          </cell>
          <cell r="K57">
            <v>10</v>
          </cell>
          <cell r="L57">
            <v>180</v>
          </cell>
          <cell r="M57">
            <v>0</v>
          </cell>
          <cell r="N57">
            <v>1800</v>
          </cell>
          <cell r="O57">
            <v>1</v>
          </cell>
          <cell r="P57">
            <v>0.27</v>
          </cell>
          <cell r="Q57">
            <v>1.4</v>
          </cell>
          <cell r="R57">
            <v>791.7339713373924</v>
          </cell>
          <cell r="S57">
            <v>4.3985220629855135</v>
          </cell>
          <cell r="T57">
            <v>1617.35</v>
          </cell>
          <cell r="U57">
            <v>8.9852777777777781</v>
          </cell>
          <cell r="V57">
            <v>9704.1</v>
          </cell>
          <cell r="W57">
            <v>2264.29</v>
          </cell>
          <cell r="X57">
            <v>21025.55</v>
          </cell>
          <cell r="Y57">
            <v>1892.2994999999999</v>
          </cell>
          <cell r="Z57">
            <v>504.61320000000001</v>
          </cell>
          <cell r="AA57">
            <v>4661.2026999999998</v>
          </cell>
          <cell r="AB57">
            <v>25.895570555555555</v>
          </cell>
        </row>
        <row r="58">
          <cell r="A58" t="str">
            <v>Disk Harrow42'</v>
          </cell>
          <cell r="B58" t="str">
            <v>Disk Harrow</v>
          </cell>
          <cell r="C58" t="str">
            <v>42'</v>
          </cell>
          <cell r="D58">
            <v>42</v>
          </cell>
          <cell r="E58">
            <v>5.25</v>
          </cell>
          <cell r="F58">
            <v>0.8</v>
          </cell>
          <cell r="G58">
            <v>4.6768707482993194E-2</v>
          </cell>
          <cell r="H58">
            <v>46301</v>
          </cell>
          <cell r="I58">
            <v>30</v>
          </cell>
          <cell r="J58">
            <v>50</v>
          </cell>
          <cell r="K58">
            <v>10</v>
          </cell>
          <cell r="L58">
            <v>180</v>
          </cell>
          <cell r="M58">
            <v>0</v>
          </cell>
          <cell r="N58">
            <v>1800</v>
          </cell>
          <cell r="O58">
            <v>1</v>
          </cell>
          <cell r="P58">
            <v>0.27</v>
          </cell>
          <cell r="Q58">
            <v>1.4</v>
          </cell>
          <cell r="R58">
            <v>1133.2758712366713</v>
          </cell>
          <cell r="S58">
            <v>6.2959770624259512</v>
          </cell>
          <cell r="T58">
            <v>2315.0500000000002</v>
          </cell>
          <cell r="U58">
            <v>12.861388888888889</v>
          </cell>
          <cell r="V58">
            <v>13890.3</v>
          </cell>
          <cell r="W58">
            <v>3241.07</v>
          </cell>
          <cell r="X58">
            <v>30095.65</v>
          </cell>
          <cell r="Y58">
            <v>2708.6084999999998</v>
          </cell>
          <cell r="Z58">
            <v>722.29560000000004</v>
          </cell>
          <cell r="AA58">
            <v>6671.9740999999995</v>
          </cell>
          <cell r="AB58">
            <v>37.066522777777777</v>
          </cell>
        </row>
        <row r="59">
          <cell r="A59" t="str">
            <v>Fert Appl (Liquid)10R-30</v>
          </cell>
          <cell r="B59" t="str">
            <v>Fert Appl (Liquid)</v>
          </cell>
          <cell r="C59" t="str">
            <v>10R-30</v>
          </cell>
          <cell r="D59">
            <v>25</v>
          </cell>
          <cell r="E59">
            <v>6</v>
          </cell>
          <cell r="F59">
            <v>0.7</v>
          </cell>
          <cell r="G59">
            <v>7.857142857142857E-2</v>
          </cell>
          <cell r="H59">
            <v>14057</v>
          </cell>
          <cell r="I59">
            <v>40</v>
          </cell>
          <cell r="J59">
            <v>80</v>
          </cell>
          <cell r="K59">
            <v>8</v>
          </cell>
          <cell r="L59">
            <v>150</v>
          </cell>
          <cell r="M59">
            <v>0</v>
          </cell>
          <cell r="N59">
            <v>1200</v>
          </cell>
          <cell r="O59">
            <v>1</v>
          </cell>
          <cell r="P59">
            <v>0.27</v>
          </cell>
          <cell r="Q59">
            <v>1.4</v>
          </cell>
          <cell r="R59">
            <v>266.5533663449126</v>
          </cell>
          <cell r="S59">
            <v>1.7770224422994174</v>
          </cell>
          <cell r="T59">
            <v>1405.7</v>
          </cell>
          <cell r="U59">
            <v>9.3713333333333342</v>
          </cell>
          <cell r="V59">
            <v>5622.8</v>
          </cell>
          <cell r="W59">
            <v>1054.2750000000001</v>
          </cell>
          <cell r="X59">
            <v>9839.9</v>
          </cell>
          <cell r="Y59">
            <v>885.59099999999989</v>
          </cell>
          <cell r="Z59">
            <v>236.1576</v>
          </cell>
          <cell r="AA59">
            <v>2176.0236</v>
          </cell>
          <cell r="AB59">
            <v>14.506824</v>
          </cell>
        </row>
        <row r="60">
          <cell r="A60" t="str">
            <v>Fert Appl (Liquid)10R-36</v>
          </cell>
          <cell r="B60" t="str">
            <v>Fert Appl (Liquid)</v>
          </cell>
          <cell r="C60" t="str">
            <v>10R-36</v>
          </cell>
          <cell r="D60">
            <v>30</v>
          </cell>
          <cell r="E60">
            <v>6</v>
          </cell>
          <cell r="F60">
            <v>0.7</v>
          </cell>
          <cell r="G60">
            <v>6.5476190476190479E-2</v>
          </cell>
          <cell r="H60">
            <v>15426</v>
          </cell>
          <cell r="I60">
            <v>40</v>
          </cell>
          <cell r="J60">
            <v>80</v>
          </cell>
          <cell r="K60">
            <v>8</v>
          </cell>
          <cell r="L60">
            <v>150</v>
          </cell>
          <cell r="M60">
            <v>0</v>
          </cell>
          <cell r="N60">
            <v>1200</v>
          </cell>
          <cell r="O60">
            <v>1</v>
          </cell>
          <cell r="P60">
            <v>0.27</v>
          </cell>
          <cell r="Q60">
            <v>1.4</v>
          </cell>
          <cell r="R60">
            <v>292.51278574636279</v>
          </cell>
          <cell r="S60">
            <v>1.9500852383090852</v>
          </cell>
          <cell r="T60">
            <v>1542.6</v>
          </cell>
          <cell r="U60">
            <v>10.283999999999999</v>
          </cell>
          <cell r="V60">
            <v>6170.4</v>
          </cell>
          <cell r="W60">
            <v>1156.95</v>
          </cell>
          <cell r="X60">
            <v>10798.2</v>
          </cell>
          <cell r="Y60">
            <v>971.83800000000008</v>
          </cell>
          <cell r="Z60">
            <v>259.15680000000003</v>
          </cell>
          <cell r="AA60">
            <v>2387.9448000000002</v>
          </cell>
          <cell r="AB60">
            <v>15.919632000000002</v>
          </cell>
        </row>
        <row r="61">
          <cell r="A61" t="str">
            <v>Fert Appl (Liquid)12R-30</v>
          </cell>
          <cell r="B61" t="str">
            <v>Fert Appl (Liquid)</v>
          </cell>
          <cell r="C61" t="str">
            <v>12R-30</v>
          </cell>
          <cell r="D61">
            <v>25</v>
          </cell>
          <cell r="E61">
            <v>6</v>
          </cell>
          <cell r="F61">
            <v>0.7</v>
          </cell>
          <cell r="G61">
            <v>7.857142857142857E-2</v>
          </cell>
          <cell r="H61">
            <v>15343</v>
          </cell>
          <cell r="I61">
            <v>40</v>
          </cell>
          <cell r="J61">
            <v>80</v>
          </cell>
          <cell r="K61">
            <v>8</v>
          </cell>
          <cell r="L61">
            <v>150</v>
          </cell>
          <cell r="M61">
            <v>0</v>
          </cell>
          <cell r="N61">
            <v>1200</v>
          </cell>
          <cell r="O61">
            <v>1</v>
          </cell>
          <cell r="P61">
            <v>0.27</v>
          </cell>
          <cell r="Q61">
            <v>1.4</v>
          </cell>
          <cell r="R61">
            <v>290.93891298498926</v>
          </cell>
          <cell r="S61">
            <v>1.9395927532332617</v>
          </cell>
          <cell r="T61">
            <v>1534.3</v>
          </cell>
          <cell r="U61">
            <v>10.228666666666667</v>
          </cell>
          <cell r="V61">
            <v>6137.2</v>
          </cell>
          <cell r="W61">
            <v>1150.7249999999999</v>
          </cell>
          <cell r="X61">
            <v>10740.1</v>
          </cell>
          <cell r="Y61">
            <v>966.60900000000004</v>
          </cell>
          <cell r="Z61">
            <v>257.76240000000001</v>
          </cell>
          <cell r="AA61">
            <v>2375.0963999999999</v>
          </cell>
          <cell r="AB61">
            <v>15.833976</v>
          </cell>
        </row>
        <row r="62">
          <cell r="A62" t="str">
            <v>Fert Appl (Liquid)12R-36</v>
          </cell>
          <cell r="B62" t="str">
            <v>Fert Appl (Liquid)</v>
          </cell>
          <cell r="C62" t="str">
            <v>12R-36</v>
          </cell>
          <cell r="D62">
            <v>36</v>
          </cell>
          <cell r="E62">
            <v>6</v>
          </cell>
          <cell r="F62">
            <v>0.7</v>
          </cell>
          <cell r="G62">
            <v>5.4563492063492064E-2</v>
          </cell>
          <cell r="H62">
            <v>16651</v>
          </cell>
          <cell r="I62">
            <v>40</v>
          </cell>
          <cell r="J62">
            <v>80</v>
          </cell>
          <cell r="K62">
            <v>8</v>
          </cell>
          <cell r="L62">
            <v>150</v>
          </cell>
          <cell r="M62">
            <v>0</v>
          </cell>
          <cell r="N62">
            <v>1200</v>
          </cell>
          <cell r="O62">
            <v>1</v>
          </cell>
          <cell r="P62">
            <v>0.27</v>
          </cell>
          <cell r="Q62">
            <v>1.4</v>
          </cell>
          <cell r="R62">
            <v>315.74163071844202</v>
          </cell>
          <cell r="S62">
            <v>2.1049442047896134</v>
          </cell>
          <cell r="T62">
            <v>1665.1</v>
          </cell>
          <cell r="U62">
            <v>11.100666666666665</v>
          </cell>
          <cell r="V62">
            <v>6660.4</v>
          </cell>
          <cell r="W62">
            <v>1248.825</v>
          </cell>
          <cell r="X62">
            <v>11655.7</v>
          </cell>
          <cell r="Y62">
            <v>1049.0129999999999</v>
          </cell>
          <cell r="Z62">
            <v>279.73680000000002</v>
          </cell>
          <cell r="AA62">
            <v>2577.5748000000003</v>
          </cell>
          <cell r="AB62">
            <v>17.183832000000002</v>
          </cell>
        </row>
        <row r="63">
          <cell r="A63" t="str">
            <v>Fert Appl (Liquid)4R-36</v>
          </cell>
          <cell r="B63" t="str">
            <v>Fert Appl (Liquid)</v>
          </cell>
          <cell r="C63" t="str">
            <v>4R-36</v>
          </cell>
          <cell r="D63">
            <v>12</v>
          </cell>
          <cell r="E63">
            <v>6</v>
          </cell>
          <cell r="F63">
            <v>0.7</v>
          </cell>
          <cell r="G63">
            <v>0.16369047619047619</v>
          </cell>
          <cell r="H63">
            <v>11665</v>
          </cell>
          <cell r="I63">
            <v>40</v>
          </cell>
          <cell r="J63">
            <v>80</v>
          </cell>
          <cell r="K63">
            <v>8</v>
          </cell>
          <cell r="L63">
            <v>150</v>
          </cell>
          <cell r="M63">
            <v>0</v>
          </cell>
          <cell r="N63">
            <v>1200</v>
          </cell>
          <cell r="O63">
            <v>1</v>
          </cell>
          <cell r="P63">
            <v>0.27</v>
          </cell>
          <cell r="Q63">
            <v>1.4</v>
          </cell>
          <cell r="R63">
            <v>221.19549110147295</v>
          </cell>
          <cell r="S63">
            <v>1.4746366073431529</v>
          </cell>
          <cell r="T63">
            <v>1166.5</v>
          </cell>
          <cell r="U63">
            <v>7.7766666666666664</v>
          </cell>
          <cell r="V63">
            <v>4666</v>
          </cell>
          <cell r="W63">
            <v>874.875</v>
          </cell>
          <cell r="X63">
            <v>8165.5</v>
          </cell>
          <cell r="Y63">
            <v>734.89499999999998</v>
          </cell>
          <cell r="Z63">
            <v>195.97200000000001</v>
          </cell>
          <cell r="AA63">
            <v>1805.742</v>
          </cell>
          <cell r="AB63">
            <v>12.03828</v>
          </cell>
        </row>
        <row r="64">
          <cell r="A64" t="str">
            <v>Fert Appl (Liquid)6R-30</v>
          </cell>
          <cell r="B64" t="str">
            <v>Fert Appl (Liquid)</v>
          </cell>
          <cell r="C64" t="str">
            <v>6R-30</v>
          </cell>
          <cell r="D64">
            <v>15</v>
          </cell>
          <cell r="E64">
            <v>6</v>
          </cell>
          <cell r="F64">
            <v>0.7</v>
          </cell>
          <cell r="G64">
            <v>0.13095238095238096</v>
          </cell>
          <cell r="H64">
            <v>13595</v>
          </cell>
          <cell r="I64">
            <v>40</v>
          </cell>
          <cell r="J64">
            <v>80</v>
          </cell>
          <cell r="K64">
            <v>8</v>
          </cell>
          <cell r="L64">
            <v>150</v>
          </cell>
          <cell r="M64">
            <v>0</v>
          </cell>
          <cell r="N64">
            <v>1200</v>
          </cell>
          <cell r="O64">
            <v>1</v>
          </cell>
          <cell r="P64">
            <v>0.27</v>
          </cell>
          <cell r="Q64">
            <v>1.4</v>
          </cell>
          <cell r="R64">
            <v>257.79277338401408</v>
          </cell>
          <cell r="S64">
            <v>1.7186184892267606</v>
          </cell>
          <cell r="T64">
            <v>1359.5</v>
          </cell>
          <cell r="U64">
            <v>9.0633333333333326</v>
          </cell>
          <cell r="V64">
            <v>5438</v>
          </cell>
          <cell r="W64">
            <v>1019.625</v>
          </cell>
          <cell r="X64">
            <v>9516.5</v>
          </cell>
          <cell r="Y64">
            <v>856.48500000000001</v>
          </cell>
          <cell r="Z64">
            <v>228.39600000000002</v>
          </cell>
          <cell r="AA64">
            <v>2104.5060000000003</v>
          </cell>
          <cell r="AB64">
            <v>14.030040000000001</v>
          </cell>
        </row>
        <row r="65">
          <cell r="A65" t="str">
            <v>Fert Appl (Liquid)6R-36</v>
          </cell>
          <cell r="B65" t="str">
            <v>Fert Appl (Liquid)</v>
          </cell>
          <cell r="C65" t="str">
            <v>6R-36</v>
          </cell>
          <cell r="D65">
            <v>18</v>
          </cell>
          <cell r="E65">
            <v>6</v>
          </cell>
          <cell r="F65">
            <v>0.7</v>
          </cell>
          <cell r="G65">
            <v>0.10912698412698413</v>
          </cell>
          <cell r="H65">
            <v>12006</v>
          </cell>
          <cell r="I65">
            <v>40</v>
          </cell>
          <cell r="J65">
            <v>80</v>
          </cell>
          <cell r="K65">
            <v>8</v>
          </cell>
          <cell r="L65">
            <v>150</v>
          </cell>
          <cell r="M65">
            <v>0</v>
          </cell>
          <cell r="N65">
            <v>1200</v>
          </cell>
          <cell r="O65">
            <v>1</v>
          </cell>
          <cell r="P65">
            <v>0.27</v>
          </cell>
          <cell r="Q65">
            <v>1.4</v>
          </cell>
          <cell r="R65">
            <v>227.66164304880277</v>
          </cell>
          <cell r="S65">
            <v>1.5177442869920186</v>
          </cell>
          <cell r="T65">
            <v>1200.5999999999999</v>
          </cell>
          <cell r="U65">
            <v>8.0039999999999996</v>
          </cell>
          <cell r="V65">
            <v>4802.3999999999996</v>
          </cell>
          <cell r="W65">
            <v>900.45</v>
          </cell>
          <cell r="X65">
            <v>8404.2000000000007</v>
          </cell>
          <cell r="Y65">
            <v>756.37800000000004</v>
          </cell>
          <cell r="Z65">
            <v>201.70080000000002</v>
          </cell>
          <cell r="AA65">
            <v>1858.5288</v>
          </cell>
          <cell r="AB65">
            <v>12.390192000000001</v>
          </cell>
        </row>
        <row r="66">
          <cell r="A66" t="str">
            <v>Fert Appl (Liquid)8R-30</v>
          </cell>
          <cell r="B66" t="str">
            <v>Fert Appl (Liquid)</v>
          </cell>
          <cell r="C66" t="str">
            <v>8R-30</v>
          </cell>
          <cell r="D66">
            <v>20</v>
          </cell>
          <cell r="E66">
            <v>6</v>
          </cell>
          <cell r="F66">
            <v>0.7</v>
          </cell>
          <cell r="G66">
            <v>9.8214285714285712E-2</v>
          </cell>
          <cell r="H66">
            <v>13372</v>
          </cell>
          <cell r="I66">
            <v>40</v>
          </cell>
          <cell r="J66">
            <v>80</v>
          </cell>
          <cell r="K66">
            <v>8</v>
          </cell>
          <cell r="L66">
            <v>150</v>
          </cell>
          <cell r="M66">
            <v>0</v>
          </cell>
          <cell r="N66">
            <v>1200</v>
          </cell>
          <cell r="O66">
            <v>1</v>
          </cell>
          <cell r="P66">
            <v>0.27</v>
          </cell>
          <cell r="Q66">
            <v>1.4</v>
          </cell>
          <cell r="R66">
            <v>253.56417548297438</v>
          </cell>
          <cell r="S66">
            <v>1.6904278365531624</v>
          </cell>
          <cell r="T66">
            <v>1337.2</v>
          </cell>
          <cell r="U66">
            <v>8.9146666666666672</v>
          </cell>
          <cell r="V66">
            <v>5348.8</v>
          </cell>
          <cell r="W66">
            <v>1002.9</v>
          </cell>
          <cell r="X66">
            <v>9360.4</v>
          </cell>
          <cell r="Y66">
            <v>842.43599999999992</v>
          </cell>
          <cell r="Z66">
            <v>224.64959999999999</v>
          </cell>
          <cell r="AA66">
            <v>2069.9856</v>
          </cell>
          <cell r="AB66">
            <v>13.799904</v>
          </cell>
        </row>
        <row r="67">
          <cell r="A67" t="str">
            <v>Fert Appl (Liquid)8R-36</v>
          </cell>
          <cell r="B67" t="str">
            <v>Fert Appl (Liquid)</v>
          </cell>
          <cell r="C67" t="str">
            <v>8R-36</v>
          </cell>
          <cell r="D67">
            <v>24</v>
          </cell>
          <cell r="E67">
            <v>6</v>
          </cell>
          <cell r="F67">
            <v>0.7</v>
          </cell>
          <cell r="G67">
            <v>8.1845238095238096E-2</v>
          </cell>
          <cell r="H67">
            <v>13483</v>
          </cell>
          <cell r="I67">
            <v>40</v>
          </cell>
          <cell r="J67">
            <v>80</v>
          </cell>
          <cell r="K67">
            <v>8</v>
          </cell>
          <cell r="L67">
            <v>150</v>
          </cell>
          <cell r="M67">
            <v>0</v>
          </cell>
          <cell r="N67">
            <v>1200</v>
          </cell>
          <cell r="O67">
            <v>1</v>
          </cell>
          <cell r="P67">
            <v>0.27</v>
          </cell>
          <cell r="Q67">
            <v>1.4</v>
          </cell>
          <cell r="R67">
            <v>255.66899327228117</v>
          </cell>
          <cell r="S67">
            <v>1.7044599551485411</v>
          </cell>
          <cell r="T67">
            <v>1348.3</v>
          </cell>
          <cell r="U67">
            <v>8.988666666666667</v>
          </cell>
          <cell r="V67">
            <v>5393.2</v>
          </cell>
          <cell r="W67">
            <v>1011.225</v>
          </cell>
          <cell r="X67">
            <v>9438.1</v>
          </cell>
          <cell r="Y67">
            <v>849.42899999999997</v>
          </cell>
          <cell r="Z67">
            <v>226.51440000000002</v>
          </cell>
          <cell r="AA67">
            <v>2087.1684</v>
          </cell>
          <cell r="AB67">
            <v>13.914455999999999</v>
          </cell>
        </row>
        <row r="68">
          <cell r="A68" t="str">
            <v>Fert Appl (Liquid)8R-40 2x1</v>
          </cell>
          <cell r="B68" t="str">
            <v>Fert Appl (Liquid)</v>
          </cell>
          <cell r="C68" t="str">
            <v>8R-40 2x1</v>
          </cell>
          <cell r="D68">
            <v>40</v>
          </cell>
          <cell r="E68">
            <v>6</v>
          </cell>
          <cell r="F68">
            <v>0.7</v>
          </cell>
          <cell r="G68">
            <v>4.9107142857142856E-2</v>
          </cell>
          <cell r="H68">
            <v>16651</v>
          </cell>
          <cell r="I68">
            <v>40</v>
          </cell>
          <cell r="J68">
            <v>80</v>
          </cell>
          <cell r="K68">
            <v>8</v>
          </cell>
          <cell r="L68">
            <v>150</v>
          </cell>
          <cell r="M68">
            <v>0</v>
          </cell>
          <cell r="N68">
            <v>1200</v>
          </cell>
          <cell r="O68">
            <v>1</v>
          </cell>
          <cell r="P68">
            <v>0.27</v>
          </cell>
          <cell r="Q68">
            <v>1.4</v>
          </cell>
          <cell r="R68">
            <v>315.74163071844202</v>
          </cell>
          <cell r="S68">
            <v>2.1049442047896134</v>
          </cell>
          <cell r="T68">
            <v>1665.1</v>
          </cell>
          <cell r="U68">
            <v>11.100666666666665</v>
          </cell>
          <cell r="V68">
            <v>6660.4</v>
          </cell>
          <cell r="W68">
            <v>1248.825</v>
          </cell>
          <cell r="X68">
            <v>11655.7</v>
          </cell>
          <cell r="Y68">
            <v>1049.0129999999999</v>
          </cell>
          <cell r="Z68">
            <v>279.73680000000002</v>
          </cell>
          <cell r="AA68">
            <v>2577.5748000000003</v>
          </cell>
          <cell r="AB68">
            <v>17.183832000000002</v>
          </cell>
        </row>
        <row r="69">
          <cell r="A69" t="str">
            <v>Field Cult &amp; Inc12'</v>
          </cell>
          <cell r="B69" t="str">
            <v>Field Cult &amp; Inc</v>
          </cell>
          <cell r="C69" t="str">
            <v>12'</v>
          </cell>
          <cell r="D69">
            <v>12</v>
          </cell>
          <cell r="E69">
            <v>6.5</v>
          </cell>
          <cell r="F69">
            <v>0.85</v>
          </cell>
          <cell r="G69">
            <v>0.12443438914027148</v>
          </cell>
          <cell r="H69">
            <v>11903</v>
          </cell>
          <cell r="I69">
            <v>30</v>
          </cell>
          <cell r="J69">
            <v>25</v>
          </cell>
          <cell r="K69">
            <v>10</v>
          </cell>
          <cell r="L69">
            <v>100</v>
          </cell>
          <cell r="M69">
            <v>0</v>
          </cell>
          <cell r="N69">
            <v>1000</v>
          </cell>
          <cell r="O69">
            <v>1</v>
          </cell>
          <cell r="P69">
            <v>0.27</v>
          </cell>
          <cell r="Q69">
            <v>1.4</v>
          </cell>
          <cell r="R69">
            <v>127.94408057965359</v>
          </cell>
          <cell r="S69">
            <v>1.2794408057965359</v>
          </cell>
          <cell r="T69">
            <v>297.57499999999999</v>
          </cell>
          <cell r="U69">
            <v>2.9757499999999997</v>
          </cell>
          <cell r="V69">
            <v>3570.9</v>
          </cell>
          <cell r="W69">
            <v>833.21</v>
          </cell>
          <cell r="X69">
            <v>7736.95</v>
          </cell>
          <cell r="Y69">
            <v>696.32549999999992</v>
          </cell>
          <cell r="Z69">
            <v>185.68680000000001</v>
          </cell>
          <cell r="AA69">
            <v>1715.2222999999999</v>
          </cell>
          <cell r="AB69">
            <v>17.152222999999999</v>
          </cell>
        </row>
        <row r="70">
          <cell r="A70" t="str">
            <v>Field Cult &amp; Inc24'</v>
          </cell>
          <cell r="B70" t="str">
            <v>Field Cult &amp; Inc</v>
          </cell>
          <cell r="C70" t="str">
            <v>24'</v>
          </cell>
          <cell r="D70">
            <v>24</v>
          </cell>
          <cell r="E70">
            <v>6.5</v>
          </cell>
          <cell r="F70">
            <v>0.85</v>
          </cell>
          <cell r="G70">
            <v>6.2217194570135741E-2</v>
          </cell>
          <cell r="H70">
            <v>23242</v>
          </cell>
          <cell r="I70">
            <v>30</v>
          </cell>
          <cell r="J70">
            <v>25</v>
          </cell>
          <cell r="K70">
            <v>10</v>
          </cell>
          <cell r="L70">
            <v>100</v>
          </cell>
          <cell r="M70">
            <v>0</v>
          </cell>
          <cell r="N70">
            <v>1000</v>
          </cell>
          <cell r="O70">
            <v>1</v>
          </cell>
          <cell r="P70">
            <v>0.27</v>
          </cell>
          <cell r="Q70">
            <v>1.4</v>
          </cell>
          <cell r="R70">
            <v>249.82578516611849</v>
          </cell>
          <cell r="S70">
            <v>2.4982578516611849</v>
          </cell>
          <cell r="T70">
            <v>581.04999999999995</v>
          </cell>
          <cell r="U70">
            <v>5.8104999999999993</v>
          </cell>
          <cell r="V70">
            <v>6972.6</v>
          </cell>
          <cell r="W70">
            <v>1626.94</v>
          </cell>
          <cell r="X70">
            <v>15107.3</v>
          </cell>
          <cell r="Y70">
            <v>1359.6569999999999</v>
          </cell>
          <cell r="Z70">
            <v>362.5752</v>
          </cell>
          <cell r="AA70">
            <v>3349.1722</v>
          </cell>
          <cell r="AB70">
            <v>33.491722000000003</v>
          </cell>
        </row>
        <row r="71">
          <cell r="A71" t="str">
            <v>Field Cult &amp; Inc32'</v>
          </cell>
          <cell r="B71" t="str">
            <v>Field Cult &amp; Inc</v>
          </cell>
          <cell r="C71" t="str">
            <v>32'</v>
          </cell>
          <cell r="D71">
            <v>32</v>
          </cell>
          <cell r="E71">
            <v>6.5</v>
          </cell>
          <cell r="F71">
            <v>0.85</v>
          </cell>
          <cell r="G71">
            <v>4.6662895927601811E-2</v>
          </cell>
          <cell r="H71">
            <v>31960</v>
          </cell>
          <cell r="I71">
            <v>30</v>
          </cell>
          <cell r="J71">
            <v>25</v>
          </cell>
          <cell r="K71">
            <v>10</v>
          </cell>
          <cell r="L71">
            <v>100</v>
          </cell>
          <cell r="M71">
            <v>0</v>
          </cell>
          <cell r="N71">
            <v>1000</v>
          </cell>
          <cell r="O71">
            <v>1</v>
          </cell>
          <cell r="P71">
            <v>0.27</v>
          </cell>
          <cell r="Q71">
            <v>1.4</v>
          </cell>
          <cell r="R71">
            <v>343.53463961402406</v>
          </cell>
          <cell r="S71">
            <v>3.4353463961402406</v>
          </cell>
          <cell r="T71">
            <v>799</v>
          </cell>
          <cell r="U71">
            <v>7.99</v>
          </cell>
          <cell r="V71">
            <v>9588</v>
          </cell>
          <cell r="W71">
            <v>2237.1999999999998</v>
          </cell>
          <cell r="X71">
            <v>20774</v>
          </cell>
          <cell r="Y71">
            <v>1869.6599999999999</v>
          </cell>
          <cell r="Z71">
            <v>498.57600000000002</v>
          </cell>
          <cell r="AA71">
            <v>4605.4359999999997</v>
          </cell>
          <cell r="AB71">
            <v>46.054359999999996</v>
          </cell>
        </row>
        <row r="72">
          <cell r="A72" t="str">
            <v>Field Cult &amp; Inc42'</v>
          </cell>
          <cell r="B72" t="str">
            <v>Field Cult &amp; Inc</v>
          </cell>
          <cell r="C72" t="str">
            <v>42'</v>
          </cell>
          <cell r="D72">
            <v>42</v>
          </cell>
          <cell r="E72">
            <v>6.5</v>
          </cell>
          <cell r="F72">
            <v>0.85</v>
          </cell>
          <cell r="G72">
            <v>3.555268261150614E-2</v>
          </cell>
          <cell r="H72">
            <v>40908</v>
          </cell>
          <cell r="I72">
            <v>30</v>
          </cell>
          <cell r="J72">
            <v>25</v>
          </cell>
          <cell r="K72">
            <v>10</v>
          </cell>
          <cell r="L72">
            <v>100</v>
          </cell>
          <cell r="M72">
            <v>0</v>
          </cell>
          <cell r="N72">
            <v>1000</v>
          </cell>
          <cell r="O72">
            <v>1</v>
          </cell>
          <cell r="P72">
            <v>0.27</v>
          </cell>
          <cell r="Q72">
            <v>1.4</v>
          </cell>
          <cell r="R72">
            <v>439.71573959106684</v>
          </cell>
          <cell r="S72">
            <v>4.3971573959106687</v>
          </cell>
          <cell r="T72">
            <v>1022.7</v>
          </cell>
          <cell r="U72">
            <v>10.227</v>
          </cell>
          <cell r="V72">
            <v>12272.4</v>
          </cell>
          <cell r="W72">
            <v>2863.56</v>
          </cell>
          <cell r="X72">
            <v>26590.2</v>
          </cell>
          <cell r="Y72">
            <v>2393.1179999999999</v>
          </cell>
          <cell r="Z72">
            <v>638.16480000000001</v>
          </cell>
          <cell r="AA72">
            <v>5894.8428000000004</v>
          </cell>
          <cell r="AB72">
            <v>58.948428000000007</v>
          </cell>
        </row>
        <row r="73">
          <cell r="A73" t="str">
            <v>Field Cultivate12'</v>
          </cell>
          <cell r="B73" t="str">
            <v>Field Cultivate</v>
          </cell>
          <cell r="C73" t="str">
            <v>12'</v>
          </cell>
          <cell r="D73">
            <v>12</v>
          </cell>
          <cell r="E73">
            <v>6.5</v>
          </cell>
          <cell r="F73">
            <v>0.85</v>
          </cell>
          <cell r="G73">
            <v>0.12443438914027148</v>
          </cell>
          <cell r="H73">
            <v>6534</v>
          </cell>
          <cell r="I73">
            <v>30</v>
          </cell>
          <cell r="J73">
            <v>25</v>
          </cell>
          <cell r="K73">
            <v>10</v>
          </cell>
          <cell r="L73">
            <v>100</v>
          </cell>
          <cell r="M73">
            <v>0</v>
          </cell>
          <cell r="N73">
            <v>1000</v>
          </cell>
          <cell r="O73">
            <v>1</v>
          </cell>
          <cell r="P73">
            <v>0.27</v>
          </cell>
          <cell r="Q73">
            <v>1.4</v>
          </cell>
          <cell r="R73">
            <v>70.233270814706927</v>
          </cell>
          <cell r="S73">
            <v>0.70233270814706927</v>
          </cell>
          <cell r="T73">
            <v>163.35</v>
          </cell>
          <cell r="U73">
            <v>1.6335</v>
          </cell>
          <cell r="V73">
            <v>1960.2</v>
          </cell>
          <cell r="W73">
            <v>457.38</v>
          </cell>
          <cell r="X73">
            <v>4247.1000000000004</v>
          </cell>
          <cell r="Y73">
            <v>382.23900000000003</v>
          </cell>
          <cell r="Z73">
            <v>101.93040000000001</v>
          </cell>
          <cell r="AA73">
            <v>941.54940000000011</v>
          </cell>
          <cell r="AB73">
            <v>9.4154940000000007</v>
          </cell>
        </row>
        <row r="74">
          <cell r="A74" t="str">
            <v>Field Cultivate24'</v>
          </cell>
          <cell r="B74" t="str">
            <v>Field Cultivate</v>
          </cell>
          <cell r="C74" t="str">
            <v>24'</v>
          </cell>
          <cell r="D74">
            <v>24</v>
          </cell>
          <cell r="E74">
            <v>6.5</v>
          </cell>
          <cell r="F74">
            <v>0.85</v>
          </cell>
          <cell r="G74">
            <v>6.2217194570135741E-2</v>
          </cell>
          <cell r="H74">
            <v>17873</v>
          </cell>
          <cell r="I74">
            <v>30</v>
          </cell>
          <cell r="J74">
            <v>25</v>
          </cell>
          <cell r="K74">
            <v>10</v>
          </cell>
          <cell r="L74">
            <v>100</v>
          </cell>
          <cell r="M74">
            <v>0</v>
          </cell>
          <cell r="N74">
            <v>1000</v>
          </cell>
          <cell r="O74">
            <v>1</v>
          </cell>
          <cell r="P74">
            <v>0.27</v>
          </cell>
          <cell r="Q74">
            <v>1.4</v>
          </cell>
          <cell r="R74">
            <v>192.11497540117185</v>
          </cell>
          <cell r="S74">
            <v>1.9211497540117184</v>
          </cell>
          <cell r="T74">
            <v>446.82499999999999</v>
          </cell>
          <cell r="U74">
            <v>4.4682500000000003</v>
          </cell>
          <cell r="V74">
            <v>5361.9</v>
          </cell>
          <cell r="W74">
            <v>1251.1100000000001</v>
          </cell>
          <cell r="X74">
            <v>11617.45</v>
          </cell>
          <cell r="Y74">
            <v>1045.5705</v>
          </cell>
          <cell r="Z74">
            <v>278.81880000000001</v>
          </cell>
          <cell r="AA74">
            <v>2575.4993000000004</v>
          </cell>
          <cell r="AB74">
            <v>25.754993000000002</v>
          </cell>
        </row>
        <row r="75">
          <cell r="A75" t="str">
            <v>Field Cultivate32'</v>
          </cell>
          <cell r="B75" t="str">
            <v>Field Cultivate</v>
          </cell>
          <cell r="C75" t="str">
            <v>32'</v>
          </cell>
          <cell r="D75">
            <v>32</v>
          </cell>
          <cell r="E75">
            <v>6.5</v>
          </cell>
          <cell r="F75">
            <v>0.85</v>
          </cell>
          <cell r="G75">
            <v>4.6662895927601811E-2</v>
          </cell>
          <cell r="H75">
            <v>26591</v>
          </cell>
          <cell r="I75">
            <v>30</v>
          </cell>
          <cell r="J75">
            <v>25</v>
          </cell>
          <cell r="K75">
            <v>10</v>
          </cell>
          <cell r="L75">
            <v>100</v>
          </cell>
          <cell r="M75">
            <v>0</v>
          </cell>
          <cell r="N75">
            <v>1000</v>
          </cell>
          <cell r="O75">
            <v>1</v>
          </cell>
          <cell r="P75">
            <v>0.27</v>
          </cell>
          <cell r="Q75">
            <v>1.4</v>
          </cell>
          <cell r="R75">
            <v>285.82382984907741</v>
          </cell>
          <cell r="S75">
            <v>2.8582382984907739</v>
          </cell>
          <cell r="T75">
            <v>664.77499999999998</v>
          </cell>
          <cell r="U75">
            <v>6.6477499999999994</v>
          </cell>
          <cell r="V75">
            <v>7977.3</v>
          </cell>
          <cell r="W75">
            <v>1861.3700000000001</v>
          </cell>
          <cell r="X75">
            <v>17284.150000000001</v>
          </cell>
          <cell r="Y75">
            <v>1555.5735</v>
          </cell>
          <cell r="Z75">
            <v>414.81960000000004</v>
          </cell>
          <cell r="AA75">
            <v>3831.7631000000001</v>
          </cell>
          <cell r="AB75">
            <v>38.317630999999999</v>
          </cell>
        </row>
        <row r="76">
          <cell r="A76" t="str">
            <v>Field Cultivate42'</v>
          </cell>
          <cell r="B76" t="str">
            <v>Field Cultivate</v>
          </cell>
          <cell r="C76" t="str">
            <v>42'</v>
          </cell>
          <cell r="D76">
            <v>42</v>
          </cell>
          <cell r="E76">
            <v>6.5</v>
          </cell>
          <cell r="F76">
            <v>0.85</v>
          </cell>
          <cell r="G76">
            <v>3.555268261150614E-2</v>
          </cell>
          <cell r="H76">
            <v>35335</v>
          </cell>
          <cell r="I76">
            <v>30</v>
          </cell>
          <cell r="J76">
            <v>25</v>
          </cell>
          <cell r="K76">
            <v>10</v>
          </cell>
          <cell r="L76">
            <v>100</v>
          </cell>
          <cell r="M76">
            <v>0</v>
          </cell>
          <cell r="N76">
            <v>1000</v>
          </cell>
          <cell r="O76">
            <v>1</v>
          </cell>
          <cell r="P76">
            <v>0.27</v>
          </cell>
          <cell r="Q76">
            <v>1.4</v>
          </cell>
          <cell r="R76">
            <v>379.81215553071155</v>
          </cell>
          <cell r="S76">
            <v>3.7981215553071155</v>
          </cell>
          <cell r="T76">
            <v>883.375</v>
          </cell>
          <cell r="U76">
            <v>8.8337500000000002</v>
          </cell>
          <cell r="V76">
            <v>10600.5</v>
          </cell>
          <cell r="W76">
            <v>2473.4499999999998</v>
          </cell>
          <cell r="X76">
            <v>22967.75</v>
          </cell>
          <cell r="Y76">
            <v>2067.0974999999999</v>
          </cell>
          <cell r="Z76">
            <v>551.226</v>
          </cell>
          <cell r="AA76">
            <v>5091.7734999999993</v>
          </cell>
          <cell r="AB76">
            <v>50.917734999999993</v>
          </cell>
        </row>
        <row r="77">
          <cell r="A77" t="str">
            <v>Field Cultivate50'</v>
          </cell>
          <cell r="B77" t="str">
            <v>Field Cultivate</v>
          </cell>
          <cell r="C77" t="str">
            <v>50'</v>
          </cell>
          <cell r="D77">
            <v>50</v>
          </cell>
          <cell r="E77">
            <v>6.5</v>
          </cell>
          <cell r="F77">
            <v>0.85</v>
          </cell>
          <cell r="G77">
            <v>2.986425339366516E-2</v>
          </cell>
          <cell r="H77">
            <v>40929</v>
          </cell>
          <cell r="I77">
            <v>30</v>
          </cell>
          <cell r="J77">
            <v>25</v>
          </cell>
          <cell r="K77">
            <v>10</v>
          </cell>
          <cell r="L77">
            <v>100</v>
          </cell>
          <cell r="M77">
            <v>0</v>
          </cell>
          <cell r="N77">
            <v>1000</v>
          </cell>
          <cell r="O77">
            <v>1</v>
          </cell>
          <cell r="P77">
            <v>0.27</v>
          </cell>
          <cell r="Q77">
            <v>1.4</v>
          </cell>
          <cell r="R77">
            <v>439.94146635677066</v>
          </cell>
          <cell r="S77">
            <v>4.3994146635677067</v>
          </cell>
          <cell r="T77">
            <v>1023.225</v>
          </cell>
          <cell r="U77">
            <v>10.232250000000001</v>
          </cell>
          <cell r="V77">
            <v>12278.7</v>
          </cell>
          <cell r="W77">
            <v>2865.0299999999997</v>
          </cell>
          <cell r="X77">
            <v>26603.85</v>
          </cell>
          <cell r="Y77">
            <v>2394.3464999999997</v>
          </cell>
          <cell r="Z77">
            <v>638.49239999999998</v>
          </cell>
          <cell r="AA77">
            <v>5897.8688999999995</v>
          </cell>
          <cell r="AB77">
            <v>58.978688999999996</v>
          </cell>
        </row>
        <row r="78">
          <cell r="A78" t="str">
            <v>Grain Drill &amp; Pre12'</v>
          </cell>
          <cell r="B78" t="str">
            <v>Grain Drill &amp; Pre</v>
          </cell>
          <cell r="C78" t="str">
            <v>12'</v>
          </cell>
          <cell r="D78">
            <v>12</v>
          </cell>
          <cell r="E78">
            <v>6.25</v>
          </cell>
          <cell r="F78">
            <v>0.7</v>
          </cell>
          <cell r="G78">
            <v>0.15714285714285714</v>
          </cell>
          <cell r="H78">
            <v>19526</v>
          </cell>
          <cell r="I78">
            <v>45</v>
          </cell>
          <cell r="J78">
            <v>45</v>
          </cell>
          <cell r="K78">
            <v>8</v>
          </cell>
          <cell r="L78">
            <v>150</v>
          </cell>
          <cell r="M78">
            <v>0</v>
          </cell>
          <cell r="N78">
            <v>1200</v>
          </cell>
          <cell r="O78">
            <v>1</v>
          </cell>
          <cell r="P78">
            <v>0.27</v>
          </cell>
          <cell r="Q78">
            <v>1.4</v>
          </cell>
          <cell r="R78">
            <v>370.25830769373005</v>
          </cell>
          <cell r="S78">
            <v>2.4683887179582005</v>
          </cell>
          <cell r="T78">
            <v>1098.3375000000001</v>
          </cell>
          <cell r="U78">
            <v>7.3222500000000004</v>
          </cell>
          <cell r="V78">
            <v>8786.7000000000007</v>
          </cell>
          <cell r="W78">
            <v>1342.4124999999999</v>
          </cell>
          <cell r="X78">
            <v>14156.35</v>
          </cell>
          <cell r="Y78">
            <v>1274.0715</v>
          </cell>
          <cell r="Z78">
            <v>339.75240000000002</v>
          </cell>
          <cell r="AA78">
            <v>2956.2363999999998</v>
          </cell>
          <cell r="AB78">
            <v>19.708242666666663</v>
          </cell>
        </row>
        <row r="79">
          <cell r="A79" t="str">
            <v>Grain Drill &amp; Pre15'</v>
          </cell>
          <cell r="B79" t="str">
            <v>Grain Drill &amp; Pre</v>
          </cell>
          <cell r="C79" t="str">
            <v>15'</v>
          </cell>
          <cell r="D79">
            <v>15</v>
          </cell>
          <cell r="E79">
            <v>6.25</v>
          </cell>
          <cell r="F79">
            <v>0.7</v>
          </cell>
          <cell r="G79">
            <v>0.12571428571428572</v>
          </cell>
          <cell r="H79">
            <v>29836</v>
          </cell>
          <cell r="I79">
            <v>45</v>
          </cell>
          <cell r="J79">
            <v>45</v>
          </cell>
          <cell r="K79">
            <v>8</v>
          </cell>
          <cell r="L79">
            <v>150</v>
          </cell>
          <cell r="M79">
            <v>0</v>
          </cell>
          <cell r="N79">
            <v>1200</v>
          </cell>
          <cell r="O79">
            <v>1</v>
          </cell>
          <cell r="P79">
            <v>0.27</v>
          </cell>
          <cell r="Q79">
            <v>1.4</v>
          </cell>
          <cell r="R79">
            <v>565.75985190771939</v>
          </cell>
          <cell r="S79">
            <v>3.7717323460514627</v>
          </cell>
          <cell r="T79">
            <v>1678.2750000000001</v>
          </cell>
          <cell r="U79">
            <v>11.188500000000001</v>
          </cell>
          <cell r="V79">
            <v>13426.2</v>
          </cell>
          <cell r="W79">
            <v>2051.2249999999999</v>
          </cell>
          <cell r="X79">
            <v>21631.1</v>
          </cell>
          <cell r="Y79">
            <v>1946.7989999999998</v>
          </cell>
          <cell r="Z79">
            <v>519.14639999999997</v>
          </cell>
          <cell r="AA79">
            <v>4517.1703999999991</v>
          </cell>
          <cell r="AB79">
            <v>30.114469333333329</v>
          </cell>
        </row>
        <row r="80">
          <cell r="A80" t="str">
            <v>Grain Drill &amp; Pre20'</v>
          </cell>
          <cell r="B80" t="str">
            <v>Grain Drill &amp; Pre</v>
          </cell>
          <cell r="C80" t="str">
            <v>20'</v>
          </cell>
          <cell r="D80">
            <v>20</v>
          </cell>
          <cell r="E80">
            <v>6.25</v>
          </cell>
          <cell r="F80">
            <v>0.7</v>
          </cell>
          <cell r="G80">
            <v>9.4285714285714292E-2</v>
          </cell>
          <cell r="H80">
            <v>36913</v>
          </cell>
          <cell r="I80">
            <v>45</v>
          </cell>
          <cell r="J80">
            <v>45</v>
          </cell>
          <cell r="K80">
            <v>8</v>
          </cell>
          <cell r="L80">
            <v>150</v>
          </cell>
          <cell r="M80">
            <v>0</v>
          </cell>
          <cell r="N80">
            <v>1200</v>
          </cell>
          <cell r="O80">
            <v>1</v>
          </cell>
          <cell r="P80">
            <v>0.27</v>
          </cell>
          <cell r="Q80">
            <v>1.4</v>
          </cell>
          <cell r="R80">
            <v>699.9562077178457</v>
          </cell>
          <cell r="S80">
            <v>4.6663747181189716</v>
          </cell>
          <cell r="T80">
            <v>2076.3562499999998</v>
          </cell>
          <cell r="U80">
            <v>13.842374999999999</v>
          </cell>
          <cell r="V80">
            <v>16610.849999999999</v>
          </cell>
          <cell r="W80">
            <v>2537.7687500000002</v>
          </cell>
          <cell r="X80">
            <v>26761.924999999999</v>
          </cell>
          <cell r="Y80">
            <v>2408.5732499999999</v>
          </cell>
          <cell r="Z80">
            <v>642.28620000000001</v>
          </cell>
          <cell r="AA80">
            <v>5588.6282000000001</v>
          </cell>
          <cell r="AB80">
            <v>37.257521333333337</v>
          </cell>
        </row>
        <row r="81">
          <cell r="A81" t="str">
            <v>Grain Drill &amp; Pre24'</v>
          </cell>
          <cell r="B81" t="str">
            <v>Grain Drill &amp; Pre</v>
          </cell>
          <cell r="C81" t="str">
            <v>24'</v>
          </cell>
          <cell r="D81">
            <v>24</v>
          </cell>
          <cell r="E81">
            <v>6.25</v>
          </cell>
          <cell r="F81">
            <v>0.7</v>
          </cell>
          <cell r="G81">
            <v>7.857142857142857E-2</v>
          </cell>
          <cell r="H81">
            <v>41418</v>
          </cell>
          <cell r="I81">
            <v>45</v>
          </cell>
          <cell r="J81">
            <v>45</v>
          </cell>
          <cell r="K81">
            <v>8</v>
          </cell>
          <cell r="L81">
            <v>150</v>
          </cell>
          <cell r="M81">
            <v>0</v>
          </cell>
          <cell r="N81">
            <v>1200</v>
          </cell>
          <cell r="O81">
            <v>1</v>
          </cell>
          <cell r="P81">
            <v>0.27</v>
          </cell>
          <cell r="Q81">
            <v>1.4</v>
          </cell>
          <cell r="R81">
            <v>785.38147024781881</v>
          </cell>
          <cell r="S81">
            <v>5.2358764683187919</v>
          </cell>
          <cell r="T81">
            <v>2329.7624999999998</v>
          </cell>
          <cell r="U81">
            <v>15.531749999999999</v>
          </cell>
          <cell r="V81">
            <v>18638.099999999999</v>
          </cell>
          <cell r="W81">
            <v>2847.4875000000002</v>
          </cell>
          <cell r="X81">
            <v>30028.05</v>
          </cell>
          <cell r="Y81">
            <v>2702.5245</v>
          </cell>
          <cell r="Z81">
            <v>720.67319999999995</v>
          </cell>
          <cell r="AA81">
            <v>6270.6851999999999</v>
          </cell>
          <cell r="AB81">
            <v>41.804567999999996</v>
          </cell>
        </row>
        <row r="82">
          <cell r="A82" t="str">
            <v>Grain Drill &amp; Pre30'</v>
          </cell>
          <cell r="B82" t="str">
            <v>Grain Drill &amp; Pre</v>
          </cell>
          <cell r="C82" t="str">
            <v>30'</v>
          </cell>
          <cell r="D82">
            <v>30</v>
          </cell>
          <cell r="E82">
            <v>6.25</v>
          </cell>
          <cell r="F82">
            <v>0.7</v>
          </cell>
          <cell r="G82">
            <v>6.2857142857142861E-2</v>
          </cell>
          <cell r="H82">
            <v>48097</v>
          </cell>
          <cell r="I82">
            <v>45</v>
          </cell>
          <cell r="J82">
            <v>45</v>
          </cell>
          <cell r="K82">
            <v>8</v>
          </cell>
          <cell r="L82">
            <v>150</v>
          </cell>
          <cell r="M82">
            <v>0</v>
          </cell>
          <cell r="N82">
            <v>1200</v>
          </cell>
          <cell r="O82">
            <v>1</v>
          </cell>
          <cell r="P82">
            <v>0.27</v>
          </cell>
          <cell r="Q82">
            <v>1.4</v>
          </cell>
          <cell r="R82">
            <v>912.03082173232269</v>
          </cell>
          <cell r="S82">
            <v>6.0802054782154844</v>
          </cell>
          <cell r="T82">
            <v>2705.4562500000002</v>
          </cell>
          <cell r="U82">
            <v>18.036375</v>
          </cell>
          <cell r="V82">
            <v>21643.65</v>
          </cell>
          <cell r="W82">
            <v>3306.6687499999998</v>
          </cell>
          <cell r="X82">
            <v>34870.324999999997</v>
          </cell>
          <cell r="Y82">
            <v>3138.3292499999998</v>
          </cell>
          <cell r="Z82">
            <v>836.88779999999997</v>
          </cell>
          <cell r="AA82">
            <v>7281.8858</v>
          </cell>
          <cell r="AB82">
            <v>48.54590533333333</v>
          </cell>
        </row>
        <row r="83">
          <cell r="A83" t="str">
            <v>Grain Drill12'</v>
          </cell>
          <cell r="B83" t="str">
            <v>Grain Drill</v>
          </cell>
          <cell r="C83" t="str">
            <v>12'</v>
          </cell>
          <cell r="D83">
            <v>12</v>
          </cell>
          <cell r="E83">
            <v>6.25</v>
          </cell>
          <cell r="F83">
            <v>0.7</v>
          </cell>
          <cell r="G83">
            <v>0.15714285714285714</v>
          </cell>
          <cell r="H83">
            <v>14157</v>
          </cell>
          <cell r="I83">
            <v>45</v>
          </cell>
          <cell r="J83">
            <v>45</v>
          </cell>
          <cell r="K83">
            <v>8</v>
          </cell>
          <cell r="L83">
            <v>150</v>
          </cell>
          <cell r="M83">
            <v>0</v>
          </cell>
          <cell r="N83">
            <v>1200</v>
          </cell>
          <cell r="O83">
            <v>1</v>
          </cell>
          <cell r="P83">
            <v>0.27</v>
          </cell>
          <cell r="Q83">
            <v>1.4</v>
          </cell>
          <cell r="R83">
            <v>268.44959858753128</v>
          </cell>
          <cell r="S83">
            <v>1.7896639905835419</v>
          </cell>
          <cell r="T83">
            <v>796.33124999999995</v>
          </cell>
          <cell r="U83">
            <v>5.3088749999999996</v>
          </cell>
          <cell r="V83">
            <v>6370.65</v>
          </cell>
          <cell r="W83">
            <v>973.29375000000005</v>
          </cell>
          <cell r="X83">
            <v>10263.825000000001</v>
          </cell>
          <cell r="Y83">
            <v>923.74425000000008</v>
          </cell>
          <cell r="Z83">
            <v>246.33180000000002</v>
          </cell>
          <cell r="AA83">
            <v>2143.3698000000004</v>
          </cell>
          <cell r="AB83">
            <v>14.289132000000002</v>
          </cell>
        </row>
        <row r="84">
          <cell r="A84" t="str">
            <v>Grain Drill15'</v>
          </cell>
          <cell r="B84" t="str">
            <v>Grain Drill</v>
          </cell>
          <cell r="C84" t="str">
            <v>15'</v>
          </cell>
          <cell r="D84">
            <v>15</v>
          </cell>
          <cell r="E84">
            <v>6.25</v>
          </cell>
          <cell r="F84">
            <v>0.7</v>
          </cell>
          <cell r="G84">
            <v>0.12571428571428572</v>
          </cell>
          <cell r="H84">
            <v>24467</v>
          </cell>
          <cell r="I84">
            <v>45</v>
          </cell>
          <cell r="J84">
            <v>45</v>
          </cell>
          <cell r="K84">
            <v>8</v>
          </cell>
          <cell r="L84">
            <v>150</v>
          </cell>
          <cell r="M84">
            <v>0</v>
          </cell>
          <cell r="N84">
            <v>1200</v>
          </cell>
          <cell r="O84">
            <v>1</v>
          </cell>
          <cell r="P84">
            <v>0.27</v>
          </cell>
          <cell r="Q84">
            <v>1.4</v>
          </cell>
          <cell r="R84">
            <v>463.95114280152063</v>
          </cell>
          <cell r="S84">
            <v>3.0930076186768041</v>
          </cell>
          <cell r="T84">
            <v>1376.26875</v>
          </cell>
          <cell r="U84">
            <v>9.1751249999999995</v>
          </cell>
          <cell r="V84">
            <v>11010.15</v>
          </cell>
          <cell r="W84">
            <v>1682.10625</v>
          </cell>
          <cell r="X84">
            <v>17738.575000000001</v>
          </cell>
          <cell r="Y84">
            <v>1596.4717499999999</v>
          </cell>
          <cell r="Z84">
            <v>425.72580000000005</v>
          </cell>
          <cell r="AA84">
            <v>3704.3037999999997</v>
          </cell>
          <cell r="AB84">
            <v>24.695358666666664</v>
          </cell>
        </row>
        <row r="85">
          <cell r="A85" t="str">
            <v>Grain Drill20'</v>
          </cell>
          <cell r="B85" t="str">
            <v>Grain Drill</v>
          </cell>
          <cell r="C85" t="str">
            <v>20'</v>
          </cell>
          <cell r="D85">
            <v>20</v>
          </cell>
          <cell r="E85">
            <v>6.25</v>
          </cell>
          <cell r="F85">
            <v>0.7</v>
          </cell>
          <cell r="G85">
            <v>9.4285714285714292E-2</v>
          </cell>
          <cell r="H85">
            <v>31543</v>
          </cell>
          <cell r="I85">
            <v>45</v>
          </cell>
          <cell r="J85">
            <v>45</v>
          </cell>
          <cell r="K85">
            <v>8</v>
          </cell>
          <cell r="L85">
            <v>150</v>
          </cell>
          <cell r="M85">
            <v>0</v>
          </cell>
          <cell r="N85">
            <v>1200</v>
          </cell>
          <cell r="O85">
            <v>1</v>
          </cell>
          <cell r="P85">
            <v>0.27</v>
          </cell>
          <cell r="Q85">
            <v>1.4</v>
          </cell>
          <cell r="R85">
            <v>598.12853628922085</v>
          </cell>
          <cell r="S85">
            <v>3.9875235752614722</v>
          </cell>
          <cell r="T85">
            <v>1774.29375</v>
          </cell>
          <cell r="U85">
            <v>11.828625000000001</v>
          </cell>
          <cell r="V85">
            <v>14194.35</v>
          </cell>
          <cell r="W85">
            <v>2168.5812500000002</v>
          </cell>
          <cell r="X85">
            <v>22868.674999999999</v>
          </cell>
          <cell r="Y85">
            <v>2058.18075</v>
          </cell>
          <cell r="Z85">
            <v>548.84820000000002</v>
          </cell>
          <cell r="AA85">
            <v>4775.6102000000001</v>
          </cell>
          <cell r="AB85">
            <v>31.837401333333332</v>
          </cell>
        </row>
        <row r="86">
          <cell r="A86" t="str">
            <v>Grain Drill24'</v>
          </cell>
          <cell r="B86" t="str">
            <v>Grain Drill</v>
          </cell>
          <cell r="C86" t="str">
            <v>24'</v>
          </cell>
          <cell r="D86">
            <v>24</v>
          </cell>
          <cell r="E86">
            <v>6.25</v>
          </cell>
          <cell r="F86">
            <v>0.7</v>
          </cell>
          <cell r="G86">
            <v>7.857142857142857E-2</v>
          </cell>
          <cell r="H86">
            <v>36048</v>
          </cell>
          <cell r="I86">
            <v>45</v>
          </cell>
          <cell r="J86">
            <v>45</v>
          </cell>
          <cell r="K86">
            <v>8</v>
          </cell>
          <cell r="L86">
            <v>150</v>
          </cell>
          <cell r="M86">
            <v>0</v>
          </cell>
          <cell r="N86">
            <v>1200</v>
          </cell>
          <cell r="O86">
            <v>1</v>
          </cell>
          <cell r="P86">
            <v>0.27</v>
          </cell>
          <cell r="Q86">
            <v>1.4</v>
          </cell>
          <cell r="R86">
            <v>683.55379881919396</v>
          </cell>
          <cell r="S86">
            <v>4.5570253254612929</v>
          </cell>
          <cell r="T86">
            <v>2027.7</v>
          </cell>
          <cell r="U86">
            <v>13.518000000000001</v>
          </cell>
          <cell r="V86">
            <v>16221.6</v>
          </cell>
          <cell r="W86">
            <v>2478.3000000000002</v>
          </cell>
          <cell r="X86">
            <v>26134.799999999999</v>
          </cell>
          <cell r="Y86">
            <v>2352.1320000000001</v>
          </cell>
          <cell r="Z86">
            <v>627.23519999999996</v>
          </cell>
          <cell r="AA86">
            <v>5457.6671999999999</v>
          </cell>
          <cell r="AB86">
            <v>36.384447999999999</v>
          </cell>
        </row>
        <row r="87">
          <cell r="A87" t="str">
            <v>Grain Drill30'</v>
          </cell>
          <cell r="B87" t="str">
            <v>Grain Drill</v>
          </cell>
          <cell r="C87" t="str">
            <v>30'</v>
          </cell>
          <cell r="D87">
            <v>30</v>
          </cell>
          <cell r="E87">
            <v>6.25</v>
          </cell>
          <cell r="F87">
            <v>0.7</v>
          </cell>
          <cell r="G87">
            <v>6.2857142857142861E-2</v>
          </cell>
          <cell r="H87">
            <v>42727</v>
          </cell>
          <cell r="I87">
            <v>45</v>
          </cell>
          <cell r="J87">
            <v>45</v>
          </cell>
          <cell r="K87">
            <v>8</v>
          </cell>
          <cell r="L87">
            <v>150</v>
          </cell>
          <cell r="M87">
            <v>0</v>
          </cell>
          <cell r="N87">
            <v>1200</v>
          </cell>
          <cell r="O87">
            <v>1</v>
          </cell>
          <cell r="P87">
            <v>0.27</v>
          </cell>
          <cell r="Q87">
            <v>1.4</v>
          </cell>
          <cell r="R87">
            <v>810.20315030369784</v>
          </cell>
          <cell r="S87">
            <v>5.4013543353579854</v>
          </cell>
          <cell r="T87">
            <v>2403.3937500000002</v>
          </cell>
          <cell r="U87">
            <v>16.022625000000001</v>
          </cell>
          <cell r="V87">
            <v>19227.150000000001</v>
          </cell>
          <cell r="W87">
            <v>2937.4812499999998</v>
          </cell>
          <cell r="X87">
            <v>30977.075000000001</v>
          </cell>
          <cell r="Y87">
            <v>2787.9367499999998</v>
          </cell>
          <cell r="Z87">
            <v>743.44979999999998</v>
          </cell>
          <cell r="AA87">
            <v>6468.8678</v>
          </cell>
          <cell r="AB87">
            <v>43.125785333333333</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4590</v>
          </cell>
          <cell r="I89">
            <v>30</v>
          </cell>
          <cell r="J89">
            <v>70</v>
          </cell>
          <cell r="K89">
            <v>10</v>
          </cell>
          <cell r="L89">
            <v>200</v>
          </cell>
          <cell r="M89">
            <v>0</v>
          </cell>
          <cell r="N89">
            <v>2000</v>
          </cell>
          <cell r="O89">
            <v>1</v>
          </cell>
          <cell r="P89">
            <v>0.27</v>
          </cell>
          <cell r="Q89">
            <v>1.4</v>
          </cell>
          <cell r="R89">
            <v>130.20223631990359</v>
          </cell>
          <cell r="S89">
            <v>0.65101118159951799</v>
          </cell>
          <cell r="T89">
            <v>321.3</v>
          </cell>
          <cell r="U89">
            <v>1.6065</v>
          </cell>
          <cell r="V89">
            <v>1377</v>
          </cell>
          <cell r="W89">
            <v>321.3</v>
          </cell>
          <cell r="X89">
            <v>2983.5</v>
          </cell>
          <cell r="Y89">
            <v>268.51499999999999</v>
          </cell>
          <cell r="Z89">
            <v>71.603999999999999</v>
          </cell>
          <cell r="AA89">
            <v>661.41899999999998</v>
          </cell>
          <cell r="AB89">
            <v>3.3070949999999999</v>
          </cell>
        </row>
        <row r="90">
          <cell r="A90" t="str">
            <v>Harrow40'</v>
          </cell>
          <cell r="B90" t="str">
            <v>Harrow</v>
          </cell>
          <cell r="C90" t="str">
            <v>40'</v>
          </cell>
          <cell r="D90">
            <v>40</v>
          </cell>
          <cell r="E90">
            <v>6.25</v>
          </cell>
          <cell r="F90">
            <v>0.85</v>
          </cell>
          <cell r="G90">
            <v>3.8823529411764708E-2</v>
          </cell>
          <cell r="H90">
            <v>10620</v>
          </cell>
          <cell r="I90">
            <v>30</v>
          </cell>
          <cell r="J90">
            <v>70</v>
          </cell>
          <cell r="K90">
            <v>10</v>
          </cell>
          <cell r="L90">
            <v>200</v>
          </cell>
          <cell r="M90">
            <v>0</v>
          </cell>
          <cell r="N90">
            <v>2000</v>
          </cell>
          <cell r="O90">
            <v>1</v>
          </cell>
          <cell r="P90">
            <v>0.27</v>
          </cell>
          <cell r="Q90">
            <v>1.4</v>
          </cell>
          <cell r="R90">
            <v>301.25223305389454</v>
          </cell>
          <cell r="S90">
            <v>1.5062611652694726</v>
          </cell>
          <cell r="T90">
            <v>743.4</v>
          </cell>
          <cell r="U90">
            <v>3.7170000000000001</v>
          </cell>
          <cell r="V90">
            <v>3186</v>
          </cell>
          <cell r="W90">
            <v>743.4</v>
          </cell>
          <cell r="X90">
            <v>6903</v>
          </cell>
          <cell r="Y90">
            <v>621.27</v>
          </cell>
          <cell r="Z90">
            <v>165.672</v>
          </cell>
          <cell r="AA90">
            <v>1530.3420000000001</v>
          </cell>
          <cell r="AB90">
            <v>7.6517100000000005</v>
          </cell>
        </row>
        <row r="91">
          <cell r="A91" t="str">
            <v>Harrow47'</v>
          </cell>
          <cell r="B91" t="str">
            <v>Harrow</v>
          </cell>
          <cell r="C91" t="str">
            <v>47'</v>
          </cell>
          <cell r="D91">
            <v>47</v>
          </cell>
          <cell r="E91">
            <v>6.25</v>
          </cell>
          <cell r="F91">
            <v>0.85</v>
          </cell>
          <cell r="G91">
            <v>3.3041301627033795E-2</v>
          </cell>
          <cell r="H91">
            <v>11000</v>
          </cell>
          <cell r="I91">
            <v>30</v>
          </cell>
          <cell r="J91">
            <v>70</v>
          </cell>
          <cell r="K91">
            <v>10</v>
          </cell>
          <cell r="L91">
            <v>200</v>
          </cell>
          <cell r="M91">
            <v>0</v>
          </cell>
          <cell r="N91">
            <v>2000</v>
          </cell>
          <cell r="O91">
            <v>1</v>
          </cell>
          <cell r="P91">
            <v>0.27</v>
          </cell>
          <cell r="Q91">
            <v>1.4</v>
          </cell>
          <cell r="R91">
            <v>312.0315031631676</v>
          </cell>
          <cell r="S91">
            <v>1.5601575158158381</v>
          </cell>
          <cell r="T91">
            <v>770</v>
          </cell>
          <cell r="U91">
            <v>3.85</v>
          </cell>
          <cell r="V91">
            <v>3300</v>
          </cell>
          <cell r="W91">
            <v>770</v>
          </cell>
          <cell r="X91">
            <v>7150</v>
          </cell>
          <cell r="Y91">
            <v>643.5</v>
          </cell>
          <cell r="Z91">
            <v>171.6</v>
          </cell>
          <cell r="AA91">
            <v>1585.1</v>
          </cell>
          <cell r="AB91">
            <v>7.9254999999999995</v>
          </cell>
        </row>
        <row r="92">
          <cell r="A92" t="str">
            <v>Heavy Disk14'</v>
          </cell>
          <cell r="B92" t="str">
            <v>Heavy Disk</v>
          </cell>
          <cell r="C92" t="str">
            <v>14'</v>
          </cell>
          <cell r="D92">
            <v>14</v>
          </cell>
          <cell r="E92">
            <v>4.75</v>
          </cell>
          <cell r="F92">
            <v>0.85</v>
          </cell>
          <cell r="G92">
            <v>0.145953118089341</v>
          </cell>
          <cell r="H92">
            <v>13475</v>
          </cell>
          <cell r="I92">
            <v>30</v>
          </cell>
          <cell r="J92">
            <v>50</v>
          </cell>
          <cell r="K92">
            <v>10</v>
          </cell>
          <cell r="L92">
            <v>180</v>
          </cell>
          <cell r="M92">
            <v>0</v>
          </cell>
          <cell r="N92">
            <v>1800</v>
          </cell>
          <cell r="O92">
            <v>1</v>
          </cell>
          <cell r="P92">
            <v>0.27</v>
          </cell>
          <cell r="Q92">
            <v>1.4</v>
          </cell>
          <cell r="R92">
            <v>329.81776559716087</v>
          </cell>
          <cell r="S92">
            <v>1.832320919984227</v>
          </cell>
          <cell r="T92">
            <v>673.75</v>
          </cell>
          <cell r="U92">
            <v>3.7430555555555554</v>
          </cell>
          <cell r="V92">
            <v>4042.5</v>
          </cell>
          <cell r="W92">
            <v>943.25</v>
          </cell>
          <cell r="X92">
            <v>8758.75</v>
          </cell>
          <cell r="Y92">
            <v>788.28750000000002</v>
          </cell>
          <cell r="Z92">
            <v>210.21</v>
          </cell>
          <cell r="AA92">
            <v>1941.7474999999999</v>
          </cell>
          <cell r="AB92">
            <v>10.787486111111111</v>
          </cell>
        </row>
        <row r="93">
          <cell r="A93" t="str">
            <v>Heavy Disk21'</v>
          </cell>
          <cell r="B93" t="str">
            <v>Heavy Disk</v>
          </cell>
          <cell r="C93" t="str">
            <v>21'</v>
          </cell>
          <cell r="D93">
            <v>21</v>
          </cell>
          <cell r="E93">
            <v>4.75</v>
          </cell>
          <cell r="F93">
            <v>0.85</v>
          </cell>
          <cell r="G93">
            <v>9.7302078726227328E-2</v>
          </cell>
          <cell r="H93">
            <v>32764</v>
          </cell>
          <cell r="I93">
            <v>30</v>
          </cell>
          <cell r="J93">
            <v>50</v>
          </cell>
          <cell r="K93">
            <v>10</v>
          </cell>
          <cell r="L93">
            <v>180</v>
          </cell>
          <cell r="M93">
            <v>0</v>
          </cell>
          <cell r="N93">
            <v>1800</v>
          </cell>
          <cell r="O93">
            <v>1</v>
          </cell>
          <cell r="P93">
            <v>0.27</v>
          </cell>
          <cell r="Q93">
            <v>1.4</v>
          </cell>
          <cell r="R93">
            <v>801.94057677368301</v>
          </cell>
          <cell r="S93">
            <v>4.4552254265204612</v>
          </cell>
          <cell r="T93">
            <v>1638.2</v>
          </cell>
          <cell r="U93">
            <v>9.1011111111111109</v>
          </cell>
          <cell r="V93">
            <v>9829.2000000000007</v>
          </cell>
          <cell r="W93">
            <v>2293.48</v>
          </cell>
          <cell r="X93">
            <v>21296.6</v>
          </cell>
          <cell r="Y93">
            <v>1916.6939999999997</v>
          </cell>
          <cell r="Z93">
            <v>511.11839999999995</v>
          </cell>
          <cell r="AA93">
            <v>4721.2924000000003</v>
          </cell>
          <cell r="AB93">
            <v>26.229402222222223</v>
          </cell>
        </row>
        <row r="94">
          <cell r="A94" t="str">
            <v>Heavy Disk27'</v>
          </cell>
          <cell r="B94" t="str">
            <v>Heavy Disk</v>
          </cell>
          <cell r="C94" t="str">
            <v>27'</v>
          </cell>
          <cell r="D94">
            <v>27</v>
          </cell>
          <cell r="E94">
            <v>4.75</v>
          </cell>
          <cell r="F94">
            <v>0.85</v>
          </cell>
          <cell r="G94">
            <v>7.5679394564843488E-2</v>
          </cell>
          <cell r="H94">
            <v>35828</v>
          </cell>
          <cell r="I94">
            <v>30</v>
          </cell>
          <cell r="J94">
            <v>50</v>
          </cell>
          <cell r="K94">
            <v>10</v>
          </cell>
          <cell r="L94">
            <v>180</v>
          </cell>
          <cell r="M94">
            <v>0</v>
          </cell>
          <cell r="N94">
            <v>1800</v>
          </cell>
          <cell r="O94">
            <v>1</v>
          </cell>
          <cell r="P94">
            <v>0.27</v>
          </cell>
          <cell r="Q94">
            <v>1.4</v>
          </cell>
          <cell r="R94">
            <v>876.93587427199111</v>
          </cell>
          <cell r="S94">
            <v>4.8718659681777288</v>
          </cell>
          <cell r="T94">
            <v>1791.4</v>
          </cell>
          <cell r="U94">
            <v>9.9522222222222219</v>
          </cell>
          <cell r="V94">
            <v>10748.4</v>
          </cell>
          <cell r="W94">
            <v>2507.96</v>
          </cell>
          <cell r="X94">
            <v>23288.2</v>
          </cell>
          <cell r="Y94">
            <v>2095.9380000000001</v>
          </cell>
          <cell r="Z94">
            <v>558.91680000000008</v>
          </cell>
          <cell r="AA94">
            <v>5162.8148000000001</v>
          </cell>
          <cell r="AB94">
            <v>28.682304444444444</v>
          </cell>
        </row>
        <row r="95">
          <cell r="A95" t="str">
            <v>Land Plane40'x10'</v>
          </cell>
          <cell r="B95" t="str">
            <v>Land Plane</v>
          </cell>
          <cell r="C95" t="str">
            <v>40'x10'</v>
          </cell>
          <cell r="D95">
            <v>10</v>
          </cell>
          <cell r="E95">
            <v>4</v>
          </cell>
          <cell r="F95">
            <v>0.85</v>
          </cell>
          <cell r="G95">
            <v>0.24264705882352941</v>
          </cell>
          <cell r="H95">
            <v>6020</v>
          </cell>
          <cell r="I95">
            <v>30</v>
          </cell>
          <cell r="J95">
            <v>40</v>
          </cell>
          <cell r="K95">
            <v>10</v>
          </cell>
          <cell r="L95">
            <v>200</v>
          </cell>
          <cell r="M95">
            <v>0</v>
          </cell>
          <cell r="N95">
            <v>2000</v>
          </cell>
          <cell r="O95">
            <v>1</v>
          </cell>
          <cell r="P95">
            <v>0.27</v>
          </cell>
          <cell r="Q95">
            <v>1.4</v>
          </cell>
          <cell r="R95">
            <v>170.76633173111537</v>
          </cell>
          <cell r="S95">
            <v>0.85383165865557686</v>
          </cell>
          <cell r="T95">
            <v>240.8</v>
          </cell>
          <cell r="U95">
            <v>1.204</v>
          </cell>
          <cell r="V95">
            <v>1806</v>
          </cell>
          <cell r="W95">
            <v>421.4</v>
          </cell>
          <cell r="X95">
            <v>3913</v>
          </cell>
          <cell r="Y95">
            <v>352.16999999999996</v>
          </cell>
          <cell r="Z95">
            <v>93.912000000000006</v>
          </cell>
          <cell r="AA95">
            <v>867.48199999999997</v>
          </cell>
          <cell r="AB95">
            <v>4.3374100000000002</v>
          </cell>
        </row>
        <row r="96">
          <cell r="A96" t="str">
            <v>Land Plane50'x16'</v>
          </cell>
          <cell r="B96" t="str">
            <v>Land Plane</v>
          </cell>
          <cell r="C96" t="str">
            <v>50'x16'</v>
          </cell>
          <cell r="D96">
            <v>16</v>
          </cell>
          <cell r="E96">
            <v>4</v>
          </cell>
          <cell r="F96">
            <v>0.85</v>
          </cell>
          <cell r="G96">
            <v>0.1516544117647059</v>
          </cell>
          <cell r="H96">
            <v>6701</v>
          </cell>
          <cell r="I96">
            <v>30</v>
          </cell>
          <cell r="J96">
            <v>40</v>
          </cell>
          <cell r="K96">
            <v>10</v>
          </cell>
          <cell r="L96">
            <v>200</v>
          </cell>
          <cell r="M96">
            <v>0</v>
          </cell>
          <cell r="N96">
            <v>2000</v>
          </cell>
          <cell r="O96">
            <v>1</v>
          </cell>
          <cell r="P96">
            <v>0.27</v>
          </cell>
          <cell r="Q96">
            <v>1.4</v>
          </cell>
          <cell r="R96">
            <v>190.08391842694419</v>
          </cell>
          <cell r="S96">
            <v>0.95041959213472094</v>
          </cell>
          <cell r="T96">
            <v>268.04000000000002</v>
          </cell>
          <cell r="U96">
            <v>1.3402000000000001</v>
          </cell>
          <cell r="V96">
            <v>2010.3</v>
          </cell>
          <cell r="W96">
            <v>469.07</v>
          </cell>
          <cell r="X96">
            <v>4355.6499999999996</v>
          </cell>
          <cell r="Y96">
            <v>392.00849999999997</v>
          </cell>
          <cell r="Z96">
            <v>104.53559999999999</v>
          </cell>
          <cell r="AA96">
            <v>965.61410000000001</v>
          </cell>
          <cell r="AB96">
            <v>4.8280704999999999</v>
          </cell>
        </row>
        <row r="97">
          <cell r="A97" t="str">
            <v>Levee Splitter (1/802 blade</v>
          </cell>
          <cell r="B97" t="str">
            <v>Levee Splitter (1/80</v>
          </cell>
          <cell r="C97" t="str">
            <v>2 blade</v>
          </cell>
          <cell r="E97">
            <v>0</v>
          </cell>
          <cell r="G97" t="e">
            <v>#DIV/0!</v>
          </cell>
          <cell r="H97">
            <v>5211</v>
          </cell>
          <cell r="I97">
            <v>30</v>
          </cell>
          <cell r="J97">
            <v>5</v>
          </cell>
          <cell r="K97">
            <v>10</v>
          </cell>
          <cell r="L97">
            <v>50</v>
          </cell>
          <cell r="M97">
            <v>0</v>
          </cell>
          <cell r="N97">
            <v>500</v>
          </cell>
          <cell r="O97">
            <v>1</v>
          </cell>
          <cell r="P97">
            <v>0.27</v>
          </cell>
          <cell r="Q97">
            <v>1.4</v>
          </cell>
          <cell r="R97">
            <v>21.224762700572388</v>
          </cell>
          <cell r="S97">
            <v>0.42449525401144778</v>
          </cell>
          <cell r="T97">
            <v>26.055</v>
          </cell>
          <cell r="U97">
            <v>0.52110000000000001</v>
          </cell>
          <cell r="V97">
            <v>1563.3</v>
          </cell>
          <cell r="W97">
            <v>364.77</v>
          </cell>
          <cell r="X97">
            <v>3387.15</v>
          </cell>
          <cell r="Y97">
            <v>304.84350000000001</v>
          </cell>
          <cell r="Z97">
            <v>81.291600000000003</v>
          </cell>
          <cell r="AA97">
            <v>750.90509999999995</v>
          </cell>
          <cell r="AB97">
            <v>15.018101999999999</v>
          </cell>
        </row>
        <row r="98">
          <cell r="A98" t="str">
            <v>Lo-Till &amp; Bed4R-40</v>
          </cell>
          <cell r="B98" t="str">
            <v>Lo-Till &amp; Bed</v>
          </cell>
          <cell r="C98" t="str">
            <v>4R-40</v>
          </cell>
          <cell r="D98">
            <v>13.3</v>
          </cell>
          <cell r="E98">
            <v>5.25</v>
          </cell>
          <cell r="F98">
            <v>0.85</v>
          </cell>
          <cell r="G98">
            <v>0.13900296960889622</v>
          </cell>
          <cell r="H98">
            <v>5100</v>
          </cell>
          <cell r="I98">
            <v>25</v>
          </cell>
          <cell r="J98">
            <v>65</v>
          </cell>
          <cell r="K98">
            <v>12</v>
          </cell>
          <cell r="L98">
            <v>150</v>
          </cell>
          <cell r="M98">
            <v>0</v>
          </cell>
          <cell r="N98">
            <v>1800</v>
          </cell>
          <cell r="O98">
            <v>1</v>
          </cell>
          <cell r="P98">
            <v>0.27</v>
          </cell>
          <cell r="Q98">
            <v>1.4</v>
          </cell>
          <cell r="R98">
            <v>96.707844373554394</v>
          </cell>
          <cell r="S98">
            <v>0.64471896249036265</v>
          </cell>
          <cell r="T98">
            <v>276.25</v>
          </cell>
          <cell r="U98">
            <v>1.8416666666666666</v>
          </cell>
          <cell r="V98">
            <v>1275</v>
          </cell>
          <cell r="W98">
            <v>318.75</v>
          </cell>
          <cell r="X98">
            <v>3187.5</v>
          </cell>
          <cell r="Y98">
            <v>286.875</v>
          </cell>
          <cell r="Z98">
            <v>76.5</v>
          </cell>
          <cell r="AA98">
            <v>682.125</v>
          </cell>
          <cell r="AB98">
            <v>4.5475000000000003</v>
          </cell>
        </row>
        <row r="99">
          <cell r="A99" t="str">
            <v>Middle Buster10R-30</v>
          </cell>
          <cell r="B99" t="str">
            <v>Middle Buster</v>
          </cell>
          <cell r="C99" t="str">
            <v>10R-30</v>
          </cell>
          <cell r="D99">
            <v>25</v>
          </cell>
          <cell r="E99">
            <v>4.25</v>
          </cell>
          <cell r="F99">
            <v>0.85</v>
          </cell>
          <cell r="G99">
            <v>9.1349480968858129E-2</v>
          </cell>
          <cell r="H99">
            <v>13727</v>
          </cell>
          <cell r="I99">
            <v>35</v>
          </cell>
          <cell r="J99">
            <v>30</v>
          </cell>
          <cell r="K99">
            <v>8</v>
          </cell>
          <cell r="L99">
            <v>160</v>
          </cell>
          <cell r="M99">
            <v>0</v>
          </cell>
          <cell r="N99">
            <v>1280</v>
          </cell>
          <cell r="O99">
            <v>1</v>
          </cell>
          <cell r="P99">
            <v>0.27</v>
          </cell>
          <cell r="Q99">
            <v>1.4</v>
          </cell>
          <cell r="R99">
            <v>284.90979061894654</v>
          </cell>
          <cell r="S99">
            <v>1.780686191368416</v>
          </cell>
          <cell r="T99">
            <v>514.76250000000005</v>
          </cell>
          <cell r="U99">
            <v>3.2172656250000005</v>
          </cell>
          <cell r="V99">
            <v>4804.45</v>
          </cell>
          <cell r="W99">
            <v>1115.3187499999999</v>
          </cell>
          <cell r="X99">
            <v>9265.7250000000004</v>
          </cell>
          <cell r="Y99">
            <v>833.91525000000001</v>
          </cell>
          <cell r="Z99">
            <v>222.37740000000002</v>
          </cell>
          <cell r="AA99">
            <v>2171.6113999999998</v>
          </cell>
          <cell r="AB99">
            <v>13.572571249999999</v>
          </cell>
        </row>
        <row r="100">
          <cell r="A100" t="str">
            <v>Middle Buster10R-40</v>
          </cell>
          <cell r="B100" t="str">
            <v>Middle Buster</v>
          </cell>
          <cell r="C100" t="str">
            <v>10R-40</v>
          </cell>
          <cell r="D100">
            <v>33.299999999999997</v>
          </cell>
          <cell r="E100">
            <v>4.25</v>
          </cell>
          <cell r="F100">
            <v>0.85</v>
          </cell>
          <cell r="G100">
            <v>6.8580691418061668E-2</v>
          </cell>
          <cell r="H100">
            <v>14141</v>
          </cell>
          <cell r="I100">
            <v>35</v>
          </cell>
          <cell r="J100">
            <v>30</v>
          </cell>
          <cell r="K100">
            <v>8</v>
          </cell>
          <cell r="L100">
            <v>160</v>
          </cell>
          <cell r="M100">
            <v>0</v>
          </cell>
          <cell r="N100">
            <v>1280</v>
          </cell>
          <cell r="O100">
            <v>1</v>
          </cell>
          <cell r="P100">
            <v>0.27</v>
          </cell>
          <cell r="Q100">
            <v>1.4</v>
          </cell>
          <cell r="R100">
            <v>293.50253872969495</v>
          </cell>
          <cell r="S100">
            <v>1.8343908670605935</v>
          </cell>
          <cell r="T100">
            <v>530.28750000000002</v>
          </cell>
          <cell r="U100">
            <v>3.3142968750000001</v>
          </cell>
          <cell r="V100">
            <v>4949.3500000000004</v>
          </cell>
          <cell r="W100">
            <v>1148.95625</v>
          </cell>
          <cell r="X100">
            <v>9545.1749999999993</v>
          </cell>
          <cell r="Y100">
            <v>859.06574999999987</v>
          </cell>
          <cell r="Z100">
            <v>229.08419999999998</v>
          </cell>
          <cell r="AA100">
            <v>2237.1061999999997</v>
          </cell>
          <cell r="AB100">
            <v>13.981913749999999</v>
          </cell>
        </row>
        <row r="101">
          <cell r="A101" t="str">
            <v>Middle Buster12R-40</v>
          </cell>
          <cell r="B101" t="str">
            <v>Middle Buster</v>
          </cell>
          <cell r="C101" t="str">
            <v>12R-40</v>
          </cell>
          <cell r="D101">
            <v>40</v>
          </cell>
          <cell r="E101">
            <v>4.25</v>
          </cell>
          <cell r="F101">
            <v>0.85</v>
          </cell>
          <cell r="G101">
            <v>5.7093425605536333E-2</v>
          </cell>
          <cell r="H101">
            <v>17946</v>
          </cell>
          <cell r="I101">
            <v>35</v>
          </cell>
          <cell r="J101">
            <v>30</v>
          </cell>
          <cell r="K101">
            <v>8</v>
          </cell>
          <cell r="L101">
            <v>160</v>
          </cell>
          <cell r="M101">
            <v>0</v>
          </cell>
          <cell r="N101">
            <v>1280</v>
          </cell>
          <cell r="O101">
            <v>1</v>
          </cell>
          <cell r="P101">
            <v>0.27</v>
          </cell>
          <cell r="Q101">
            <v>1.4</v>
          </cell>
          <cell r="R101">
            <v>372.47695071374767</v>
          </cell>
          <cell r="S101">
            <v>2.3279809419609228</v>
          </cell>
          <cell r="T101">
            <v>672.97500000000002</v>
          </cell>
          <cell r="U101">
            <v>4.20609375</v>
          </cell>
          <cell r="V101">
            <v>6281.1</v>
          </cell>
          <cell r="W101">
            <v>1458.1125</v>
          </cell>
          <cell r="X101">
            <v>12113.55</v>
          </cell>
          <cell r="Y101">
            <v>1090.2194999999999</v>
          </cell>
          <cell r="Z101">
            <v>290.72519999999997</v>
          </cell>
          <cell r="AA101">
            <v>2839.0572000000002</v>
          </cell>
          <cell r="AB101">
            <v>17.744107500000002</v>
          </cell>
        </row>
        <row r="102">
          <cell r="A102" t="str">
            <v>Middle Buster6R-40</v>
          </cell>
          <cell r="B102" t="str">
            <v>Middle Buster</v>
          </cell>
          <cell r="C102" t="str">
            <v>6R-40</v>
          </cell>
          <cell r="D102">
            <v>20</v>
          </cell>
          <cell r="E102">
            <v>4.25</v>
          </cell>
          <cell r="F102">
            <v>0.85</v>
          </cell>
          <cell r="G102">
            <v>0.11418685121107267</v>
          </cell>
          <cell r="H102">
            <v>10672</v>
          </cell>
          <cell r="I102">
            <v>35</v>
          </cell>
          <cell r="J102">
            <v>30</v>
          </cell>
          <cell r="K102">
            <v>8</v>
          </cell>
          <cell r="L102">
            <v>160</v>
          </cell>
          <cell r="M102">
            <v>0</v>
          </cell>
          <cell r="N102">
            <v>1280</v>
          </cell>
          <cell r="O102">
            <v>1</v>
          </cell>
          <cell r="P102">
            <v>0.27</v>
          </cell>
          <cell r="Q102">
            <v>1.4</v>
          </cell>
          <cell r="R102">
            <v>221.50195129929315</v>
          </cell>
          <cell r="S102">
            <v>1.3843871956205822</v>
          </cell>
          <cell r="T102">
            <v>400.2</v>
          </cell>
          <cell r="U102">
            <v>2.5012499999999998</v>
          </cell>
          <cell r="V102">
            <v>3735.2</v>
          </cell>
          <cell r="W102">
            <v>867.1</v>
          </cell>
          <cell r="X102">
            <v>7203.6</v>
          </cell>
          <cell r="Y102">
            <v>648.32399999999996</v>
          </cell>
          <cell r="Z102">
            <v>172.88640000000001</v>
          </cell>
          <cell r="AA102">
            <v>1688.3103999999998</v>
          </cell>
          <cell r="AB102">
            <v>10.551939999999998</v>
          </cell>
        </row>
        <row r="103">
          <cell r="A103" t="str">
            <v>Middle Buster8R-30</v>
          </cell>
          <cell r="B103" t="str">
            <v>Middle Buster</v>
          </cell>
          <cell r="C103" t="str">
            <v>8R-30</v>
          </cell>
          <cell r="D103">
            <v>20</v>
          </cell>
          <cell r="E103">
            <v>4.25</v>
          </cell>
          <cell r="F103">
            <v>0.85</v>
          </cell>
          <cell r="G103">
            <v>0.11418685121107267</v>
          </cell>
          <cell r="H103">
            <v>12780</v>
          </cell>
          <cell r="I103">
            <v>35</v>
          </cell>
          <cell r="J103">
            <v>30</v>
          </cell>
          <cell r="K103">
            <v>8</v>
          </cell>
          <cell r="L103">
            <v>160</v>
          </cell>
          <cell r="M103">
            <v>0</v>
          </cell>
          <cell r="N103">
            <v>1280</v>
          </cell>
          <cell r="O103">
            <v>1</v>
          </cell>
          <cell r="P103">
            <v>0.27</v>
          </cell>
          <cell r="Q103">
            <v>1.4</v>
          </cell>
          <cell r="R103">
            <v>265.25439820136495</v>
          </cell>
          <cell r="S103">
            <v>1.6578399887585309</v>
          </cell>
          <cell r="T103">
            <v>479.25</v>
          </cell>
          <cell r="U103">
            <v>2.9953124999999998</v>
          </cell>
          <cell r="V103">
            <v>4473</v>
          </cell>
          <cell r="W103">
            <v>1038.375</v>
          </cell>
          <cell r="X103">
            <v>8626.5</v>
          </cell>
          <cell r="Y103">
            <v>776.38499999999999</v>
          </cell>
          <cell r="Z103">
            <v>207.036</v>
          </cell>
          <cell r="AA103">
            <v>2021.796</v>
          </cell>
          <cell r="AB103">
            <v>12.636225</v>
          </cell>
        </row>
        <row r="104">
          <cell r="A104" t="str">
            <v>Middle Buster8R-40</v>
          </cell>
          <cell r="B104" t="str">
            <v>Middle Buster</v>
          </cell>
          <cell r="C104" t="str">
            <v>8R-40</v>
          </cell>
          <cell r="D104">
            <v>26.7</v>
          </cell>
          <cell r="E104">
            <v>4.25</v>
          </cell>
          <cell r="F104">
            <v>0.85</v>
          </cell>
          <cell r="G104">
            <v>8.5533221880953303E-2</v>
          </cell>
          <cell r="H104">
            <v>11484</v>
          </cell>
          <cell r="I104">
            <v>35</v>
          </cell>
          <cell r="J104">
            <v>30</v>
          </cell>
          <cell r="K104">
            <v>8</v>
          </cell>
          <cell r="L104">
            <v>160</v>
          </cell>
          <cell r="M104">
            <v>0</v>
          </cell>
          <cell r="N104">
            <v>1280</v>
          </cell>
          <cell r="O104">
            <v>1</v>
          </cell>
          <cell r="P104">
            <v>0.27</v>
          </cell>
          <cell r="Q104">
            <v>1.4</v>
          </cell>
          <cell r="R104">
            <v>238.35536063728287</v>
          </cell>
          <cell r="S104">
            <v>1.489721003983018</v>
          </cell>
          <cell r="T104">
            <v>430.65</v>
          </cell>
          <cell r="U104">
            <v>2.6915624999999999</v>
          </cell>
          <cell r="V104">
            <v>4019.4</v>
          </cell>
          <cell r="W104">
            <v>933.07500000000005</v>
          </cell>
          <cell r="X104">
            <v>7751.7</v>
          </cell>
          <cell r="Y104">
            <v>697.65299999999991</v>
          </cell>
          <cell r="Z104">
            <v>186.04079999999999</v>
          </cell>
          <cell r="AA104">
            <v>1816.7687999999998</v>
          </cell>
          <cell r="AB104">
            <v>11.354804999999999</v>
          </cell>
        </row>
        <row r="105">
          <cell r="A105" t="str">
            <v>Middle Buster8R-40 2x1</v>
          </cell>
          <cell r="B105" t="str">
            <v>Middle Buster</v>
          </cell>
          <cell r="C105" t="str">
            <v>8R-40 2x1</v>
          </cell>
          <cell r="D105">
            <v>40</v>
          </cell>
          <cell r="E105">
            <v>4.25</v>
          </cell>
          <cell r="F105">
            <v>0.85</v>
          </cell>
          <cell r="G105">
            <v>5.7093425605536333E-2</v>
          </cell>
          <cell r="H105">
            <v>17946</v>
          </cell>
          <cell r="I105">
            <v>35</v>
          </cell>
          <cell r="J105">
            <v>30</v>
          </cell>
          <cell r="K105">
            <v>8</v>
          </cell>
          <cell r="L105">
            <v>160</v>
          </cell>
          <cell r="M105">
            <v>0</v>
          </cell>
          <cell r="N105">
            <v>1280</v>
          </cell>
          <cell r="O105">
            <v>1</v>
          </cell>
          <cell r="P105">
            <v>0.27</v>
          </cell>
          <cell r="Q105">
            <v>1.4</v>
          </cell>
          <cell r="R105">
            <v>372.47695071374767</v>
          </cell>
          <cell r="S105">
            <v>2.3279809419609228</v>
          </cell>
          <cell r="T105">
            <v>672.97500000000002</v>
          </cell>
          <cell r="U105">
            <v>4.20609375</v>
          </cell>
          <cell r="V105">
            <v>6281.1</v>
          </cell>
          <cell r="W105">
            <v>1458.1125</v>
          </cell>
          <cell r="X105">
            <v>12113.55</v>
          </cell>
          <cell r="Y105">
            <v>1090.2194999999999</v>
          </cell>
          <cell r="Z105">
            <v>290.72519999999997</v>
          </cell>
          <cell r="AA105">
            <v>2839.0572000000002</v>
          </cell>
          <cell r="AB105">
            <v>17.744107500000002</v>
          </cell>
        </row>
        <row r="106">
          <cell r="A106" t="str">
            <v>Module Builder-1st4R40255</v>
          </cell>
          <cell r="B106" t="str">
            <v>Module Builder-1st</v>
          </cell>
          <cell r="C106" t="str">
            <v>4R40255</v>
          </cell>
          <cell r="D106">
            <v>0</v>
          </cell>
          <cell r="E106">
            <v>0</v>
          </cell>
          <cell r="F106">
            <v>0</v>
          </cell>
          <cell r="H106">
            <v>33700</v>
          </cell>
          <cell r="I106">
            <v>35</v>
          </cell>
          <cell r="J106">
            <v>50</v>
          </cell>
          <cell r="K106">
            <v>10</v>
          </cell>
          <cell r="L106">
            <v>200</v>
          </cell>
          <cell r="M106">
            <v>0</v>
          </cell>
          <cell r="N106">
            <v>2000</v>
          </cell>
          <cell r="O106">
            <v>1</v>
          </cell>
          <cell r="P106">
            <v>0.27</v>
          </cell>
          <cell r="Q106">
            <v>1.4</v>
          </cell>
          <cell r="R106">
            <v>955.9510596907952</v>
          </cell>
          <cell r="S106">
            <v>4.779755298453976</v>
          </cell>
          <cell r="T106">
            <v>1685</v>
          </cell>
          <cell r="U106">
            <v>8.4250000000000007</v>
          </cell>
          <cell r="V106">
            <v>11795</v>
          </cell>
          <cell r="W106">
            <v>2190.5</v>
          </cell>
          <cell r="X106">
            <v>22747.5</v>
          </cell>
          <cell r="Y106">
            <v>2047.2749999999999</v>
          </cell>
          <cell r="Z106">
            <v>545.94000000000005</v>
          </cell>
          <cell r="AA106">
            <v>4783.7150000000001</v>
          </cell>
          <cell r="AB106">
            <v>23.918575000000001</v>
          </cell>
        </row>
        <row r="107">
          <cell r="A107" t="str">
            <v>Mulcher Plow30'</v>
          </cell>
          <cell r="B107" t="str">
            <v>Mulcher Plow</v>
          </cell>
          <cell r="C107" t="str">
            <v>30'</v>
          </cell>
          <cell r="D107">
            <v>30</v>
          </cell>
          <cell r="E107">
            <v>4.75</v>
          </cell>
          <cell r="F107">
            <v>0.85</v>
          </cell>
          <cell r="G107">
            <v>6.8111455108359129E-2</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 &amp; Pre12'</v>
          </cell>
          <cell r="B108" t="str">
            <v>NT Grain Drill &amp; Pre</v>
          </cell>
          <cell r="C108" t="str">
            <v>12'</v>
          </cell>
          <cell r="D108">
            <v>12</v>
          </cell>
          <cell r="E108">
            <v>6</v>
          </cell>
          <cell r="F108">
            <v>0.7</v>
          </cell>
          <cell r="G108">
            <v>0.16369047619047619</v>
          </cell>
          <cell r="H108">
            <v>33456</v>
          </cell>
          <cell r="I108">
            <v>45</v>
          </cell>
          <cell r="J108">
            <v>45</v>
          </cell>
          <cell r="K108">
            <v>8</v>
          </cell>
          <cell r="L108">
            <v>150</v>
          </cell>
          <cell r="M108">
            <v>0</v>
          </cell>
          <cell r="N108">
            <v>1200</v>
          </cell>
          <cell r="O108">
            <v>1</v>
          </cell>
          <cell r="P108">
            <v>0.27</v>
          </cell>
          <cell r="Q108">
            <v>1.4</v>
          </cell>
          <cell r="R108">
            <v>634.40345909051689</v>
          </cell>
          <cell r="S108">
            <v>4.2293563939367793</v>
          </cell>
          <cell r="T108">
            <v>1881.9</v>
          </cell>
          <cell r="U108">
            <v>12.546000000000001</v>
          </cell>
          <cell r="V108">
            <v>15055.2</v>
          </cell>
          <cell r="W108">
            <v>2300.1</v>
          </cell>
          <cell r="X108">
            <v>24255.599999999999</v>
          </cell>
          <cell r="Y108">
            <v>2183.0039999999999</v>
          </cell>
          <cell r="Z108">
            <v>582.13440000000003</v>
          </cell>
          <cell r="AA108">
            <v>5065.2384000000002</v>
          </cell>
          <cell r="AB108">
            <v>33.768256000000001</v>
          </cell>
        </row>
        <row r="109">
          <cell r="A109" t="str">
            <v>NT Grain Drill &amp; Pre15'</v>
          </cell>
          <cell r="B109" t="str">
            <v>NT Grain Drill &amp; Pre</v>
          </cell>
          <cell r="C109" t="str">
            <v>15'</v>
          </cell>
          <cell r="D109">
            <v>15</v>
          </cell>
          <cell r="E109">
            <v>6</v>
          </cell>
          <cell r="F109">
            <v>0.7</v>
          </cell>
          <cell r="G109">
            <v>0.13095238095238096</v>
          </cell>
          <cell r="H109">
            <v>39706</v>
          </cell>
          <cell r="I109">
            <v>45</v>
          </cell>
          <cell r="J109">
            <v>45</v>
          </cell>
          <cell r="K109">
            <v>8</v>
          </cell>
          <cell r="L109">
            <v>150</v>
          </cell>
          <cell r="M109">
            <v>0</v>
          </cell>
          <cell r="N109">
            <v>1200</v>
          </cell>
          <cell r="O109">
            <v>1</v>
          </cell>
          <cell r="P109">
            <v>0.27</v>
          </cell>
          <cell r="Q109">
            <v>1.4</v>
          </cell>
          <cell r="R109">
            <v>752.91797425418645</v>
          </cell>
          <cell r="S109">
            <v>5.0194531616945763</v>
          </cell>
          <cell r="T109">
            <v>2233.4625000000001</v>
          </cell>
          <cell r="U109">
            <v>14.889750000000001</v>
          </cell>
          <cell r="V109">
            <v>17867.7</v>
          </cell>
          <cell r="W109">
            <v>2729.7874999999999</v>
          </cell>
          <cell r="X109">
            <v>28786.85</v>
          </cell>
          <cell r="Y109">
            <v>2590.8164999999999</v>
          </cell>
          <cell r="Z109">
            <v>690.88440000000003</v>
          </cell>
          <cell r="AA109">
            <v>6011.4884000000002</v>
          </cell>
          <cell r="AB109">
            <v>40.076589333333338</v>
          </cell>
        </row>
        <row r="110">
          <cell r="A110" t="str">
            <v>NT Grain Drill &amp; Pre20'</v>
          </cell>
          <cell r="B110" t="str">
            <v>NT Grain Drill &amp; Pre</v>
          </cell>
          <cell r="C110" t="str">
            <v>20'</v>
          </cell>
          <cell r="D110">
            <v>20</v>
          </cell>
          <cell r="E110">
            <v>6</v>
          </cell>
          <cell r="F110">
            <v>0.7</v>
          </cell>
          <cell r="G110">
            <v>9.8214285714285712E-2</v>
          </cell>
          <cell r="H110">
            <v>51141</v>
          </cell>
          <cell r="I110">
            <v>45</v>
          </cell>
          <cell r="J110">
            <v>45</v>
          </cell>
          <cell r="K110">
            <v>8</v>
          </cell>
          <cell r="L110">
            <v>150</v>
          </cell>
          <cell r="M110">
            <v>0</v>
          </cell>
          <cell r="N110">
            <v>1200</v>
          </cell>
          <cell r="O110">
            <v>1</v>
          </cell>
          <cell r="P110">
            <v>0.27</v>
          </cell>
          <cell r="Q110">
            <v>1.4</v>
          </cell>
          <cell r="R110">
            <v>969.75213119763634</v>
          </cell>
          <cell r="S110">
            <v>6.4650142079842423</v>
          </cell>
          <cell r="T110">
            <v>2876.6812500000001</v>
          </cell>
          <cell r="U110">
            <v>19.177875</v>
          </cell>
          <cell r="V110">
            <v>23013.45</v>
          </cell>
          <cell r="W110">
            <v>3515.9437499999999</v>
          </cell>
          <cell r="X110">
            <v>37077.224999999999</v>
          </cell>
          <cell r="Y110">
            <v>3336.9502499999999</v>
          </cell>
          <cell r="Z110">
            <v>889.85339999999997</v>
          </cell>
          <cell r="AA110">
            <v>7742.7474000000002</v>
          </cell>
          <cell r="AB110">
            <v>51.618316</v>
          </cell>
        </row>
        <row r="111">
          <cell r="A111" t="str">
            <v>NT Grain Drill &amp; Pre24'</v>
          </cell>
          <cell r="B111" t="str">
            <v>NT Grain Drill &amp; Pre</v>
          </cell>
          <cell r="C111" t="str">
            <v>24'</v>
          </cell>
          <cell r="D111">
            <v>24</v>
          </cell>
          <cell r="E111">
            <v>6</v>
          </cell>
          <cell r="F111">
            <v>0.7</v>
          </cell>
          <cell r="G111">
            <v>8.1845238095238096E-2</v>
          </cell>
          <cell r="H111">
            <v>71110</v>
          </cell>
          <cell r="I111">
            <v>45</v>
          </cell>
          <cell r="J111">
            <v>45</v>
          </cell>
          <cell r="K111">
            <v>8</v>
          </cell>
          <cell r="L111">
            <v>150</v>
          </cell>
          <cell r="M111">
            <v>0</v>
          </cell>
          <cell r="N111">
            <v>1200</v>
          </cell>
          <cell r="O111">
            <v>1</v>
          </cell>
          <cell r="P111">
            <v>0.27</v>
          </cell>
          <cell r="Q111">
            <v>1.4</v>
          </cell>
          <cell r="R111">
            <v>1348.4107477261673</v>
          </cell>
          <cell r="S111">
            <v>8.9894049848411157</v>
          </cell>
          <cell r="T111">
            <v>3999.9375</v>
          </cell>
          <cell r="U111">
            <v>26.666250000000002</v>
          </cell>
          <cell r="V111">
            <v>31999.5</v>
          </cell>
          <cell r="W111">
            <v>4888.8125</v>
          </cell>
          <cell r="X111">
            <v>51554.75</v>
          </cell>
          <cell r="Y111">
            <v>4639.9274999999998</v>
          </cell>
          <cell r="Z111">
            <v>1237.3140000000001</v>
          </cell>
          <cell r="AA111">
            <v>10766.054</v>
          </cell>
          <cell r="AB111">
            <v>71.773693333333327</v>
          </cell>
        </row>
        <row r="112">
          <cell r="A112" t="str">
            <v>NT Grain Drill &amp; Pre30'</v>
          </cell>
          <cell r="B112" t="str">
            <v>NT Grain Drill &amp; Pre</v>
          </cell>
          <cell r="C112" t="str">
            <v>30'</v>
          </cell>
          <cell r="D112">
            <v>30</v>
          </cell>
          <cell r="E112">
            <v>6</v>
          </cell>
          <cell r="F112">
            <v>0.7</v>
          </cell>
          <cell r="G112">
            <v>6.5476190476190479E-2</v>
          </cell>
          <cell r="H112">
            <v>75025</v>
          </cell>
          <cell r="I112">
            <v>45</v>
          </cell>
          <cell r="J112">
            <v>45</v>
          </cell>
          <cell r="K112">
            <v>8</v>
          </cell>
          <cell r="L112">
            <v>150</v>
          </cell>
          <cell r="M112">
            <v>0</v>
          </cell>
          <cell r="N112">
            <v>1200</v>
          </cell>
          <cell r="O112">
            <v>1</v>
          </cell>
          <cell r="P112">
            <v>0.27</v>
          </cell>
          <cell r="Q112">
            <v>1.4</v>
          </cell>
          <cell r="R112">
            <v>1422.6482400246898</v>
          </cell>
          <cell r="S112">
            <v>9.4843216001645985</v>
          </cell>
          <cell r="T112">
            <v>4220.15625</v>
          </cell>
          <cell r="U112">
            <v>28.134374999999999</v>
          </cell>
          <cell r="V112">
            <v>33761.25</v>
          </cell>
          <cell r="W112">
            <v>5157.96875</v>
          </cell>
          <cell r="X112">
            <v>54393.125</v>
          </cell>
          <cell r="Y112">
            <v>4895.3812499999995</v>
          </cell>
          <cell r="Z112">
            <v>1305.4349999999999</v>
          </cell>
          <cell r="AA112">
            <v>11358.785</v>
          </cell>
          <cell r="AB112">
            <v>75.725233333333335</v>
          </cell>
        </row>
        <row r="113">
          <cell r="A113" t="str">
            <v>NT Grain Drill12'</v>
          </cell>
          <cell r="B113" t="str">
            <v>NT Grain Drill</v>
          </cell>
          <cell r="C113" t="str">
            <v>12'</v>
          </cell>
          <cell r="D113">
            <v>12</v>
          </cell>
          <cell r="E113">
            <v>5</v>
          </cell>
          <cell r="F113">
            <v>0.7</v>
          </cell>
          <cell r="G113">
            <v>0.19642857142857142</v>
          </cell>
          <cell r="H113">
            <v>28087</v>
          </cell>
          <cell r="I113">
            <v>45</v>
          </cell>
          <cell r="J113">
            <v>45</v>
          </cell>
          <cell r="K113">
            <v>8</v>
          </cell>
          <cell r="L113">
            <v>150</v>
          </cell>
          <cell r="M113">
            <v>0</v>
          </cell>
          <cell r="N113">
            <v>1200</v>
          </cell>
          <cell r="O113">
            <v>1</v>
          </cell>
          <cell r="P113">
            <v>0.27</v>
          </cell>
          <cell r="Q113">
            <v>1.4</v>
          </cell>
          <cell r="R113">
            <v>532.59474998431813</v>
          </cell>
          <cell r="S113">
            <v>3.5506316665621207</v>
          </cell>
          <cell r="T113">
            <v>1579.89375</v>
          </cell>
          <cell r="U113">
            <v>10.532624999999999</v>
          </cell>
          <cell r="V113">
            <v>12639.15</v>
          </cell>
          <cell r="W113">
            <v>1930.98125</v>
          </cell>
          <cell r="X113">
            <v>20363.075000000001</v>
          </cell>
          <cell r="Y113">
            <v>1832.6767500000001</v>
          </cell>
          <cell r="Z113">
            <v>488.71380000000005</v>
          </cell>
          <cell r="AA113">
            <v>4252.3717999999999</v>
          </cell>
          <cell r="AB113">
            <v>28.349145333333333</v>
          </cell>
        </row>
        <row r="114">
          <cell r="A114" t="str">
            <v>NT Grain Drill15'</v>
          </cell>
          <cell r="B114" t="str">
            <v>NT Grain Drill</v>
          </cell>
          <cell r="C114" t="str">
            <v>15'</v>
          </cell>
          <cell r="D114">
            <v>15</v>
          </cell>
          <cell r="E114">
            <v>5</v>
          </cell>
          <cell r="F114">
            <v>0.7</v>
          </cell>
          <cell r="G114">
            <v>0.15714285714285714</v>
          </cell>
          <cell r="H114">
            <v>34336</v>
          </cell>
          <cell r="I114">
            <v>45</v>
          </cell>
          <cell r="J114">
            <v>45</v>
          </cell>
          <cell r="K114">
            <v>8</v>
          </cell>
          <cell r="L114">
            <v>150</v>
          </cell>
          <cell r="M114">
            <v>0</v>
          </cell>
          <cell r="N114">
            <v>1200</v>
          </cell>
          <cell r="O114">
            <v>1</v>
          </cell>
          <cell r="P114">
            <v>0.27</v>
          </cell>
          <cell r="Q114">
            <v>1.4</v>
          </cell>
          <cell r="R114">
            <v>651.09030282556159</v>
          </cell>
          <cell r="S114">
            <v>4.3406020188370773</v>
          </cell>
          <cell r="T114">
            <v>1931.4</v>
          </cell>
          <cell r="U114">
            <v>12.876000000000001</v>
          </cell>
          <cell r="V114">
            <v>15451.2</v>
          </cell>
          <cell r="W114">
            <v>2360.6</v>
          </cell>
          <cell r="X114">
            <v>24893.599999999999</v>
          </cell>
          <cell r="Y114">
            <v>2240.424</v>
          </cell>
          <cell r="Z114">
            <v>597.44639999999993</v>
          </cell>
          <cell r="AA114">
            <v>5198.4704000000002</v>
          </cell>
          <cell r="AB114">
            <v>34.656469333333334</v>
          </cell>
        </row>
        <row r="115">
          <cell r="A115" t="str">
            <v>NT Grain Drill20'</v>
          </cell>
          <cell r="B115" t="str">
            <v>NT Grain Drill</v>
          </cell>
          <cell r="C115" t="str">
            <v>20'</v>
          </cell>
          <cell r="D115">
            <v>20</v>
          </cell>
          <cell r="E115">
            <v>5</v>
          </cell>
          <cell r="F115">
            <v>0.7</v>
          </cell>
          <cell r="G115">
            <v>0.11785714285714287</v>
          </cell>
          <cell r="H115">
            <v>45772</v>
          </cell>
          <cell r="I115">
            <v>45</v>
          </cell>
          <cell r="J115">
            <v>45</v>
          </cell>
          <cell r="K115">
            <v>8</v>
          </cell>
          <cell r="L115">
            <v>150</v>
          </cell>
          <cell r="M115">
            <v>0</v>
          </cell>
          <cell r="N115">
            <v>1200</v>
          </cell>
          <cell r="O115">
            <v>1</v>
          </cell>
          <cell r="P115">
            <v>0.27</v>
          </cell>
          <cell r="Q115">
            <v>1.4</v>
          </cell>
          <cell r="R115">
            <v>867.94342209143758</v>
          </cell>
          <cell r="S115">
            <v>5.7862894806095841</v>
          </cell>
          <cell r="T115">
            <v>2574.6750000000002</v>
          </cell>
          <cell r="U115">
            <v>17.1645</v>
          </cell>
          <cell r="V115">
            <v>20597.400000000001</v>
          </cell>
          <cell r="W115">
            <v>3146.8249999999998</v>
          </cell>
          <cell r="X115">
            <v>33184.699999999997</v>
          </cell>
          <cell r="Y115">
            <v>2986.6229999999996</v>
          </cell>
          <cell r="Z115">
            <v>796.43279999999993</v>
          </cell>
          <cell r="AA115">
            <v>6929.880799999999</v>
          </cell>
          <cell r="AB115">
            <v>46.199205333333325</v>
          </cell>
        </row>
        <row r="116">
          <cell r="A116" t="str">
            <v>NT Grain Drill24'</v>
          </cell>
          <cell r="B116" t="str">
            <v>NT Grain Drill</v>
          </cell>
          <cell r="C116" t="str">
            <v>24'</v>
          </cell>
          <cell r="D116">
            <v>24</v>
          </cell>
          <cell r="E116">
            <v>5</v>
          </cell>
          <cell r="F116">
            <v>0.7</v>
          </cell>
          <cell r="G116">
            <v>9.8214285714285712E-2</v>
          </cell>
          <cell r="H116">
            <v>65741</v>
          </cell>
          <cell r="I116">
            <v>45</v>
          </cell>
          <cell r="J116">
            <v>45</v>
          </cell>
          <cell r="K116">
            <v>8</v>
          </cell>
          <cell r="L116">
            <v>150</v>
          </cell>
          <cell r="M116">
            <v>0</v>
          </cell>
          <cell r="N116">
            <v>1200</v>
          </cell>
          <cell r="O116">
            <v>1</v>
          </cell>
          <cell r="P116">
            <v>0.27</v>
          </cell>
          <cell r="Q116">
            <v>1.4</v>
          </cell>
          <cell r="R116">
            <v>1246.6020386199684</v>
          </cell>
          <cell r="S116">
            <v>8.3106802574664567</v>
          </cell>
          <cell r="T116">
            <v>3697.9312500000001</v>
          </cell>
          <cell r="U116">
            <v>24.652875000000002</v>
          </cell>
          <cell r="V116">
            <v>29583.45</v>
          </cell>
          <cell r="W116">
            <v>4519.6937500000004</v>
          </cell>
          <cell r="X116">
            <v>47662.224999999999</v>
          </cell>
          <cell r="Y116">
            <v>4289.6002499999995</v>
          </cell>
          <cell r="Z116">
            <v>1143.8933999999999</v>
          </cell>
          <cell r="AA116">
            <v>9953.1873999999989</v>
          </cell>
          <cell r="AB116">
            <v>66.354582666666658</v>
          </cell>
        </row>
        <row r="117">
          <cell r="A117" t="str">
            <v>NT Grain Drill30'</v>
          </cell>
          <cell r="B117" t="str">
            <v>NT Grain Drill</v>
          </cell>
          <cell r="C117" t="str">
            <v>30'</v>
          </cell>
          <cell r="D117">
            <v>30</v>
          </cell>
          <cell r="E117">
            <v>5</v>
          </cell>
          <cell r="F117">
            <v>0.7</v>
          </cell>
          <cell r="G117">
            <v>7.857142857142857E-2</v>
          </cell>
          <cell r="H117">
            <v>69656</v>
          </cell>
          <cell r="I117">
            <v>45</v>
          </cell>
          <cell r="J117">
            <v>45</v>
          </cell>
          <cell r="K117">
            <v>8</v>
          </cell>
          <cell r="L117">
            <v>150</v>
          </cell>
          <cell r="M117">
            <v>0</v>
          </cell>
          <cell r="N117">
            <v>1200</v>
          </cell>
          <cell r="O117">
            <v>1</v>
          </cell>
          <cell r="P117">
            <v>0.27</v>
          </cell>
          <cell r="Q117">
            <v>1.4</v>
          </cell>
          <cell r="R117">
            <v>1320.8395309184912</v>
          </cell>
          <cell r="S117">
            <v>8.8055968727899412</v>
          </cell>
          <cell r="T117">
            <v>3918.15</v>
          </cell>
          <cell r="U117">
            <v>26.121000000000002</v>
          </cell>
          <cell r="V117">
            <v>31345.200000000001</v>
          </cell>
          <cell r="W117">
            <v>4788.8500000000004</v>
          </cell>
          <cell r="X117">
            <v>50500.6</v>
          </cell>
          <cell r="Y117">
            <v>4545.0540000000001</v>
          </cell>
          <cell r="Z117">
            <v>1212.0144</v>
          </cell>
          <cell r="AA117">
            <v>10545.9184</v>
          </cell>
          <cell r="AB117">
            <v>70.306122666666667</v>
          </cell>
        </row>
        <row r="118">
          <cell r="A118" t="str">
            <v>NT Plant&amp;Pre-Folding10R-30</v>
          </cell>
          <cell r="B118" t="str">
            <v>NT Plant&amp;Pre-Folding</v>
          </cell>
          <cell r="C118" t="str">
            <v>10R-30</v>
          </cell>
          <cell r="D118">
            <v>25</v>
          </cell>
          <cell r="E118">
            <v>6.5</v>
          </cell>
          <cell r="F118">
            <v>0.65</v>
          </cell>
          <cell r="G118">
            <v>7.8106508875739653E-2</v>
          </cell>
          <cell r="H118">
            <v>52268</v>
          </cell>
          <cell r="I118">
            <v>45</v>
          </cell>
          <cell r="J118">
            <v>45</v>
          </cell>
          <cell r="K118">
            <v>8</v>
          </cell>
          <cell r="L118">
            <v>150</v>
          </cell>
          <cell r="M118">
            <v>0</v>
          </cell>
          <cell r="N118">
            <v>1200</v>
          </cell>
          <cell r="O118">
            <v>1</v>
          </cell>
          <cell r="P118">
            <v>0.27</v>
          </cell>
          <cell r="Q118">
            <v>1.4</v>
          </cell>
          <cell r="R118">
            <v>991.12266857194925</v>
          </cell>
          <cell r="S118">
            <v>6.6074844571463283</v>
          </cell>
          <cell r="T118">
            <v>2940.0749999999998</v>
          </cell>
          <cell r="U118">
            <v>19.6005</v>
          </cell>
          <cell r="V118">
            <v>23520.6</v>
          </cell>
          <cell r="W118">
            <v>3593.4250000000002</v>
          </cell>
          <cell r="X118">
            <v>37894.300000000003</v>
          </cell>
          <cell r="Y118">
            <v>3410.4870000000001</v>
          </cell>
          <cell r="Z118">
            <v>909.46320000000014</v>
          </cell>
          <cell r="AA118">
            <v>7913.3752000000004</v>
          </cell>
          <cell r="AB118">
            <v>52.755834666666672</v>
          </cell>
        </row>
        <row r="119">
          <cell r="A119" t="str">
            <v>NT Plant&amp;Pre-Folding10R-40</v>
          </cell>
          <cell r="B119" t="str">
            <v>NT Plant&amp;Pre-Folding</v>
          </cell>
          <cell r="C119" t="str">
            <v>10R-40</v>
          </cell>
          <cell r="D119">
            <v>33.299999999999997</v>
          </cell>
          <cell r="E119">
            <v>6.5</v>
          </cell>
          <cell r="F119">
            <v>0.65</v>
          </cell>
          <cell r="G119">
            <v>5.8638520176981714E-2</v>
          </cell>
          <cell r="H119">
            <v>52826</v>
          </cell>
          <cell r="I119">
            <v>45</v>
          </cell>
          <cell r="J119">
            <v>45</v>
          </cell>
          <cell r="K119">
            <v>8</v>
          </cell>
          <cell r="L119">
            <v>150</v>
          </cell>
          <cell r="M119">
            <v>0</v>
          </cell>
          <cell r="N119">
            <v>1200</v>
          </cell>
          <cell r="O119">
            <v>1</v>
          </cell>
          <cell r="P119">
            <v>0.27</v>
          </cell>
          <cell r="Q119">
            <v>1.4</v>
          </cell>
          <cell r="R119">
            <v>1001.7036444857616</v>
          </cell>
          <cell r="S119">
            <v>6.6780242965717438</v>
          </cell>
          <cell r="T119">
            <v>2971.4625000000001</v>
          </cell>
          <cell r="U119">
            <v>19.809750000000001</v>
          </cell>
          <cell r="V119">
            <v>23771.7</v>
          </cell>
          <cell r="W119">
            <v>3631.7874999999999</v>
          </cell>
          <cell r="X119">
            <v>38298.85</v>
          </cell>
          <cell r="Y119">
            <v>3446.8964999999998</v>
          </cell>
          <cell r="Z119">
            <v>919.17240000000004</v>
          </cell>
          <cell r="AA119">
            <v>7997.8564000000006</v>
          </cell>
          <cell r="AB119">
            <v>53.319042666666668</v>
          </cell>
        </row>
        <row r="120">
          <cell r="A120" t="str">
            <v>NT Plant&amp;Pre-Folding12R-20</v>
          </cell>
          <cell r="B120" t="str">
            <v>NT Plant&amp;Pre-Folding</v>
          </cell>
          <cell r="C120" t="str">
            <v>12R-20</v>
          </cell>
          <cell r="D120">
            <v>20</v>
          </cell>
          <cell r="E120">
            <v>6.5</v>
          </cell>
          <cell r="F120">
            <v>0.65</v>
          </cell>
          <cell r="G120">
            <v>9.7633136094674555E-2</v>
          </cell>
          <cell r="H120">
            <v>51170</v>
          </cell>
          <cell r="I120">
            <v>45</v>
          </cell>
          <cell r="J120">
            <v>45</v>
          </cell>
          <cell r="K120">
            <v>8</v>
          </cell>
          <cell r="L120">
            <v>150</v>
          </cell>
          <cell r="M120">
            <v>0</v>
          </cell>
          <cell r="N120">
            <v>1200</v>
          </cell>
          <cell r="O120">
            <v>1</v>
          </cell>
          <cell r="P120">
            <v>0.27</v>
          </cell>
          <cell r="Q120">
            <v>1.4</v>
          </cell>
          <cell r="R120">
            <v>970.30203854799583</v>
          </cell>
          <cell r="S120">
            <v>6.4686802569866391</v>
          </cell>
          <cell r="T120">
            <v>2878.3125</v>
          </cell>
          <cell r="U120">
            <v>19.188749999999999</v>
          </cell>
          <cell r="V120">
            <v>23026.5</v>
          </cell>
          <cell r="W120">
            <v>3517.9375</v>
          </cell>
          <cell r="X120">
            <v>37098.25</v>
          </cell>
          <cell r="Y120">
            <v>3338.8424999999997</v>
          </cell>
          <cell r="Z120">
            <v>890.35800000000006</v>
          </cell>
          <cell r="AA120">
            <v>7747.1379999999999</v>
          </cell>
          <cell r="AB120">
            <v>51.647586666666669</v>
          </cell>
        </row>
        <row r="121">
          <cell r="A121" t="str">
            <v>NT Plant&amp;Pre-Folding12R-30</v>
          </cell>
          <cell r="B121" t="str">
            <v>NT Plant&amp;Pre-Folding</v>
          </cell>
          <cell r="C121" t="str">
            <v>12R-30</v>
          </cell>
          <cell r="D121">
            <v>30</v>
          </cell>
          <cell r="E121">
            <v>6.5</v>
          </cell>
          <cell r="F121">
            <v>0.65</v>
          </cell>
          <cell r="G121">
            <v>6.5088757396449703E-2</v>
          </cell>
          <cell r="H121">
            <v>57431</v>
          </cell>
          <cell r="I121">
            <v>45</v>
          </cell>
          <cell r="J121">
            <v>45</v>
          </cell>
          <cell r="K121">
            <v>8</v>
          </cell>
          <cell r="L121">
            <v>150</v>
          </cell>
          <cell r="M121">
            <v>0</v>
          </cell>
          <cell r="N121">
            <v>1200</v>
          </cell>
          <cell r="O121">
            <v>1</v>
          </cell>
          <cell r="P121">
            <v>0.27</v>
          </cell>
          <cell r="Q121">
            <v>1.4</v>
          </cell>
          <cell r="R121">
            <v>1089.0251392583534</v>
          </cell>
          <cell r="S121">
            <v>7.2601675950556892</v>
          </cell>
          <cell r="T121">
            <v>3230.4937500000001</v>
          </cell>
          <cell r="U121">
            <v>21.536625000000001</v>
          </cell>
          <cell r="V121">
            <v>25843.95</v>
          </cell>
          <cell r="W121">
            <v>3948.3812499999999</v>
          </cell>
          <cell r="X121">
            <v>41637.474999999999</v>
          </cell>
          <cell r="Y121">
            <v>3747.3727499999995</v>
          </cell>
          <cell r="Z121">
            <v>999.29939999999999</v>
          </cell>
          <cell r="AA121">
            <v>8695.0533999999989</v>
          </cell>
          <cell r="AB121">
            <v>57.967022666666658</v>
          </cell>
        </row>
        <row r="122">
          <cell r="A122" t="str">
            <v>NT Plant&amp;Pre-Folding12R-40</v>
          </cell>
          <cell r="B122" t="str">
            <v>NT Plant&amp;Pre-Folding</v>
          </cell>
          <cell r="C122" t="str">
            <v>12R-40</v>
          </cell>
          <cell r="D122">
            <v>40</v>
          </cell>
          <cell r="E122">
            <v>6.5</v>
          </cell>
          <cell r="F122">
            <v>0.65</v>
          </cell>
          <cell r="G122">
            <v>4.8816568047337278E-2</v>
          </cell>
          <cell r="H122">
            <v>55148</v>
          </cell>
          <cell r="I122">
            <v>45</v>
          </cell>
          <cell r="J122">
            <v>45</v>
          </cell>
          <cell r="K122">
            <v>8</v>
          </cell>
          <cell r="L122">
            <v>150</v>
          </cell>
          <cell r="M122">
            <v>0</v>
          </cell>
          <cell r="N122">
            <v>1200</v>
          </cell>
          <cell r="O122">
            <v>1</v>
          </cell>
          <cell r="P122">
            <v>0.27</v>
          </cell>
          <cell r="Q122">
            <v>1.4</v>
          </cell>
          <cell r="R122">
            <v>1045.7341571593681</v>
          </cell>
          <cell r="S122">
            <v>6.9715610477291206</v>
          </cell>
          <cell r="T122">
            <v>3102.0749999999998</v>
          </cell>
          <cell r="U122">
            <v>20.680499999999999</v>
          </cell>
          <cell r="V122">
            <v>24816.6</v>
          </cell>
          <cell r="W122">
            <v>3791.4250000000002</v>
          </cell>
          <cell r="X122">
            <v>39982.300000000003</v>
          </cell>
          <cell r="Y122">
            <v>3598.4070000000002</v>
          </cell>
          <cell r="Z122">
            <v>959.57520000000011</v>
          </cell>
          <cell r="AA122">
            <v>8349.4072000000015</v>
          </cell>
          <cell r="AB122">
            <v>55.662714666666673</v>
          </cell>
        </row>
        <row r="123">
          <cell r="A123" t="str">
            <v>NT Plant&amp;Pre-Folding16R-30</v>
          </cell>
          <cell r="B123" t="str">
            <v>NT Plant&amp;Pre-Folding</v>
          </cell>
          <cell r="C123" t="str">
            <v>16R-30</v>
          </cell>
          <cell r="D123">
            <v>40</v>
          </cell>
          <cell r="E123">
            <v>6.5</v>
          </cell>
          <cell r="F123">
            <v>0.65</v>
          </cell>
          <cell r="G123">
            <v>4.8816568047337278E-2</v>
          </cell>
          <cell r="H123">
            <v>78048</v>
          </cell>
          <cell r="I123">
            <v>45</v>
          </cell>
          <cell r="J123">
            <v>45</v>
          </cell>
          <cell r="K123">
            <v>8</v>
          </cell>
          <cell r="L123">
            <v>150</v>
          </cell>
          <cell r="M123">
            <v>0</v>
          </cell>
          <cell r="N123">
            <v>1200</v>
          </cell>
          <cell r="O123">
            <v>1</v>
          </cell>
          <cell r="P123">
            <v>0.27</v>
          </cell>
          <cell r="Q123">
            <v>1.4</v>
          </cell>
          <cell r="R123">
            <v>1479.9713407190536</v>
          </cell>
          <cell r="S123">
            <v>9.8664756047936901</v>
          </cell>
          <cell r="T123">
            <v>4390.2</v>
          </cell>
          <cell r="U123">
            <v>29.267999999999997</v>
          </cell>
          <cell r="V123">
            <v>35121.599999999999</v>
          </cell>
          <cell r="W123">
            <v>5365.8</v>
          </cell>
          <cell r="X123">
            <v>56584.800000000003</v>
          </cell>
          <cell r="Y123">
            <v>5092.6320000000005</v>
          </cell>
          <cell r="Z123">
            <v>1358.0352</v>
          </cell>
          <cell r="AA123">
            <v>11816.467200000001</v>
          </cell>
          <cell r="AB123">
            <v>78.776448000000002</v>
          </cell>
        </row>
        <row r="124">
          <cell r="A124" t="str">
            <v>NT Plant&amp;Pre-Folding23R-15</v>
          </cell>
          <cell r="B124" t="str">
            <v>NT Plant&amp;Pre-Folding</v>
          </cell>
          <cell r="C124" t="str">
            <v>23R-15</v>
          </cell>
          <cell r="D124">
            <v>28.8</v>
          </cell>
          <cell r="E124">
            <v>6.5</v>
          </cell>
          <cell r="F124">
            <v>0.65</v>
          </cell>
          <cell r="G124">
            <v>6.7800788954635094E-2</v>
          </cell>
          <cell r="H124">
            <v>89512</v>
          </cell>
          <cell r="I124">
            <v>45</v>
          </cell>
          <cell r="J124">
            <v>45</v>
          </cell>
          <cell r="K124">
            <v>8</v>
          </cell>
          <cell r="L124">
            <v>150</v>
          </cell>
          <cell r="M124">
            <v>0</v>
          </cell>
          <cell r="N124">
            <v>1200</v>
          </cell>
          <cell r="O124">
            <v>1</v>
          </cell>
          <cell r="P124">
            <v>0.27</v>
          </cell>
          <cell r="Q124">
            <v>1.4</v>
          </cell>
          <cell r="R124">
            <v>1697.355405012863</v>
          </cell>
          <cell r="S124">
            <v>11.315702700085753</v>
          </cell>
          <cell r="T124">
            <v>5035.05</v>
          </cell>
          <cell r="U124">
            <v>33.567</v>
          </cell>
          <cell r="V124">
            <v>40280.400000000001</v>
          </cell>
          <cell r="W124">
            <v>6153.95</v>
          </cell>
          <cell r="X124">
            <v>64896.2</v>
          </cell>
          <cell r="Y124">
            <v>5840.6579999999994</v>
          </cell>
          <cell r="Z124">
            <v>1557.5088000000001</v>
          </cell>
          <cell r="AA124">
            <v>13552.1168</v>
          </cell>
          <cell r="AB124">
            <v>90.347445333333326</v>
          </cell>
        </row>
        <row r="125">
          <cell r="A125" t="str">
            <v>NT Plant&amp;Pre-Folding24R-20</v>
          </cell>
          <cell r="B125" t="str">
            <v>NT Plant&amp;Pre-Folding</v>
          </cell>
          <cell r="C125" t="str">
            <v>24R-20</v>
          </cell>
          <cell r="D125">
            <v>40</v>
          </cell>
          <cell r="E125">
            <v>6.5</v>
          </cell>
          <cell r="F125">
            <v>0.65</v>
          </cell>
          <cell r="G125">
            <v>4.8816568047337278E-2</v>
          </cell>
          <cell r="H125">
            <v>104916</v>
          </cell>
          <cell r="I125">
            <v>45</v>
          </cell>
          <cell r="J125">
            <v>45</v>
          </cell>
          <cell r="K125">
            <v>8</v>
          </cell>
          <cell r="L125">
            <v>150</v>
          </cell>
          <cell r="M125">
            <v>0</v>
          </cell>
          <cell r="N125">
            <v>1200</v>
          </cell>
          <cell r="O125">
            <v>1</v>
          </cell>
          <cell r="P125">
            <v>0.27</v>
          </cell>
          <cell r="Q125">
            <v>1.4</v>
          </cell>
          <cell r="R125">
            <v>1989.4510196658498</v>
          </cell>
          <cell r="S125">
            <v>13.263006797772332</v>
          </cell>
          <cell r="T125">
            <v>5901.5249999999996</v>
          </cell>
          <cell r="U125">
            <v>39.343499999999999</v>
          </cell>
          <cell r="V125">
            <v>47212.2</v>
          </cell>
          <cell r="W125">
            <v>7212.9750000000004</v>
          </cell>
          <cell r="X125">
            <v>76064.100000000006</v>
          </cell>
          <cell r="Y125">
            <v>6845.7690000000002</v>
          </cell>
          <cell r="Z125">
            <v>1825.5384000000001</v>
          </cell>
          <cell r="AA125">
            <v>15884.2824</v>
          </cell>
          <cell r="AB125">
            <v>105.895216</v>
          </cell>
        </row>
        <row r="126">
          <cell r="A126" t="str">
            <v>NT Plant&amp;Pre-Folding24R-30</v>
          </cell>
          <cell r="B126" t="str">
            <v>NT Plant&amp;Pre-Folding</v>
          </cell>
          <cell r="C126" t="str">
            <v>24R-30</v>
          </cell>
          <cell r="D126">
            <v>60</v>
          </cell>
          <cell r="E126">
            <v>6.5</v>
          </cell>
          <cell r="F126">
            <v>0.65</v>
          </cell>
          <cell r="G126">
            <v>3.2544378698224852E-2</v>
          </cell>
          <cell r="H126">
            <v>116453</v>
          </cell>
          <cell r="I126">
            <v>45</v>
          </cell>
          <cell r="J126">
            <v>45</v>
          </cell>
          <cell r="K126">
            <v>8</v>
          </cell>
          <cell r="L126">
            <v>150</v>
          </cell>
          <cell r="M126">
            <v>0</v>
          </cell>
          <cell r="N126">
            <v>1200</v>
          </cell>
          <cell r="O126">
            <v>1</v>
          </cell>
          <cell r="P126">
            <v>0.27</v>
          </cell>
          <cell r="Q126">
            <v>1.4</v>
          </cell>
          <cell r="R126">
            <v>2208.2193334967706</v>
          </cell>
          <cell r="S126">
            <v>14.721462223311804</v>
          </cell>
          <cell r="T126">
            <v>6550.4812499999998</v>
          </cell>
          <cell r="U126">
            <v>43.669874999999998</v>
          </cell>
          <cell r="V126">
            <v>52403.85</v>
          </cell>
          <cell r="W126">
            <v>8006.1437500000002</v>
          </cell>
          <cell r="X126">
            <v>84428.425000000003</v>
          </cell>
          <cell r="Y126">
            <v>7598.55825</v>
          </cell>
          <cell r="Z126">
            <v>2026.2822000000001</v>
          </cell>
          <cell r="AA126">
            <v>17630.984199999999</v>
          </cell>
          <cell r="AB126">
            <v>117.53989466666665</v>
          </cell>
        </row>
        <row r="127">
          <cell r="A127" t="str">
            <v>NT Plant&amp;Pre-Folding8R-40</v>
          </cell>
          <cell r="B127" t="str">
            <v>NT Plant&amp;Pre-Folding</v>
          </cell>
          <cell r="C127" t="str">
            <v>8R-40</v>
          </cell>
          <cell r="D127">
            <v>26.7</v>
          </cell>
          <cell r="E127">
            <v>6.5</v>
          </cell>
          <cell r="F127">
            <v>0.65</v>
          </cell>
          <cell r="G127">
            <v>7.3133435276909783E-2</v>
          </cell>
          <cell r="H127">
            <v>39614</v>
          </cell>
          <cell r="I127">
            <v>45</v>
          </cell>
          <cell r="J127">
            <v>45</v>
          </cell>
          <cell r="K127">
            <v>8</v>
          </cell>
          <cell r="L127">
            <v>150</v>
          </cell>
          <cell r="M127">
            <v>0</v>
          </cell>
          <cell r="N127">
            <v>1200</v>
          </cell>
          <cell r="O127">
            <v>1</v>
          </cell>
          <cell r="P127">
            <v>0.27</v>
          </cell>
          <cell r="Q127">
            <v>1.4</v>
          </cell>
          <cell r="R127">
            <v>751.17344059097718</v>
          </cell>
          <cell r="S127">
            <v>5.0078229372731808</v>
          </cell>
          <cell r="T127">
            <v>2228.2874999999999</v>
          </cell>
          <cell r="U127">
            <v>14.85525</v>
          </cell>
          <cell r="V127">
            <v>17826.3</v>
          </cell>
          <cell r="W127">
            <v>2723.4625000000001</v>
          </cell>
          <cell r="X127">
            <v>28720.15</v>
          </cell>
          <cell r="Y127">
            <v>2584.8135000000002</v>
          </cell>
          <cell r="Z127">
            <v>689.28360000000009</v>
          </cell>
          <cell r="AA127">
            <v>5997.5596000000005</v>
          </cell>
          <cell r="AB127">
            <v>39.983730666666673</v>
          </cell>
        </row>
        <row r="128">
          <cell r="A128" t="str">
            <v>NT Plant&amp;Pre-Folding8R-40 2x1</v>
          </cell>
          <cell r="B128" t="str">
            <v>NT Plant&amp;Pre-Folding</v>
          </cell>
          <cell r="C128" t="str">
            <v>8R-40 2x1</v>
          </cell>
          <cell r="D128">
            <v>40</v>
          </cell>
          <cell r="E128">
            <v>6.5</v>
          </cell>
          <cell r="F128">
            <v>0.65</v>
          </cell>
          <cell r="G128">
            <v>4.8816568047337278E-2</v>
          </cell>
          <cell r="H128">
            <v>55148</v>
          </cell>
          <cell r="I128">
            <v>45</v>
          </cell>
          <cell r="J128">
            <v>45</v>
          </cell>
          <cell r="K128">
            <v>8</v>
          </cell>
          <cell r="L128">
            <v>150</v>
          </cell>
          <cell r="M128">
            <v>0</v>
          </cell>
          <cell r="N128">
            <v>1200</v>
          </cell>
          <cell r="O128">
            <v>1</v>
          </cell>
          <cell r="P128">
            <v>0.27</v>
          </cell>
          <cell r="Q128">
            <v>1.4</v>
          </cell>
          <cell r="R128">
            <v>1045.7341571593681</v>
          </cell>
          <cell r="S128">
            <v>6.9715610477291206</v>
          </cell>
          <cell r="T128">
            <v>3102.0749999999998</v>
          </cell>
          <cell r="U128">
            <v>20.680499999999999</v>
          </cell>
          <cell r="V128">
            <v>24816.6</v>
          </cell>
          <cell r="W128">
            <v>3791.4250000000002</v>
          </cell>
          <cell r="X128">
            <v>39982.300000000003</v>
          </cell>
          <cell r="Y128">
            <v>3598.4070000000002</v>
          </cell>
          <cell r="Z128">
            <v>959.57520000000011</v>
          </cell>
          <cell r="AA128">
            <v>8349.4072000000015</v>
          </cell>
          <cell r="AB128">
            <v>55.662714666666673</v>
          </cell>
        </row>
        <row r="129">
          <cell r="A129" t="str">
            <v>NT Plant&amp;Pre-Rigid10R-30</v>
          </cell>
          <cell r="B129" t="str">
            <v>NT Plant&amp;Pre-Rigid</v>
          </cell>
          <cell r="C129" t="str">
            <v>10R-30</v>
          </cell>
          <cell r="D129">
            <v>25</v>
          </cell>
          <cell r="E129">
            <v>6.5</v>
          </cell>
          <cell r="F129">
            <v>0.65</v>
          </cell>
          <cell r="G129">
            <v>7.8106508875739653E-2</v>
          </cell>
          <cell r="H129">
            <v>33705</v>
          </cell>
          <cell r="I129">
            <v>45</v>
          </cell>
          <cell r="J129">
            <v>45</v>
          </cell>
          <cell r="K129">
            <v>8</v>
          </cell>
          <cell r="L129">
            <v>150</v>
          </cell>
          <cell r="M129">
            <v>0</v>
          </cell>
          <cell r="N129">
            <v>1200</v>
          </cell>
          <cell r="O129">
            <v>1</v>
          </cell>
          <cell r="P129">
            <v>0.27</v>
          </cell>
          <cell r="Q129">
            <v>1.4</v>
          </cell>
          <cell r="R129">
            <v>639.12507737463739</v>
          </cell>
          <cell r="S129">
            <v>4.260833849164249</v>
          </cell>
          <cell r="T129">
            <v>1895.90625</v>
          </cell>
          <cell r="U129">
            <v>12.639374999999999</v>
          </cell>
          <cell r="V129">
            <v>15167.25</v>
          </cell>
          <cell r="W129">
            <v>2317.21875</v>
          </cell>
          <cell r="X129">
            <v>24436.125</v>
          </cell>
          <cell r="Y129">
            <v>2199.2512499999998</v>
          </cell>
          <cell r="Z129">
            <v>586.46699999999998</v>
          </cell>
          <cell r="AA129">
            <v>5102.9369999999999</v>
          </cell>
          <cell r="AB129">
            <v>34.019579999999998</v>
          </cell>
        </row>
        <row r="130">
          <cell r="A130" t="str">
            <v>NT Plant&amp;Pre-Rigid12R-20</v>
          </cell>
          <cell r="B130" t="str">
            <v>NT Plant&amp;Pre-Rigid</v>
          </cell>
          <cell r="C130" t="str">
            <v>12R-20</v>
          </cell>
          <cell r="D130">
            <v>20</v>
          </cell>
          <cell r="E130">
            <v>6.5</v>
          </cell>
          <cell r="F130">
            <v>0.65</v>
          </cell>
          <cell r="G130">
            <v>9.7633136094674555E-2</v>
          </cell>
          <cell r="H130">
            <v>28958</v>
          </cell>
          <cell r="I130">
            <v>45</v>
          </cell>
          <cell r="J130">
            <v>45</v>
          </cell>
          <cell r="K130">
            <v>8</v>
          </cell>
          <cell r="L130">
            <v>150</v>
          </cell>
          <cell r="M130">
            <v>0</v>
          </cell>
          <cell r="N130">
            <v>1200</v>
          </cell>
          <cell r="O130">
            <v>1</v>
          </cell>
          <cell r="P130">
            <v>0.27</v>
          </cell>
          <cell r="Q130">
            <v>1.4</v>
          </cell>
          <cell r="R130">
            <v>549.1109328175271</v>
          </cell>
          <cell r="S130">
            <v>3.6607395521168473</v>
          </cell>
          <cell r="T130">
            <v>1628.8875</v>
          </cell>
          <cell r="U130">
            <v>10.859250000000001</v>
          </cell>
          <cell r="V130">
            <v>13031.1</v>
          </cell>
          <cell r="W130">
            <v>1990.8625</v>
          </cell>
          <cell r="X130">
            <v>20994.55</v>
          </cell>
          <cell r="Y130">
            <v>1889.5094999999999</v>
          </cell>
          <cell r="Z130">
            <v>503.86919999999998</v>
          </cell>
          <cell r="AA130">
            <v>4384.2411999999995</v>
          </cell>
          <cell r="AB130">
            <v>29.228274666666664</v>
          </cell>
        </row>
        <row r="131">
          <cell r="A131" t="str">
            <v>NT Plant&amp;Pre-Rigid12R-30</v>
          </cell>
          <cell r="B131" t="str">
            <v>NT Plant&amp;Pre-Rigid</v>
          </cell>
          <cell r="C131" t="str">
            <v>12R-30</v>
          </cell>
          <cell r="D131">
            <v>30</v>
          </cell>
          <cell r="E131">
            <v>6.5</v>
          </cell>
          <cell r="F131">
            <v>0.65</v>
          </cell>
          <cell r="G131">
            <v>6.5088757396449703E-2</v>
          </cell>
          <cell r="H131">
            <v>53891</v>
          </cell>
          <cell r="I131">
            <v>45</v>
          </cell>
          <cell r="J131">
            <v>45</v>
          </cell>
          <cell r="K131">
            <v>8</v>
          </cell>
          <cell r="L131">
            <v>150</v>
          </cell>
          <cell r="M131">
            <v>0</v>
          </cell>
          <cell r="N131">
            <v>1200</v>
          </cell>
          <cell r="O131">
            <v>1</v>
          </cell>
          <cell r="P131">
            <v>0.27</v>
          </cell>
          <cell r="Q131">
            <v>1.4</v>
          </cell>
          <cell r="R131">
            <v>1021.898517869651</v>
          </cell>
          <cell r="S131">
            <v>6.8126567857976728</v>
          </cell>
          <cell r="T131">
            <v>3031.3687500000001</v>
          </cell>
          <cell r="U131">
            <v>20.209125</v>
          </cell>
          <cell r="V131">
            <v>24250.95</v>
          </cell>
          <cell r="W131">
            <v>3705.0062499999999</v>
          </cell>
          <cell r="X131">
            <v>39070.974999999999</v>
          </cell>
          <cell r="Y131">
            <v>3516.3877499999999</v>
          </cell>
          <cell r="Z131">
            <v>937.70339999999999</v>
          </cell>
          <cell r="AA131">
            <v>8159.0974000000006</v>
          </cell>
          <cell r="AB131">
            <v>54.393982666666673</v>
          </cell>
        </row>
        <row r="132">
          <cell r="A132" t="str">
            <v>NT Plant&amp;Pre-Rigid4R-30</v>
          </cell>
          <cell r="B132" t="str">
            <v>NT Plant&amp;Pre-Rigid</v>
          </cell>
          <cell r="C132" t="str">
            <v>4R-30</v>
          </cell>
          <cell r="D132">
            <v>10</v>
          </cell>
          <cell r="E132">
            <v>6.5</v>
          </cell>
          <cell r="F132">
            <v>0.65</v>
          </cell>
          <cell r="G132">
            <v>0.19526627218934911</v>
          </cell>
          <cell r="H132">
            <v>21194</v>
          </cell>
          <cell r="I132">
            <v>45</v>
          </cell>
          <cell r="J132">
            <v>45</v>
          </cell>
          <cell r="K132">
            <v>8</v>
          </cell>
          <cell r="L132">
            <v>150</v>
          </cell>
          <cell r="M132">
            <v>0</v>
          </cell>
          <cell r="N132">
            <v>1200</v>
          </cell>
          <cell r="O132">
            <v>1</v>
          </cell>
          <cell r="P132">
            <v>0.27</v>
          </cell>
          <cell r="Q132">
            <v>1.4</v>
          </cell>
          <cell r="R132">
            <v>401.88746150061013</v>
          </cell>
          <cell r="S132">
            <v>2.679249743337401</v>
          </cell>
          <cell r="T132">
            <v>1192.1624999999999</v>
          </cell>
          <cell r="U132">
            <v>7.9477499999999992</v>
          </cell>
          <cell r="V132">
            <v>9537.2999999999993</v>
          </cell>
          <cell r="W132">
            <v>1457.0875000000001</v>
          </cell>
          <cell r="X132">
            <v>15365.65</v>
          </cell>
          <cell r="Y132">
            <v>1382.9085</v>
          </cell>
          <cell r="Z132">
            <v>368.7756</v>
          </cell>
          <cell r="AA132">
            <v>3208.7716</v>
          </cell>
          <cell r="AB132">
            <v>21.391810666666668</v>
          </cell>
        </row>
        <row r="133">
          <cell r="A133" t="str">
            <v>NT Plant&amp;Pre-Rigid4R-40</v>
          </cell>
          <cell r="B133" t="str">
            <v>NT Plant&amp;Pre-Rigid</v>
          </cell>
          <cell r="C133" t="str">
            <v>4R-40</v>
          </cell>
          <cell r="D133">
            <v>13.3</v>
          </cell>
          <cell r="E133">
            <v>6.5</v>
          </cell>
          <cell r="F133">
            <v>0.65</v>
          </cell>
          <cell r="G133">
            <v>0.1468167460070294</v>
          </cell>
          <cell r="H133">
            <v>20769</v>
          </cell>
          <cell r="I133">
            <v>45</v>
          </cell>
          <cell r="J133">
            <v>45</v>
          </cell>
          <cell r="K133">
            <v>8</v>
          </cell>
          <cell r="L133">
            <v>150</v>
          </cell>
          <cell r="M133">
            <v>0</v>
          </cell>
          <cell r="N133">
            <v>1200</v>
          </cell>
          <cell r="O133">
            <v>1</v>
          </cell>
          <cell r="P133">
            <v>0.27</v>
          </cell>
          <cell r="Q133">
            <v>1.4</v>
          </cell>
          <cell r="R133">
            <v>393.82847446948062</v>
          </cell>
          <cell r="S133">
            <v>2.6255231631298708</v>
          </cell>
          <cell r="T133">
            <v>1168.2562499999999</v>
          </cell>
          <cell r="U133">
            <v>7.7883749999999994</v>
          </cell>
          <cell r="V133">
            <v>9346.0499999999993</v>
          </cell>
          <cell r="W133">
            <v>1427.8687500000001</v>
          </cell>
          <cell r="X133">
            <v>15057.525</v>
          </cell>
          <cell r="Y133">
            <v>1355.17725</v>
          </cell>
          <cell r="Z133">
            <v>361.38060000000002</v>
          </cell>
          <cell r="AA133">
            <v>3144.4265999999998</v>
          </cell>
          <cell r="AB133">
            <v>20.962843999999997</v>
          </cell>
        </row>
        <row r="134">
          <cell r="A134" t="str">
            <v>NT Plant&amp;Pre-Rigid6R-30</v>
          </cell>
          <cell r="B134" t="str">
            <v>NT Plant&amp;Pre-Rigid</v>
          </cell>
          <cell r="C134" t="str">
            <v>6R-30</v>
          </cell>
          <cell r="D134">
            <v>15</v>
          </cell>
          <cell r="E134">
            <v>6.5</v>
          </cell>
          <cell r="F134">
            <v>0.65</v>
          </cell>
          <cell r="G134">
            <v>0.13017751479289941</v>
          </cell>
          <cell r="H134">
            <v>26201</v>
          </cell>
          <cell r="I134">
            <v>45</v>
          </cell>
          <cell r="J134">
            <v>45</v>
          </cell>
          <cell r="K134">
            <v>8</v>
          </cell>
          <cell r="L134">
            <v>150</v>
          </cell>
          <cell r="M134">
            <v>0</v>
          </cell>
          <cell r="N134">
            <v>1200</v>
          </cell>
          <cell r="O134">
            <v>1</v>
          </cell>
          <cell r="P134">
            <v>0.27</v>
          </cell>
          <cell r="Q134">
            <v>1.4</v>
          </cell>
          <cell r="R134">
            <v>496.83180988852916</v>
          </cell>
          <cell r="S134">
            <v>3.3122120659235277</v>
          </cell>
          <cell r="T134">
            <v>1473.8062500000001</v>
          </cell>
          <cell r="U134">
            <v>9.8253750000000011</v>
          </cell>
          <cell r="V134">
            <v>11790.45</v>
          </cell>
          <cell r="W134">
            <v>1801.3187499999999</v>
          </cell>
          <cell r="X134">
            <v>18995.724999999999</v>
          </cell>
          <cell r="Y134">
            <v>1709.6152499999998</v>
          </cell>
          <cell r="Z134">
            <v>455.89739999999995</v>
          </cell>
          <cell r="AA134">
            <v>3966.8313999999996</v>
          </cell>
          <cell r="AB134">
            <v>26.445542666666665</v>
          </cell>
        </row>
        <row r="135">
          <cell r="A135" t="str">
            <v>NT Plant&amp;Pre-Rigid6R-40</v>
          </cell>
          <cell r="B135" t="str">
            <v>NT Plant&amp;Pre-Rigid</v>
          </cell>
          <cell r="C135" t="str">
            <v>6R-40</v>
          </cell>
          <cell r="D135">
            <v>20</v>
          </cell>
          <cell r="E135">
            <v>5</v>
          </cell>
          <cell r="F135">
            <v>0.65</v>
          </cell>
          <cell r="G135">
            <v>0.12692307692307692</v>
          </cell>
          <cell r="H135">
            <v>26284</v>
          </cell>
          <cell r="I135">
            <v>45</v>
          </cell>
          <cell r="J135">
            <v>45</v>
          </cell>
          <cell r="K135">
            <v>8</v>
          </cell>
          <cell r="L135">
            <v>150</v>
          </cell>
          <cell r="M135">
            <v>0</v>
          </cell>
          <cell r="N135">
            <v>1200</v>
          </cell>
          <cell r="O135">
            <v>1</v>
          </cell>
          <cell r="P135">
            <v>0.27</v>
          </cell>
          <cell r="Q135">
            <v>1.4</v>
          </cell>
          <cell r="R135">
            <v>498.4056826499027</v>
          </cell>
          <cell r="S135">
            <v>3.3227045509993514</v>
          </cell>
          <cell r="T135">
            <v>1478.4749999999999</v>
          </cell>
          <cell r="U135">
            <v>9.8564999999999987</v>
          </cell>
          <cell r="V135">
            <v>11827.8</v>
          </cell>
          <cell r="W135">
            <v>1807.0250000000001</v>
          </cell>
          <cell r="X135">
            <v>19055.900000000001</v>
          </cell>
          <cell r="Y135">
            <v>1715.0310000000002</v>
          </cell>
          <cell r="Z135">
            <v>457.34160000000003</v>
          </cell>
          <cell r="AA135">
            <v>3979.3976000000002</v>
          </cell>
          <cell r="AB135">
            <v>26.529317333333335</v>
          </cell>
        </row>
        <row r="136">
          <cell r="A136" t="str">
            <v>NT Plant&amp;Pre-Rigid8R-22</v>
          </cell>
          <cell r="B136" t="str">
            <v>NT Plant&amp;Pre-Rigid</v>
          </cell>
          <cell r="C136" t="str">
            <v>8R-22</v>
          </cell>
          <cell r="D136">
            <v>14.7</v>
          </cell>
          <cell r="E136">
            <v>6.5</v>
          </cell>
          <cell r="F136">
            <v>0.65</v>
          </cell>
          <cell r="G136">
            <v>0.13283419876826469</v>
          </cell>
          <cell r="H136">
            <v>26219</v>
          </cell>
          <cell r="I136">
            <v>45</v>
          </cell>
          <cell r="J136">
            <v>45</v>
          </cell>
          <cell r="K136">
            <v>8</v>
          </cell>
          <cell r="L136">
            <v>150</v>
          </cell>
          <cell r="M136">
            <v>0</v>
          </cell>
          <cell r="N136">
            <v>1200</v>
          </cell>
          <cell r="O136">
            <v>1</v>
          </cell>
          <cell r="P136">
            <v>0.27</v>
          </cell>
          <cell r="Q136">
            <v>1.4</v>
          </cell>
          <cell r="R136">
            <v>497.17313169220051</v>
          </cell>
          <cell r="S136">
            <v>3.31448754461467</v>
          </cell>
          <cell r="T136">
            <v>1474.8187499999999</v>
          </cell>
          <cell r="U136">
            <v>9.8321249999999996</v>
          </cell>
          <cell r="V136">
            <v>11798.55</v>
          </cell>
          <cell r="W136">
            <v>1802.5562500000001</v>
          </cell>
          <cell r="X136">
            <v>19008.775000000001</v>
          </cell>
          <cell r="Y136">
            <v>1710.7897500000001</v>
          </cell>
          <cell r="Z136">
            <v>456.21060000000006</v>
          </cell>
          <cell r="AA136">
            <v>3969.5566000000003</v>
          </cell>
          <cell r="AB136">
            <v>26.463710666666667</v>
          </cell>
        </row>
        <row r="137">
          <cell r="A137" t="str">
            <v>NT Plant&amp;Pre-Rigid8R-30</v>
          </cell>
          <cell r="B137" t="str">
            <v>NT Plant&amp;Pre-Rigid</v>
          </cell>
          <cell r="C137" t="str">
            <v>8R-30</v>
          </cell>
          <cell r="D137">
            <v>20</v>
          </cell>
          <cell r="E137">
            <v>6.5</v>
          </cell>
          <cell r="F137">
            <v>0.65</v>
          </cell>
          <cell r="G137">
            <v>9.7633136094674555E-2</v>
          </cell>
          <cell r="H137">
            <v>31304</v>
          </cell>
          <cell r="I137">
            <v>45</v>
          </cell>
          <cell r="J137">
            <v>45</v>
          </cell>
          <cell r="K137">
            <v>8</v>
          </cell>
          <cell r="L137">
            <v>150</v>
          </cell>
          <cell r="M137">
            <v>0</v>
          </cell>
          <cell r="N137">
            <v>1200</v>
          </cell>
          <cell r="O137">
            <v>1</v>
          </cell>
          <cell r="P137">
            <v>0.27</v>
          </cell>
          <cell r="Q137">
            <v>1.4</v>
          </cell>
          <cell r="R137">
            <v>593.59654122936206</v>
          </cell>
          <cell r="S137">
            <v>3.9573102748624138</v>
          </cell>
          <cell r="T137">
            <v>1760.85</v>
          </cell>
          <cell r="U137">
            <v>11.738999999999999</v>
          </cell>
          <cell r="V137">
            <v>14086.8</v>
          </cell>
          <cell r="W137">
            <v>2152.15</v>
          </cell>
          <cell r="X137">
            <v>22695.4</v>
          </cell>
          <cell r="Y137">
            <v>2042.586</v>
          </cell>
          <cell r="Z137">
            <v>544.68960000000004</v>
          </cell>
          <cell r="AA137">
            <v>4739.4256000000005</v>
          </cell>
          <cell r="AB137">
            <v>31.596170666666669</v>
          </cell>
        </row>
        <row r="138">
          <cell r="A138" t="str">
            <v>NT Plant&amp;Pre-Rigid8R-40</v>
          </cell>
          <cell r="B138" t="str">
            <v>NT Plant&amp;Pre-Rigid</v>
          </cell>
          <cell r="C138" t="str">
            <v>8R-40</v>
          </cell>
          <cell r="D138">
            <v>26.7</v>
          </cell>
          <cell r="E138">
            <v>6.5</v>
          </cell>
          <cell r="F138">
            <v>0.65</v>
          </cell>
          <cell r="G138">
            <v>7.3133435276909783E-2</v>
          </cell>
          <cell r="H138">
            <v>30886</v>
          </cell>
          <cell r="I138">
            <v>45</v>
          </cell>
          <cell r="J138">
            <v>45</v>
          </cell>
          <cell r="K138">
            <v>8</v>
          </cell>
          <cell r="L138">
            <v>150</v>
          </cell>
          <cell r="M138">
            <v>0</v>
          </cell>
          <cell r="N138">
            <v>1200</v>
          </cell>
          <cell r="O138">
            <v>1</v>
          </cell>
          <cell r="P138">
            <v>0.27</v>
          </cell>
          <cell r="Q138">
            <v>1.4</v>
          </cell>
          <cell r="R138">
            <v>585.67029045521599</v>
          </cell>
          <cell r="S138">
            <v>3.9044686030347733</v>
          </cell>
          <cell r="T138">
            <v>1737.3375000000001</v>
          </cell>
          <cell r="U138">
            <v>11.58225</v>
          </cell>
          <cell r="V138">
            <v>13898.7</v>
          </cell>
          <cell r="W138">
            <v>2123.4124999999999</v>
          </cell>
          <cell r="X138">
            <v>22392.35</v>
          </cell>
          <cell r="Y138">
            <v>2015.3114999999998</v>
          </cell>
          <cell r="Z138">
            <v>537.41639999999995</v>
          </cell>
          <cell r="AA138">
            <v>4676.1404000000002</v>
          </cell>
          <cell r="AB138">
            <v>31.174269333333335</v>
          </cell>
        </row>
        <row r="139">
          <cell r="A139" t="str">
            <v>NT Plant-Folding10R-30</v>
          </cell>
          <cell r="B139" t="str">
            <v>NT Plant-Folding</v>
          </cell>
          <cell r="C139" t="str">
            <v>10R-30</v>
          </cell>
          <cell r="D139">
            <v>25</v>
          </cell>
          <cell r="E139">
            <v>6.75</v>
          </cell>
          <cell r="F139">
            <v>0.65</v>
          </cell>
          <cell r="G139">
            <v>7.521367521367521E-2</v>
          </cell>
          <cell r="H139">
            <v>46899</v>
          </cell>
          <cell r="I139">
            <v>45</v>
          </cell>
          <cell r="J139">
            <v>45</v>
          </cell>
          <cell r="K139">
            <v>8</v>
          </cell>
          <cell r="L139">
            <v>150</v>
          </cell>
          <cell r="M139">
            <v>0</v>
          </cell>
          <cell r="N139">
            <v>1200</v>
          </cell>
          <cell r="O139">
            <v>1</v>
          </cell>
          <cell r="P139">
            <v>0.27</v>
          </cell>
          <cell r="Q139">
            <v>1.4</v>
          </cell>
          <cell r="R139">
            <v>889.3139594657506</v>
          </cell>
          <cell r="S139">
            <v>5.928759729771671</v>
          </cell>
          <cell r="T139">
            <v>2638.0687499999999</v>
          </cell>
          <cell r="U139">
            <v>17.587125</v>
          </cell>
          <cell r="V139">
            <v>21104.55</v>
          </cell>
          <cell r="W139">
            <v>3224.3062500000001</v>
          </cell>
          <cell r="X139">
            <v>34001.775000000001</v>
          </cell>
          <cell r="Y139">
            <v>3060.1597499999998</v>
          </cell>
          <cell r="Z139">
            <v>816.04260000000011</v>
          </cell>
          <cell r="AA139">
            <v>7100.5086000000001</v>
          </cell>
          <cell r="AB139">
            <v>47.336724000000004</v>
          </cell>
        </row>
        <row r="140">
          <cell r="A140" t="str">
            <v>NT Plant-Folding10R-40</v>
          </cell>
          <cell r="B140" t="str">
            <v>NT Plant-Folding</v>
          </cell>
          <cell r="C140" t="str">
            <v>10R-40</v>
          </cell>
          <cell r="D140">
            <v>33.299999999999997</v>
          </cell>
          <cell r="E140">
            <v>6.75</v>
          </cell>
          <cell r="F140">
            <v>0.65</v>
          </cell>
          <cell r="G140">
            <v>5.646672313338981E-2</v>
          </cell>
          <cell r="H140">
            <v>47457</v>
          </cell>
          <cell r="I140">
            <v>45</v>
          </cell>
          <cell r="J140">
            <v>45</v>
          </cell>
          <cell r="K140">
            <v>8</v>
          </cell>
          <cell r="L140">
            <v>150</v>
          </cell>
          <cell r="M140">
            <v>0</v>
          </cell>
          <cell r="N140">
            <v>1200</v>
          </cell>
          <cell r="O140">
            <v>1</v>
          </cell>
          <cell r="P140">
            <v>0.27</v>
          </cell>
          <cell r="Q140">
            <v>1.4</v>
          </cell>
          <cell r="R140">
            <v>899.89493537956298</v>
          </cell>
          <cell r="S140">
            <v>5.9992995691970865</v>
          </cell>
          <cell r="T140">
            <v>2669.4562500000002</v>
          </cell>
          <cell r="U140">
            <v>17.796375000000001</v>
          </cell>
          <cell r="V140">
            <v>21355.65</v>
          </cell>
          <cell r="W140">
            <v>3262.6687499999998</v>
          </cell>
          <cell r="X140">
            <v>34406.324999999997</v>
          </cell>
          <cell r="Y140">
            <v>3096.5692499999996</v>
          </cell>
          <cell r="Z140">
            <v>825.7518</v>
          </cell>
          <cell r="AA140">
            <v>7184.9897999999994</v>
          </cell>
          <cell r="AB140">
            <v>47.899931999999993</v>
          </cell>
        </row>
        <row r="141">
          <cell r="A141" t="str">
            <v>NT Plant-Folding12R-20</v>
          </cell>
          <cell r="B141" t="str">
            <v>NT Plant-Folding</v>
          </cell>
          <cell r="C141" t="str">
            <v>12R-20</v>
          </cell>
          <cell r="D141">
            <v>20</v>
          </cell>
          <cell r="E141">
            <v>6.75</v>
          </cell>
          <cell r="F141">
            <v>0.65</v>
          </cell>
          <cell r="G141">
            <v>9.4017094017094016E-2</v>
          </cell>
          <cell r="H141">
            <v>45801</v>
          </cell>
          <cell r="I141">
            <v>45</v>
          </cell>
          <cell r="J141">
            <v>45</v>
          </cell>
          <cell r="K141">
            <v>8</v>
          </cell>
          <cell r="L141">
            <v>150</v>
          </cell>
          <cell r="M141">
            <v>0</v>
          </cell>
          <cell r="N141">
            <v>1200</v>
          </cell>
          <cell r="O141">
            <v>1</v>
          </cell>
          <cell r="P141">
            <v>0.27</v>
          </cell>
          <cell r="Q141">
            <v>1.4</v>
          </cell>
          <cell r="R141">
            <v>868.49332944179696</v>
          </cell>
          <cell r="S141">
            <v>5.78995552961198</v>
          </cell>
          <cell r="T141">
            <v>2576.3062500000001</v>
          </cell>
          <cell r="U141">
            <v>17.175374999999999</v>
          </cell>
          <cell r="V141">
            <v>20610.45</v>
          </cell>
          <cell r="W141">
            <v>3148.8187499999999</v>
          </cell>
          <cell r="X141">
            <v>33205.724999999999</v>
          </cell>
          <cell r="Y141">
            <v>2988.5152499999999</v>
          </cell>
          <cell r="Z141">
            <v>796.93740000000003</v>
          </cell>
          <cell r="AA141">
            <v>6934.2713999999996</v>
          </cell>
          <cell r="AB141">
            <v>46.228476000000001</v>
          </cell>
        </row>
        <row r="142">
          <cell r="A142" t="str">
            <v>NT Plant-Folding12R-30</v>
          </cell>
          <cell r="B142" t="str">
            <v>NT Plant-Folding</v>
          </cell>
          <cell r="C142" t="str">
            <v>12R-30</v>
          </cell>
          <cell r="D142">
            <v>30</v>
          </cell>
          <cell r="E142">
            <v>6.75</v>
          </cell>
          <cell r="F142">
            <v>0.65</v>
          </cell>
          <cell r="G142">
            <v>6.2678062678062682E-2</v>
          </cell>
          <cell r="H142">
            <v>52061</v>
          </cell>
          <cell r="I142">
            <v>45</v>
          </cell>
          <cell r="J142">
            <v>45</v>
          </cell>
          <cell r="K142">
            <v>8</v>
          </cell>
          <cell r="L142">
            <v>150</v>
          </cell>
          <cell r="M142">
            <v>0</v>
          </cell>
          <cell r="N142">
            <v>1200</v>
          </cell>
          <cell r="O142">
            <v>1</v>
          </cell>
          <cell r="P142">
            <v>0.27</v>
          </cell>
          <cell r="Q142">
            <v>1.4</v>
          </cell>
          <cell r="R142">
            <v>987.19746782972857</v>
          </cell>
          <cell r="S142">
            <v>6.5813164521981902</v>
          </cell>
          <cell r="T142">
            <v>2928.4312500000001</v>
          </cell>
          <cell r="U142">
            <v>19.522874999999999</v>
          </cell>
          <cell r="V142">
            <v>23427.45</v>
          </cell>
          <cell r="W142">
            <v>3579.1937499999999</v>
          </cell>
          <cell r="X142">
            <v>37744.224999999999</v>
          </cell>
          <cell r="Y142">
            <v>3396.9802499999996</v>
          </cell>
          <cell r="Z142">
            <v>905.8614</v>
          </cell>
          <cell r="AA142">
            <v>7882.0353999999988</v>
          </cell>
          <cell r="AB142">
            <v>52.546902666666661</v>
          </cell>
        </row>
        <row r="143">
          <cell r="A143" t="str">
            <v>NT Plant-Folding12R-40</v>
          </cell>
          <cell r="B143" t="str">
            <v>NT Plant-Folding</v>
          </cell>
          <cell r="C143" t="str">
            <v>12R-40</v>
          </cell>
          <cell r="D143">
            <v>40</v>
          </cell>
          <cell r="E143">
            <v>6.75</v>
          </cell>
          <cell r="F143">
            <v>0.65</v>
          </cell>
          <cell r="G143">
            <v>4.7008547008547008E-2</v>
          </cell>
          <cell r="H143">
            <v>49576</v>
          </cell>
          <cell r="I143">
            <v>45</v>
          </cell>
          <cell r="J143">
            <v>45</v>
          </cell>
          <cell r="K143">
            <v>8</v>
          </cell>
          <cell r="L143">
            <v>150</v>
          </cell>
          <cell r="M143">
            <v>0</v>
          </cell>
          <cell r="N143">
            <v>1200</v>
          </cell>
          <cell r="O143">
            <v>1</v>
          </cell>
          <cell r="P143">
            <v>0.27</v>
          </cell>
          <cell r="Q143">
            <v>1.4</v>
          </cell>
          <cell r="R143">
            <v>940.07609660065339</v>
          </cell>
          <cell r="S143">
            <v>6.2671739773376895</v>
          </cell>
          <cell r="T143">
            <v>2788.65</v>
          </cell>
          <cell r="U143">
            <v>18.591000000000001</v>
          </cell>
          <cell r="V143">
            <v>22309.200000000001</v>
          </cell>
          <cell r="W143">
            <v>3408.35</v>
          </cell>
          <cell r="X143">
            <v>35942.6</v>
          </cell>
          <cell r="Y143">
            <v>3234.8339999999998</v>
          </cell>
          <cell r="Z143">
            <v>862.62239999999997</v>
          </cell>
          <cell r="AA143">
            <v>7505.8063999999995</v>
          </cell>
          <cell r="AB143">
            <v>50.03870933333333</v>
          </cell>
        </row>
        <row r="144">
          <cell r="A144" t="str">
            <v>NT Plant-Folding16R-30</v>
          </cell>
          <cell r="B144" t="str">
            <v>NT Plant-Folding</v>
          </cell>
          <cell r="C144" t="str">
            <v>16R-30</v>
          </cell>
          <cell r="D144">
            <v>40</v>
          </cell>
          <cell r="E144">
            <v>6.75</v>
          </cell>
          <cell r="F144">
            <v>0.65</v>
          </cell>
          <cell r="G144">
            <v>4.7008547008547008E-2</v>
          </cell>
          <cell r="H144">
            <v>72476</v>
          </cell>
          <cell r="I144">
            <v>45</v>
          </cell>
          <cell r="J144">
            <v>45</v>
          </cell>
          <cell r="K144">
            <v>8</v>
          </cell>
          <cell r="L144">
            <v>150</v>
          </cell>
          <cell r="M144">
            <v>0</v>
          </cell>
          <cell r="N144">
            <v>1200</v>
          </cell>
          <cell r="O144">
            <v>1</v>
          </cell>
          <cell r="P144">
            <v>0.27</v>
          </cell>
          <cell r="Q144">
            <v>1.4</v>
          </cell>
          <cell r="R144">
            <v>1374.3132801603388</v>
          </cell>
          <cell r="S144">
            <v>9.1620885344022582</v>
          </cell>
          <cell r="T144">
            <v>4076.7750000000001</v>
          </cell>
          <cell r="U144">
            <v>27.1785</v>
          </cell>
          <cell r="V144">
            <v>32614.2</v>
          </cell>
          <cell r="W144">
            <v>4982.7250000000004</v>
          </cell>
          <cell r="X144">
            <v>52545.1</v>
          </cell>
          <cell r="Y144">
            <v>4729.0589999999993</v>
          </cell>
          <cell r="Z144">
            <v>1261.0824</v>
          </cell>
          <cell r="AA144">
            <v>10972.866399999999</v>
          </cell>
          <cell r="AB144">
            <v>73.152442666666659</v>
          </cell>
        </row>
        <row r="145">
          <cell r="A145" t="str">
            <v>NT Plant-Folding23R-15</v>
          </cell>
          <cell r="B145" t="str">
            <v>NT Plant-Folding</v>
          </cell>
          <cell r="C145" t="str">
            <v>23R-15</v>
          </cell>
          <cell r="D145">
            <v>28.8</v>
          </cell>
          <cell r="E145">
            <v>6.75</v>
          </cell>
          <cell r="F145">
            <v>0.65</v>
          </cell>
          <cell r="G145">
            <v>6.5289648622981949E-2</v>
          </cell>
          <cell r="H145">
            <v>84142</v>
          </cell>
          <cell r="I145">
            <v>45</v>
          </cell>
          <cell r="J145">
            <v>45</v>
          </cell>
          <cell r="K145">
            <v>8</v>
          </cell>
          <cell r="L145">
            <v>150</v>
          </cell>
          <cell r="M145">
            <v>0</v>
          </cell>
          <cell r="N145">
            <v>1200</v>
          </cell>
          <cell r="O145">
            <v>1</v>
          </cell>
          <cell r="P145">
            <v>0.27</v>
          </cell>
          <cell r="Q145">
            <v>1.4</v>
          </cell>
          <cell r="R145">
            <v>1595.5277335842379</v>
          </cell>
          <cell r="S145">
            <v>10.636851557228253</v>
          </cell>
          <cell r="T145">
            <v>4732.9875000000002</v>
          </cell>
          <cell r="U145">
            <v>31.553250000000002</v>
          </cell>
          <cell r="V145">
            <v>37863.9</v>
          </cell>
          <cell r="W145">
            <v>5784.7624999999998</v>
          </cell>
          <cell r="X145">
            <v>61002.95</v>
          </cell>
          <cell r="Y145">
            <v>5490.2654999999995</v>
          </cell>
          <cell r="Z145">
            <v>1464.0708</v>
          </cell>
          <cell r="AA145">
            <v>12739.0988</v>
          </cell>
          <cell r="AB145">
            <v>84.927325333333329</v>
          </cell>
        </row>
        <row r="146">
          <cell r="A146" t="str">
            <v>NT Plant-Folding24R-20</v>
          </cell>
          <cell r="B146" t="str">
            <v>NT Plant-Folding</v>
          </cell>
          <cell r="C146" t="str">
            <v>24R-20</v>
          </cell>
          <cell r="D146">
            <v>40</v>
          </cell>
          <cell r="E146">
            <v>6.75</v>
          </cell>
          <cell r="F146">
            <v>0.65</v>
          </cell>
          <cell r="G146">
            <v>4.7008547008547008E-2</v>
          </cell>
          <cell r="H146">
            <v>99344</v>
          </cell>
          <cell r="I146">
            <v>45</v>
          </cell>
          <cell r="J146">
            <v>45</v>
          </cell>
          <cell r="K146">
            <v>8</v>
          </cell>
          <cell r="L146">
            <v>150</v>
          </cell>
          <cell r="M146">
            <v>0</v>
          </cell>
          <cell r="N146">
            <v>1200</v>
          </cell>
          <cell r="O146">
            <v>1</v>
          </cell>
          <cell r="P146">
            <v>0.27</v>
          </cell>
          <cell r="Q146">
            <v>1.4</v>
          </cell>
          <cell r="R146">
            <v>1883.7929591071347</v>
          </cell>
          <cell r="S146">
            <v>12.558619727380899</v>
          </cell>
          <cell r="T146">
            <v>5588.1</v>
          </cell>
          <cell r="U146">
            <v>37.254000000000005</v>
          </cell>
          <cell r="V146">
            <v>44704.800000000003</v>
          </cell>
          <cell r="W146">
            <v>6829.9</v>
          </cell>
          <cell r="X146">
            <v>72024.399999999994</v>
          </cell>
          <cell r="Y146">
            <v>6482.195999999999</v>
          </cell>
          <cell r="Z146">
            <v>1728.5855999999999</v>
          </cell>
          <cell r="AA146">
            <v>15040.681599999998</v>
          </cell>
          <cell r="AB146">
            <v>100.27121066666665</v>
          </cell>
        </row>
        <row r="147">
          <cell r="A147" t="str">
            <v>NT Plant-Folding24R-30</v>
          </cell>
          <cell r="B147" t="str">
            <v>NT Plant-Folding</v>
          </cell>
          <cell r="C147" t="str">
            <v>24R-30</v>
          </cell>
          <cell r="D147">
            <v>60</v>
          </cell>
          <cell r="E147">
            <v>6.75</v>
          </cell>
          <cell r="F147">
            <v>0.65</v>
          </cell>
          <cell r="G147">
            <v>3.1339031339031341E-2</v>
          </cell>
          <cell r="H147">
            <v>108974</v>
          </cell>
          <cell r="I147">
            <v>45</v>
          </cell>
          <cell r="J147">
            <v>45</v>
          </cell>
          <cell r="K147">
            <v>8</v>
          </cell>
          <cell r="L147">
            <v>150</v>
          </cell>
          <cell r="M147">
            <v>0</v>
          </cell>
          <cell r="N147">
            <v>1200</v>
          </cell>
          <cell r="O147">
            <v>1</v>
          </cell>
          <cell r="P147">
            <v>0.27</v>
          </cell>
          <cell r="Q147">
            <v>1.4</v>
          </cell>
          <cell r="R147">
            <v>2066.4001240713169</v>
          </cell>
          <cell r="S147">
            <v>13.776000827142113</v>
          </cell>
          <cell r="T147">
            <v>6129.7875000000004</v>
          </cell>
          <cell r="U147">
            <v>40.865250000000003</v>
          </cell>
          <cell r="V147">
            <v>49038.3</v>
          </cell>
          <cell r="W147">
            <v>7491.9624999999996</v>
          </cell>
          <cell r="X147">
            <v>79006.149999999994</v>
          </cell>
          <cell r="Y147">
            <v>7110.5534999999991</v>
          </cell>
          <cell r="Z147">
            <v>1896.1476</v>
          </cell>
          <cell r="AA147">
            <v>16498.6636</v>
          </cell>
          <cell r="AB147">
            <v>109.99109066666666</v>
          </cell>
        </row>
        <row r="148">
          <cell r="A148" t="str">
            <v>NT Plant-Folding8R-40</v>
          </cell>
          <cell r="B148" t="str">
            <v>NT Plant-Folding</v>
          </cell>
          <cell r="C148" t="str">
            <v>8R-40</v>
          </cell>
          <cell r="D148">
            <v>26.7</v>
          </cell>
          <cell r="E148">
            <v>6.75</v>
          </cell>
          <cell r="F148">
            <v>0.65</v>
          </cell>
          <cell r="G148">
            <v>7.042478952591312E-2</v>
          </cell>
          <cell r="H148">
            <v>34244</v>
          </cell>
          <cell r="I148">
            <v>45</v>
          </cell>
          <cell r="J148">
            <v>45</v>
          </cell>
          <cell r="K148">
            <v>8</v>
          </cell>
          <cell r="L148">
            <v>150</v>
          </cell>
          <cell r="M148">
            <v>0</v>
          </cell>
          <cell r="N148">
            <v>1200</v>
          </cell>
          <cell r="O148">
            <v>1</v>
          </cell>
          <cell r="P148">
            <v>0.27</v>
          </cell>
          <cell r="Q148">
            <v>1.4</v>
          </cell>
          <cell r="R148">
            <v>649.34576916235233</v>
          </cell>
          <cell r="S148">
            <v>4.3289717944156818</v>
          </cell>
          <cell r="T148">
            <v>1926.2249999999999</v>
          </cell>
          <cell r="U148">
            <v>12.8415</v>
          </cell>
          <cell r="V148">
            <v>15409.8</v>
          </cell>
          <cell r="W148">
            <v>2354.2750000000001</v>
          </cell>
          <cell r="X148">
            <v>24826.9</v>
          </cell>
          <cell r="Y148">
            <v>2234.4209999999998</v>
          </cell>
          <cell r="Z148">
            <v>595.8456000000001</v>
          </cell>
          <cell r="AA148">
            <v>5184.5416000000005</v>
          </cell>
          <cell r="AB148">
            <v>34.563610666666669</v>
          </cell>
        </row>
        <row r="149">
          <cell r="A149" t="str">
            <v>NT Plant-Folding8R-40 2x1</v>
          </cell>
          <cell r="B149" t="str">
            <v>NT Plant-Folding</v>
          </cell>
          <cell r="C149" t="str">
            <v>8R-40 2x1</v>
          </cell>
          <cell r="D149">
            <v>40</v>
          </cell>
          <cell r="E149">
            <v>6.75</v>
          </cell>
          <cell r="F149">
            <v>0.65</v>
          </cell>
          <cell r="G149">
            <v>4.7008547008547008E-2</v>
          </cell>
          <cell r="H149">
            <v>49576</v>
          </cell>
          <cell r="I149">
            <v>45</v>
          </cell>
          <cell r="J149">
            <v>45</v>
          </cell>
          <cell r="K149">
            <v>8</v>
          </cell>
          <cell r="L149">
            <v>150</v>
          </cell>
          <cell r="M149">
            <v>0</v>
          </cell>
          <cell r="N149">
            <v>1200</v>
          </cell>
          <cell r="O149">
            <v>1</v>
          </cell>
          <cell r="P149">
            <v>0.27</v>
          </cell>
          <cell r="Q149">
            <v>1.4</v>
          </cell>
          <cell r="R149">
            <v>940.07609660065339</v>
          </cell>
          <cell r="S149">
            <v>6.2671739773376895</v>
          </cell>
          <cell r="T149">
            <v>2788.65</v>
          </cell>
          <cell r="U149">
            <v>18.591000000000001</v>
          </cell>
          <cell r="V149">
            <v>22309.200000000001</v>
          </cell>
          <cell r="W149">
            <v>3408.35</v>
          </cell>
          <cell r="X149">
            <v>35942.6</v>
          </cell>
          <cell r="Y149">
            <v>3234.8339999999998</v>
          </cell>
          <cell r="Z149">
            <v>862.62239999999997</v>
          </cell>
          <cell r="AA149">
            <v>7505.8063999999995</v>
          </cell>
          <cell r="AB149">
            <v>50.03870933333333</v>
          </cell>
        </row>
        <row r="150">
          <cell r="A150" t="str">
            <v>NT Plant-Rigid10R-30</v>
          </cell>
          <cell r="B150" t="str">
            <v>NT Plant-Rigid</v>
          </cell>
          <cell r="C150" t="str">
            <v>10R-30</v>
          </cell>
          <cell r="D150">
            <v>25</v>
          </cell>
          <cell r="E150">
            <v>6.75</v>
          </cell>
          <cell r="F150">
            <v>0.65</v>
          </cell>
          <cell r="G150">
            <v>7.521367521367521E-2</v>
          </cell>
          <cell r="H150">
            <v>28336</v>
          </cell>
          <cell r="I150">
            <v>45</v>
          </cell>
          <cell r="J150">
            <v>45</v>
          </cell>
          <cell r="K150">
            <v>8</v>
          </cell>
          <cell r="L150">
            <v>150</v>
          </cell>
          <cell r="M150">
            <v>0</v>
          </cell>
          <cell r="N150">
            <v>1200</v>
          </cell>
          <cell r="O150">
            <v>1</v>
          </cell>
          <cell r="P150">
            <v>0.27</v>
          </cell>
          <cell r="Q150">
            <v>1.4</v>
          </cell>
          <cell r="R150">
            <v>537.31636826843862</v>
          </cell>
          <cell r="S150">
            <v>3.5821091217895908</v>
          </cell>
          <cell r="T150">
            <v>1593.9</v>
          </cell>
          <cell r="U150">
            <v>10.626000000000001</v>
          </cell>
          <cell r="V150">
            <v>12751.2</v>
          </cell>
          <cell r="W150">
            <v>1948.1</v>
          </cell>
          <cell r="X150">
            <v>20543.599999999999</v>
          </cell>
          <cell r="Y150">
            <v>1848.9239999999998</v>
          </cell>
          <cell r="Z150">
            <v>493.04639999999995</v>
          </cell>
          <cell r="AA150">
            <v>4290.0703999999996</v>
          </cell>
          <cell r="AB150">
            <v>28.600469333333329</v>
          </cell>
        </row>
        <row r="151">
          <cell r="A151" t="str">
            <v>NT Plant-Rigid12R-20</v>
          </cell>
          <cell r="B151" t="str">
            <v>NT Plant-Rigid</v>
          </cell>
          <cell r="C151" t="str">
            <v>12R-20</v>
          </cell>
          <cell r="D151">
            <v>20</v>
          </cell>
          <cell r="E151">
            <v>6.75</v>
          </cell>
          <cell r="F151">
            <v>0.65</v>
          </cell>
          <cell r="G151">
            <v>9.4017094017094016E-2</v>
          </cell>
          <cell r="H151">
            <v>33589</v>
          </cell>
          <cell r="I151">
            <v>45</v>
          </cell>
          <cell r="J151">
            <v>45</v>
          </cell>
          <cell r="K151">
            <v>8</v>
          </cell>
          <cell r="L151">
            <v>150</v>
          </cell>
          <cell r="M151">
            <v>0</v>
          </cell>
          <cell r="N151">
            <v>1200</v>
          </cell>
          <cell r="O151">
            <v>1</v>
          </cell>
          <cell r="P151">
            <v>0.27</v>
          </cell>
          <cell r="Q151">
            <v>1.4</v>
          </cell>
          <cell r="R151">
            <v>636.92544797319977</v>
          </cell>
          <cell r="S151">
            <v>4.2461696531546655</v>
          </cell>
          <cell r="T151">
            <v>1889.3812499999999</v>
          </cell>
          <cell r="U151">
            <v>12.595874999999999</v>
          </cell>
          <cell r="V151">
            <v>15115.05</v>
          </cell>
          <cell r="W151">
            <v>2309.2437500000001</v>
          </cell>
          <cell r="X151">
            <v>24352.025000000001</v>
          </cell>
          <cell r="Y151">
            <v>2191.6822499999998</v>
          </cell>
          <cell r="Z151">
            <v>584.44860000000006</v>
          </cell>
          <cell r="AA151">
            <v>5085.3746000000001</v>
          </cell>
          <cell r="AB151">
            <v>33.902497333333336</v>
          </cell>
        </row>
        <row r="152">
          <cell r="A152" t="str">
            <v>NT Plant-Rigid12R-30</v>
          </cell>
          <cell r="B152" t="str">
            <v>NT Plant-Rigid</v>
          </cell>
          <cell r="C152" t="str">
            <v>12R-30</v>
          </cell>
          <cell r="D152">
            <v>30</v>
          </cell>
          <cell r="E152">
            <v>6.75</v>
          </cell>
          <cell r="F152">
            <v>0.65</v>
          </cell>
          <cell r="G152">
            <v>6.2678062678062682E-2</v>
          </cell>
          <cell r="H152">
            <v>48522</v>
          </cell>
          <cell r="I152">
            <v>45</v>
          </cell>
          <cell r="J152">
            <v>45</v>
          </cell>
          <cell r="K152">
            <v>8</v>
          </cell>
          <cell r="L152">
            <v>150</v>
          </cell>
          <cell r="M152">
            <v>0</v>
          </cell>
          <cell r="N152">
            <v>1200</v>
          </cell>
          <cell r="O152">
            <v>1</v>
          </cell>
          <cell r="P152">
            <v>0.27</v>
          </cell>
          <cell r="Q152">
            <v>1.4</v>
          </cell>
          <cell r="R152">
            <v>920.0898087634522</v>
          </cell>
          <cell r="S152">
            <v>6.1339320584230146</v>
          </cell>
          <cell r="T152">
            <v>2729.3625000000002</v>
          </cell>
          <cell r="U152">
            <v>18.19575</v>
          </cell>
          <cell r="V152">
            <v>21834.9</v>
          </cell>
          <cell r="W152">
            <v>3335.8874999999998</v>
          </cell>
          <cell r="X152">
            <v>35178.449999999997</v>
          </cell>
          <cell r="Y152">
            <v>3166.0604999999996</v>
          </cell>
          <cell r="Z152">
            <v>844.28279999999995</v>
          </cell>
          <cell r="AA152">
            <v>7346.2307999999994</v>
          </cell>
          <cell r="AB152">
            <v>48.974871999999998</v>
          </cell>
        </row>
        <row r="153">
          <cell r="A153" t="str">
            <v>NT Plant-Rigid4R-30</v>
          </cell>
          <cell r="B153" t="str">
            <v>NT Plant-Rigid</v>
          </cell>
          <cell r="C153" t="str">
            <v>4R-30</v>
          </cell>
          <cell r="D153">
            <v>10</v>
          </cell>
          <cell r="E153">
            <v>6.75</v>
          </cell>
          <cell r="F153">
            <v>0.65</v>
          </cell>
          <cell r="G153">
            <v>0.18803418803418803</v>
          </cell>
          <cell r="H153">
            <v>15824</v>
          </cell>
          <cell r="I153">
            <v>45</v>
          </cell>
          <cell r="J153">
            <v>45</v>
          </cell>
          <cell r="K153">
            <v>8</v>
          </cell>
          <cell r="L153">
            <v>150</v>
          </cell>
          <cell r="M153">
            <v>0</v>
          </cell>
          <cell r="N153">
            <v>1200</v>
          </cell>
          <cell r="O153">
            <v>1</v>
          </cell>
          <cell r="P153">
            <v>0.27</v>
          </cell>
          <cell r="Q153">
            <v>1.4</v>
          </cell>
          <cell r="R153">
            <v>300.05979007198528</v>
          </cell>
          <cell r="S153">
            <v>2.0003986004799019</v>
          </cell>
          <cell r="T153">
            <v>890.1</v>
          </cell>
          <cell r="U153">
            <v>5.9340000000000002</v>
          </cell>
          <cell r="V153">
            <v>7120.8</v>
          </cell>
          <cell r="W153">
            <v>1087.9000000000001</v>
          </cell>
          <cell r="X153">
            <v>11472.4</v>
          </cell>
          <cell r="Y153">
            <v>1032.5159999999998</v>
          </cell>
          <cell r="Z153">
            <v>275.33760000000001</v>
          </cell>
          <cell r="AA153">
            <v>2395.7536</v>
          </cell>
          <cell r="AB153">
            <v>15.971690666666667</v>
          </cell>
        </row>
        <row r="154">
          <cell r="A154" t="str">
            <v>NT Plant-Rigid4R-40</v>
          </cell>
          <cell r="B154" t="str">
            <v>NT Plant-Rigid</v>
          </cell>
          <cell r="C154" t="str">
            <v>4R-40</v>
          </cell>
          <cell r="D154">
            <v>13.3</v>
          </cell>
          <cell r="E154">
            <v>6.75</v>
          </cell>
          <cell r="F154">
            <v>0.65</v>
          </cell>
          <cell r="G154">
            <v>0.14137908874750979</v>
          </cell>
          <cell r="H154">
            <v>15399</v>
          </cell>
          <cell r="I154">
            <v>45</v>
          </cell>
          <cell r="J154">
            <v>45</v>
          </cell>
          <cell r="K154">
            <v>8</v>
          </cell>
          <cell r="L154">
            <v>150</v>
          </cell>
          <cell r="M154">
            <v>0</v>
          </cell>
          <cell r="N154">
            <v>1200</v>
          </cell>
          <cell r="O154">
            <v>1</v>
          </cell>
          <cell r="P154">
            <v>0.27</v>
          </cell>
          <cell r="Q154">
            <v>1.4</v>
          </cell>
          <cell r="R154">
            <v>292.00080304085571</v>
          </cell>
          <cell r="S154">
            <v>1.9466720202723715</v>
          </cell>
          <cell r="T154">
            <v>866.19375000000002</v>
          </cell>
          <cell r="U154">
            <v>5.7746250000000003</v>
          </cell>
          <cell r="V154">
            <v>6929.55</v>
          </cell>
          <cell r="W154">
            <v>1058.6812500000001</v>
          </cell>
          <cell r="X154">
            <v>11164.275</v>
          </cell>
          <cell r="Y154">
            <v>1004.7847499999999</v>
          </cell>
          <cell r="Z154">
            <v>267.94259999999997</v>
          </cell>
          <cell r="AA154">
            <v>2331.4085999999998</v>
          </cell>
          <cell r="AB154">
            <v>15.542723999999998</v>
          </cell>
        </row>
        <row r="155">
          <cell r="A155" t="str">
            <v>NT Plant-Rigid6R-30</v>
          </cell>
          <cell r="B155" t="str">
            <v>NT Plant-Rigid</v>
          </cell>
          <cell r="C155" t="str">
            <v>6R-30</v>
          </cell>
          <cell r="D155">
            <v>15</v>
          </cell>
          <cell r="E155">
            <v>6.75</v>
          </cell>
          <cell r="F155">
            <v>0.65</v>
          </cell>
          <cell r="G155">
            <v>0.12535612535612536</v>
          </cell>
          <cell r="H155">
            <v>20831</v>
          </cell>
          <cell r="I155">
            <v>45</v>
          </cell>
          <cell r="J155">
            <v>45</v>
          </cell>
          <cell r="K155">
            <v>8</v>
          </cell>
          <cell r="L155">
            <v>150</v>
          </cell>
          <cell r="M155">
            <v>0</v>
          </cell>
          <cell r="N155">
            <v>1200</v>
          </cell>
          <cell r="O155">
            <v>1</v>
          </cell>
          <cell r="P155">
            <v>0.27</v>
          </cell>
          <cell r="Q155">
            <v>1.4</v>
          </cell>
          <cell r="R155">
            <v>395.00413845990425</v>
          </cell>
          <cell r="S155">
            <v>2.6333609230660282</v>
          </cell>
          <cell r="T155">
            <v>1171.7437500000001</v>
          </cell>
          <cell r="U155">
            <v>7.8116250000000003</v>
          </cell>
          <cell r="V155">
            <v>9373.9500000000007</v>
          </cell>
          <cell r="W155">
            <v>1432.1312499999999</v>
          </cell>
          <cell r="X155">
            <v>15102.475</v>
          </cell>
          <cell r="Y155">
            <v>1359.2227499999999</v>
          </cell>
          <cell r="Z155">
            <v>362.45940000000002</v>
          </cell>
          <cell r="AA155">
            <v>3153.8134</v>
          </cell>
          <cell r="AB155">
            <v>21.025422666666667</v>
          </cell>
        </row>
        <row r="156">
          <cell r="A156" t="str">
            <v>NT Plant-Rigid6R-40</v>
          </cell>
          <cell r="B156" t="str">
            <v>NT Plant-Rigid</v>
          </cell>
          <cell r="C156" t="str">
            <v>6R-40</v>
          </cell>
          <cell r="D156">
            <v>20</v>
          </cell>
          <cell r="E156">
            <v>6.75</v>
          </cell>
          <cell r="F156">
            <v>0.65</v>
          </cell>
          <cell r="G156">
            <v>9.4017094017094016E-2</v>
          </cell>
          <cell r="H156">
            <v>20915</v>
          </cell>
          <cell r="I156">
            <v>45</v>
          </cell>
          <cell r="J156">
            <v>45</v>
          </cell>
          <cell r="K156">
            <v>8</v>
          </cell>
          <cell r="L156">
            <v>150</v>
          </cell>
          <cell r="M156">
            <v>0</v>
          </cell>
          <cell r="N156">
            <v>1200</v>
          </cell>
          <cell r="O156">
            <v>1</v>
          </cell>
          <cell r="P156">
            <v>0.27</v>
          </cell>
          <cell r="Q156">
            <v>1.4</v>
          </cell>
          <cell r="R156">
            <v>396.59697354370394</v>
          </cell>
          <cell r="S156">
            <v>2.6439798236246927</v>
          </cell>
          <cell r="T156">
            <v>1176.46875</v>
          </cell>
          <cell r="U156">
            <v>7.8431249999999997</v>
          </cell>
          <cell r="V156">
            <v>9411.75</v>
          </cell>
          <cell r="W156">
            <v>1437.90625</v>
          </cell>
          <cell r="X156">
            <v>15163.375</v>
          </cell>
          <cell r="Y156">
            <v>1364.7037499999999</v>
          </cell>
          <cell r="Z156">
            <v>363.92099999999999</v>
          </cell>
          <cell r="AA156">
            <v>3166.5309999999999</v>
          </cell>
          <cell r="AB156">
            <v>21.110206666666667</v>
          </cell>
        </row>
        <row r="157">
          <cell r="A157" t="str">
            <v>NT Plant-Rigid8R-22</v>
          </cell>
          <cell r="B157" t="str">
            <v>NT Plant-Rigid</v>
          </cell>
          <cell r="C157" t="str">
            <v>8R-22</v>
          </cell>
          <cell r="D157">
            <v>14.7</v>
          </cell>
          <cell r="E157">
            <v>6.75</v>
          </cell>
          <cell r="F157">
            <v>0.65</v>
          </cell>
          <cell r="G157">
            <v>0.12791441362869937</v>
          </cell>
          <cell r="H157">
            <v>21142</v>
          </cell>
          <cell r="I157">
            <v>45</v>
          </cell>
          <cell r="J157">
            <v>45</v>
          </cell>
          <cell r="K157">
            <v>8</v>
          </cell>
          <cell r="L157">
            <v>150</v>
          </cell>
          <cell r="M157">
            <v>0</v>
          </cell>
          <cell r="N157">
            <v>1200</v>
          </cell>
          <cell r="O157">
            <v>1</v>
          </cell>
          <cell r="P157">
            <v>0.27</v>
          </cell>
          <cell r="Q157">
            <v>1.4</v>
          </cell>
          <cell r="R157">
            <v>400.90142073444844</v>
          </cell>
          <cell r="S157">
            <v>2.6726761382296562</v>
          </cell>
          <cell r="T157">
            <v>1189.2375</v>
          </cell>
          <cell r="U157">
            <v>7.9282499999999994</v>
          </cell>
          <cell r="V157">
            <v>9513.9</v>
          </cell>
          <cell r="W157">
            <v>1453.5125</v>
          </cell>
          <cell r="X157">
            <v>15327.95</v>
          </cell>
          <cell r="Y157">
            <v>1379.5155</v>
          </cell>
          <cell r="Z157">
            <v>367.87080000000003</v>
          </cell>
          <cell r="AA157">
            <v>3200.8987999999999</v>
          </cell>
          <cell r="AB157">
            <v>21.339325333333331</v>
          </cell>
        </row>
        <row r="158">
          <cell r="A158" t="str">
            <v>NT Plant-Rigid8R-30</v>
          </cell>
          <cell r="B158" t="str">
            <v>NT Plant-Rigid</v>
          </cell>
          <cell r="C158" t="str">
            <v>8R-30</v>
          </cell>
          <cell r="D158">
            <v>20</v>
          </cell>
          <cell r="E158">
            <v>6.75</v>
          </cell>
          <cell r="F158">
            <v>0.65</v>
          </cell>
          <cell r="G158">
            <v>9.4017094017094016E-2</v>
          </cell>
          <cell r="H158">
            <v>25935</v>
          </cell>
          <cell r="I158">
            <v>45</v>
          </cell>
          <cell r="J158">
            <v>45</v>
          </cell>
          <cell r="K158">
            <v>8</v>
          </cell>
          <cell r="L158">
            <v>150</v>
          </cell>
          <cell r="M158">
            <v>0</v>
          </cell>
          <cell r="N158">
            <v>1200</v>
          </cell>
          <cell r="O158">
            <v>1</v>
          </cell>
          <cell r="P158">
            <v>0.27</v>
          </cell>
          <cell r="Q158">
            <v>1.4</v>
          </cell>
          <cell r="R158">
            <v>491.78783212316341</v>
          </cell>
          <cell r="S158">
            <v>3.2785855474877561</v>
          </cell>
          <cell r="T158">
            <v>1458.84375</v>
          </cell>
          <cell r="U158">
            <v>9.7256250000000009</v>
          </cell>
          <cell r="V158">
            <v>11670.75</v>
          </cell>
          <cell r="W158">
            <v>1783.03125</v>
          </cell>
          <cell r="X158">
            <v>18802.875</v>
          </cell>
          <cell r="Y158">
            <v>1692.25875</v>
          </cell>
          <cell r="Z158">
            <v>451.26900000000001</v>
          </cell>
          <cell r="AA158">
            <v>3926.5590000000002</v>
          </cell>
          <cell r="AB158">
            <v>26.177060000000001</v>
          </cell>
        </row>
        <row r="159">
          <cell r="A159" t="str">
            <v>NT Plant-Rigid8R-40</v>
          </cell>
          <cell r="B159" t="str">
            <v>NT Plant-Rigid</v>
          </cell>
          <cell r="C159" t="str">
            <v>8R-40</v>
          </cell>
          <cell r="D159">
            <v>26.7</v>
          </cell>
          <cell r="E159">
            <v>6.75</v>
          </cell>
          <cell r="F159">
            <v>0.65</v>
          </cell>
          <cell r="G159">
            <v>7.042478952591312E-2</v>
          </cell>
          <cell r="H159">
            <v>25517</v>
          </cell>
          <cell r="I159">
            <v>45</v>
          </cell>
          <cell r="J159">
            <v>45</v>
          </cell>
          <cell r="K159">
            <v>8</v>
          </cell>
          <cell r="L159">
            <v>150</v>
          </cell>
          <cell r="M159">
            <v>0</v>
          </cell>
          <cell r="N159">
            <v>1200</v>
          </cell>
          <cell r="O159">
            <v>1</v>
          </cell>
          <cell r="P159">
            <v>0.27</v>
          </cell>
          <cell r="Q159">
            <v>1.4</v>
          </cell>
          <cell r="R159">
            <v>483.86158134901711</v>
          </cell>
          <cell r="S159">
            <v>3.2257438756601142</v>
          </cell>
          <cell r="T159">
            <v>1435.33125</v>
          </cell>
          <cell r="U159">
            <v>9.5688750000000002</v>
          </cell>
          <cell r="V159">
            <v>11482.65</v>
          </cell>
          <cell r="W159">
            <v>1754.29375</v>
          </cell>
          <cell r="X159">
            <v>18499.825000000001</v>
          </cell>
          <cell r="Y159">
            <v>1664.98425</v>
          </cell>
          <cell r="Z159">
            <v>443.99580000000003</v>
          </cell>
          <cell r="AA159">
            <v>3863.2737999999999</v>
          </cell>
          <cell r="AB159">
            <v>25.755158666666667</v>
          </cell>
        </row>
        <row r="160">
          <cell r="A160" t="str">
            <v>Paratill &amp; Bed Fold.12R-36</v>
          </cell>
          <cell r="B160" t="str">
            <v>Paratill &amp; Bed Fold.</v>
          </cell>
          <cell r="C160" t="str">
            <v>12R-36</v>
          </cell>
          <cell r="D160">
            <v>36</v>
          </cell>
          <cell r="E160">
            <v>4.75</v>
          </cell>
          <cell r="F160">
            <v>0.85</v>
          </cell>
          <cell r="G160">
            <v>5.6759545923632616E-2</v>
          </cell>
          <cell r="H160">
            <v>47439</v>
          </cell>
          <cell r="I160">
            <v>30</v>
          </cell>
          <cell r="J160">
            <v>65</v>
          </cell>
          <cell r="K160">
            <v>12</v>
          </cell>
          <cell r="L160">
            <v>150</v>
          </cell>
          <cell r="M160">
            <v>0</v>
          </cell>
          <cell r="N160">
            <v>1800</v>
          </cell>
          <cell r="O160">
            <v>1</v>
          </cell>
          <cell r="P160">
            <v>0.27</v>
          </cell>
          <cell r="Q160">
            <v>1.4</v>
          </cell>
          <cell r="R160">
            <v>899.55361357589152</v>
          </cell>
          <cell r="S160">
            <v>5.9970240905059438</v>
          </cell>
          <cell r="T160">
            <v>2569.6124999999997</v>
          </cell>
          <cell r="U160">
            <v>17.130749999999999</v>
          </cell>
          <cell r="V160">
            <v>14231.7</v>
          </cell>
          <cell r="W160">
            <v>2767.2750000000001</v>
          </cell>
          <cell r="X160">
            <v>30835.35</v>
          </cell>
          <cell r="Y160">
            <v>2775.1814999999997</v>
          </cell>
          <cell r="Z160">
            <v>740.04840000000002</v>
          </cell>
          <cell r="AA160">
            <v>6282.5048999999999</v>
          </cell>
          <cell r="AB160">
            <v>41.883366000000002</v>
          </cell>
        </row>
        <row r="161">
          <cell r="A161" t="str">
            <v>Paratill &amp; Bed Fold.8R-36</v>
          </cell>
          <cell r="B161" t="str">
            <v>Paratill &amp; Bed Fold.</v>
          </cell>
          <cell r="C161" t="str">
            <v>8R-36</v>
          </cell>
          <cell r="D161">
            <v>24</v>
          </cell>
          <cell r="E161">
            <v>4.75</v>
          </cell>
          <cell r="F161">
            <v>0.85</v>
          </cell>
          <cell r="G161">
            <v>8.5139318885448914E-2</v>
          </cell>
          <cell r="H161">
            <v>29672</v>
          </cell>
          <cell r="I161">
            <v>30</v>
          </cell>
          <cell r="J161">
            <v>65</v>
          </cell>
          <cell r="K161">
            <v>12</v>
          </cell>
          <cell r="L161">
            <v>150</v>
          </cell>
          <cell r="M161">
            <v>0</v>
          </cell>
          <cell r="N161">
            <v>1800</v>
          </cell>
          <cell r="O161">
            <v>1</v>
          </cell>
          <cell r="P161">
            <v>0.27</v>
          </cell>
          <cell r="Q161">
            <v>1.4</v>
          </cell>
          <cell r="R161">
            <v>562.65003102982473</v>
          </cell>
          <cell r="S161">
            <v>3.7510002068654984</v>
          </cell>
          <cell r="T161">
            <v>1607.2333333333333</v>
          </cell>
          <cell r="U161">
            <v>10.71488888888889</v>
          </cell>
          <cell r="V161">
            <v>8901.6</v>
          </cell>
          <cell r="W161">
            <v>1730.8666666666668</v>
          </cell>
          <cell r="X161">
            <v>19286.8</v>
          </cell>
          <cell r="Y161">
            <v>1735.8119999999999</v>
          </cell>
          <cell r="Z161">
            <v>462.88319999999999</v>
          </cell>
          <cell r="AA161">
            <v>3929.5618666666669</v>
          </cell>
          <cell r="AB161">
            <v>26.197079111111112</v>
          </cell>
        </row>
        <row r="162">
          <cell r="A162" t="str">
            <v>Paratill &amp; Bed Rigid8R-36</v>
          </cell>
          <cell r="B162" t="str">
            <v>Paratill &amp; Bed Rigid</v>
          </cell>
          <cell r="C162" t="str">
            <v>8R-36</v>
          </cell>
          <cell r="D162">
            <v>24</v>
          </cell>
          <cell r="E162">
            <v>4.75</v>
          </cell>
          <cell r="F162">
            <v>0.85</v>
          </cell>
          <cell r="G162">
            <v>8.5139318885448914E-2</v>
          </cell>
          <cell r="H162">
            <v>18879</v>
          </cell>
          <cell r="I162">
            <v>30</v>
          </cell>
          <cell r="J162">
            <v>65</v>
          </cell>
          <cell r="K162">
            <v>12</v>
          </cell>
          <cell r="L162">
            <v>150</v>
          </cell>
          <cell r="M162">
            <v>0</v>
          </cell>
          <cell r="N162">
            <v>1800</v>
          </cell>
          <cell r="O162">
            <v>1</v>
          </cell>
          <cell r="P162">
            <v>0.27</v>
          </cell>
          <cell r="Q162">
            <v>1.4</v>
          </cell>
          <cell r="R162">
            <v>357.9896850839869</v>
          </cell>
          <cell r="S162">
            <v>2.3865979005599125</v>
          </cell>
          <cell r="T162">
            <v>1022.6125000000001</v>
          </cell>
          <cell r="U162">
            <v>6.8174166666666673</v>
          </cell>
          <cell r="V162">
            <v>5663.7</v>
          </cell>
          <cell r="W162">
            <v>1101.2749999999999</v>
          </cell>
          <cell r="X162">
            <v>12271.35</v>
          </cell>
          <cell r="Y162">
            <v>1104.4214999999999</v>
          </cell>
          <cell r="Z162">
            <v>294.51240000000001</v>
          </cell>
          <cell r="AA162">
            <v>2500.2088999999996</v>
          </cell>
          <cell r="AB162">
            <v>16.668059333333332</v>
          </cell>
        </row>
        <row r="163">
          <cell r="A163" t="str">
            <v>Paratill &amp; Bed4R-30</v>
          </cell>
          <cell r="B163" t="str">
            <v>Paratill &amp; Bed</v>
          </cell>
          <cell r="C163" t="str">
            <v>4R-30</v>
          </cell>
          <cell r="D163">
            <v>10</v>
          </cell>
          <cell r="E163">
            <v>4.75</v>
          </cell>
          <cell r="F163">
            <v>0.85</v>
          </cell>
          <cell r="G163">
            <v>0.20433436532507743</v>
          </cell>
          <cell r="H163">
            <v>9794</v>
          </cell>
          <cell r="I163">
            <v>30</v>
          </cell>
          <cell r="J163">
            <v>65</v>
          </cell>
          <cell r="K163">
            <v>12</v>
          </cell>
          <cell r="L163">
            <v>150</v>
          </cell>
          <cell r="M163">
            <v>0</v>
          </cell>
          <cell r="N163">
            <v>1800</v>
          </cell>
          <cell r="O163">
            <v>1</v>
          </cell>
          <cell r="P163">
            <v>0.27</v>
          </cell>
          <cell r="Q163">
            <v>1.4</v>
          </cell>
          <cell r="R163">
            <v>185.71698584207681</v>
          </cell>
          <cell r="S163">
            <v>1.2381132389471787</v>
          </cell>
          <cell r="T163">
            <v>530.50833333333333</v>
          </cell>
          <cell r="U163">
            <v>3.5367222222222221</v>
          </cell>
          <cell r="V163">
            <v>2938.2</v>
          </cell>
          <cell r="W163">
            <v>571.31666666666672</v>
          </cell>
          <cell r="X163">
            <v>6366.1</v>
          </cell>
          <cell r="Y163">
            <v>572.94899999999996</v>
          </cell>
          <cell r="Z163">
            <v>152.78640000000001</v>
          </cell>
          <cell r="AA163">
            <v>1297.0520666666666</v>
          </cell>
          <cell r="AB163">
            <v>8.6470137777777776</v>
          </cell>
        </row>
        <row r="164">
          <cell r="A164" t="str">
            <v>Paratill &amp; Bed4R-36</v>
          </cell>
          <cell r="B164" t="str">
            <v>Paratill &amp; Bed</v>
          </cell>
          <cell r="C164" t="str">
            <v>4R-36</v>
          </cell>
          <cell r="D164">
            <v>12</v>
          </cell>
          <cell r="E164">
            <v>4.75</v>
          </cell>
          <cell r="F164">
            <v>0.85</v>
          </cell>
          <cell r="G164">
            <v>0.17027863777089783</v>
          </cell>
          <cell r="H164">
            <v>9838</v>
          </cell>
          <cell r="I164">
            <v>30</v>
          </cell>
          <cell r="J164">
            <v>65</v>
          </cell>
          <cell r="K164">
            <v>12</v>
          </cell>
          <cell r="L164">
            <v>150</v>
          </cell>
          <cell r="M164">
            <v>0</v>
          </cell>
          <cell r="N164">
            <v>1800</v>
          </cell>
          <cell r="O164">
            <v>1</v>
          </cell>
          <cell r="P164">
            <v>0.27</v>
          </cell>
          <cell r="Q164">
            <v>1.4</v>
          </cell>
          <cell r="R164">
            <v>186.55132802882906</v>
          </cell>
          <cell r="S164">
            <v>1.2436755201921939</v>
          </cell>
          <cell r="T164">
            <v>532.89166666666665</v>
          </cell>
          <cell r="U164">
            <v>3.5526111111111112</v>
          </cell>
          <cell r="V164">
            <v>2951.4</v>
          </cell>
          <cell r="W164">
            <v>573.88333333333333</v>
          </cell>
          <cell r="X164">
            <v>6394.7</v>
          </cell>
          <cell r="Y164">
            <v>575.52299999999991</v>
          </cell>
          <cell r="Z164">
            <v>153.47280000000001</v>
          </cell>
          <cell r="AA164">
            <v>1302.8791333333334</v>
          </cell>
          <cell r="AB164">
            <v>8.6858608888888895</v>
          </cell>
        </row>
        <row r="165">
          <cell r="A165" t="str">
            <v>Paratill &amp; Bed6R-30</v>
          </cell>
          <cell r="B165" t="str">
            <v>Paratill &amp; Bed</v>
          </cell>
          <cell r="C165" t="str">
            <v>6R-30</v>
          </cell>
          <cell r="D165">
            <v>15</v>
          </cell>
          <cell r="E165">
            <v>4.75</v>
          </cell>
          <cell r="F165">
            <v>0.85</v>
          </cell>
          <cell r="G165">
            <v>0.13622291021671826</v>
          </cell>
          <cell r="H165">
            <v>13527</v>
          </cell>
          <cell r="I165">
            <v>30</v>
          </cell>
          <cell r="J165">
            <v>65</v>
          </cell>
          <cell r="K165">
            <v>12</v>
          </cell>
          <cell r="L165">
            <v>150</v>
          </cell>
          <cell r="M165">
            <v>0</v>
          </cell>
          <cell r="N165">
            <v>1800</v>
          </cell>
          <cell r="O165">
            <v>1</v>
          </cell>
          <cell r="P165">
            <v>0.27</v>
          </cell>
          <cell r="Q165">
            <v>1.4</v>
          </cell>
          <cell r="R165">
            <v>256.50333545903339</v>
          </cell>
          <cell r="S165">
            <v>1.710022236393556</v>
          </cell>
          <cell r="T165">
            <v>732.71249999999998</v>
          </cell>
          <cell r="U165">
            <v>4.8847499999999995</v>
          </cell>
          <cell r="V165">
            <v>4058.1</v>
          </cell>
          <cell r="W165">
            <v>789.07499999999993</v>
          </cell>
          <cell r="X165">
            <v>8792.5499999999993</v>
          </cell>
          <cell r="Y165">
            <v>791.32949999999994</v>
          </cell>
          <cell r="Z165">
            <v>211.02119999999999</v>
          </cell>
          <cell r="AA165">
            <v>1791.4256999999998</v>
          </cell>
          <cell r="AB165">
            <v>11.942837999999998</v>
          </cell>
        </row>
        <row r="166">
          <cell r="A166" t="str">
            <v>Paratill &amp; Bed6R-36</v>
          </cell>
          <cell r="B166" t="str">
            <v>Paratill &amp; Bed</v>
          </cell>
          <cell r="C166" t="str">
            <v>6R-36</v>
          </cell>
          <cell r="D166">
            <v>18</v>
          </cell>
          <cell r="E166">
            <v>4.75</v>
          </cell>
          <cell r="F166">
            <v>0.85</v>
          </cell>
          <cell r="G166">
            <v>0.11351909184726523</v>
          </cell>
          <cell r="H166">
            <v>15103</v>
          </cell>
          <cell r="I166">
            <v>30</v>
          </cell>
          <cell r="J166">
            <v>65</v>
          </cell>
          <cell r="K166">
            <v>12</v>
          </cell>
          <cell r="L166">
            <v>150</v>
          </cell>
          <cell r="M166">
            <v>0</v>
          </cell>
          <cell r="N166">
            <v>1800</v>
          </cell>
          <cell r="O166">
            <v>1</v>
          </cell>
          <cell r="P166">
            <v>0.27</v>
          </cell>
          <cell r="Q166">
            <v>1.4</v>
          </cell>
          <cell r="R166">
            <v>286.38795560270432</v>
          </cell>
          <cell r="S166">
            <v>1.9092530373513621</v>
          </cell>
          <cell r="T166">
            <v>818.07916666666677</v>
          </cell>
          <cell r="U166">
            <v>5.4538611111111122</v>
          </cell>
          <cell r="V166">
            <v>4530.8999999999996</v>
          </cell>
          <cell r="W166">
            <v>881.00833333333333</v>
          </cell>
          <cell r="X166">
            <v>9816.9500000000007</v>
          </cell>
          <cell r="Y166">
            <v>883.52550000000008</v>
          </cell>
          <cell r="Z166">
            <v>235.60680000000002</v>
          </cell>
          <cell r="AA166">
            <v>2000.1406333333334</v>
          </cell>
          <cell r="AB166">
            <v>13.33427088888889</v>
          </cell>
        </row>
        <row r="167">
          <cell r="A167" t="str">
            <v>Paratill &amp; Bed8R-30</v>
          </cell>
          <cell r="B167" t="str">
            <v>Paratill &amp; Bed</v>
          </cell>
          <cell r="C167" t="str">
            <v>8R-30</v>
          </cell>
          <cell r="D167">
            <v>20</v>
          </cell>
          <cell r="E167">
            <v>4.75</v>
          </cell>
          <cell r="F167">
            <v>0.85</v>
          </cell>
          <cell r="G167">
            <v>0.10216718266253871</v>
          </cell>
          <cell r="H167">
            <v>17858</v>
          </cell>
          <cell r="I167">
            <v>30</v>
          </cell>
          <cell r="J167">
            <v>65</v>
          </cell>
          <cell r="K167">
            <v>12</v>
          </cell>
          <cell r="L167">
            <v>150</v>
          </cell>
          <cell r="M167">
            <v>0</v>
          </cell>
          <cell r="N167">
            <v>1800</v>
          </cell>
          <cell r="O167">
            <v>1</v>
          </cell>
          <cell r="P167">
            <v>0.27</v>
          </cell>
          <cell r="Q167">
            <v>1.4</v>
          </cell>
          <cell r="R167">
            <v>338.62915388684991</v>
          </cell>
          <cell r="S167">
            <v>2.2575276925789995</v>
          </cell>
          <cell r="T167">
            <v>967.30833333333339</v>
          </cell>
          <cell r="U167">
            <v>6.4487222222222229</v>
          </cell>
          <cell r="V167">
            <v>5357.4</v>
          </cell>
          <cell r="W167">
            <v>1041.7166666666667</v>
          </cell>
          <cell r="X167">
            <v>11607.7</v>
          </cell>
          <cell r="Y167">
            <v>1044.693</v>
          </cell>
          <cell r="Z167">
            <v>278.58480000000003</v>
          </cell>
          <cell r="AA167">
            <v>2364.994466666667</v>
          </cell>
          <cell r="AB167">
            <v>15.76662977777778</v>
          </cell>
        </row>
        <row r="168">
          <cell r="A168" t="str">
            <v>Paratill &amp; Bed8R402X1</v>
          </cell>
          <cell r="B168" t="str">
            <v>Paratill &amp; Bed</v>
          </cell>
          <cell r="C168" t="str">
            <v>8R402X1</v>
          </cell>
          <cell r="D168">
            <v>40</v>
          </cell>
          <cell r="E168">
            <v>4.75</v>
          </cell>
          <cell r="F168">
            <v>0.85</v>
          </cell>
          <cell r="G168">
            <v>5.1083591331269357E-2</v>
          </cell>
          <cell r="H168">
            <v>47439</v>
          </cell>
          <cell r="I168">
            <v>30</v>
          </cell>
          <cell r="J168">
            <v>65</v>
          </cell>
          <cell r="K168">
            <v>12</v>
          </cell>
          <cell r="L168">
            <v>150</v>
          </cell>
          <cell r="M168">
            <v>0</v>
          </cell>
          <cell r="N168">
            <v>1800</v>
          </cell>
          <cell r="O168">
            <v>1</v>
          </cell>
          <cell r="P168">
            <v>0.27</v>
          </cell>
          <cell r="Q168">
            <v>1.4</v>
          </cell>
          <cell r="R168">
            <v>899.55361357589152</v>
          </cell>
          <cell r="S168">
            <v>5.9970240905059438</v>
          </cell>
          <cell r="T168">
            <v>2569.6124999999997</v>
          </cell>
          <cell r="U168">
            <v>17.130749999999999</v>
          </cell>
          <cell r="V168">
            <v>14231.7</v>
          </cell>
          <cell r="W168">
            <v>2767.2750000000001</v>
          </cell>
          <cell r="X168">
            <v>30835.35</v>
          </cell>
          <cell r="Y168">
            <v>2775.1814999999997</v>
          </cell>
          <cell r="Z168">
            <v>740.04840000000002</v>
          </cell>
          <cell r="AA168">
            <v>6282.5048999999999</v>
          </cell>
          <cell r="AB168">
            <v>41.883366000000002</v>
          </cell>
        </row>
        <row r="169">
          <cell r="A169" t="str">
            <v>Pipe Drag30'</v>
          </cell>
          <cell r="B169" t="str">
            <v>Pipe Drag</v>
          </cell>
          <cell r="C169" t="str">
            <v>30'</v>
          </cell>
          <cell r="D169">
            <v>30</v>
          </cell>
          <cell r="E169">
            <v>6.25</v>
          </cell>
          <cell r="F169">
            <v>0.85</v>
          </cell>
          <cell r="G169">
            <v>5.1764705882352949E-2</v>
          </cell>
          <cell r="H169">
            <v>500</v>
          </cell>
          <cell r="I169">
            <v>30</v>
          </cell>
          <cell r="J169">
            <v>45</v>
          </cell>
          <cell r="K169">
            <v>12</v>
          </cell>
          <cell r="L169">
            <v>100</v>
          </cell>
          <cell r="M169">
            <v>0</v>
          </cell>
          <cell r="N169">
            <v>1200</v>
          </cell>
          <cell r="O169">
            <v>1</v>
          </cell>
          <cell r="P169">
            <v>0.27</v>
          </cell>
          <cell r="Q169">
            <v>1.4</v>
          </cell>
          <cell r="R169">
            <v>5.3744468024722156</v>
          </cell>
          <cell r="S169">
            <v>5.3744468024722158E-2</v>
          </cell>
          <cell r="T169">
            <v>18.75</v>
          </cell>
          <cell r="U169">
            <v>0.1875</v>
          </cell>
          <cell r="V169">
            <v>150</v>
          </cell>
          <cell r="W169">
            <v>29.166666666666668</v>
          </cell>
          <cell r="X169">
            <v>325</v>
          </cell>
          <cell r="Y169">
            <v>29.25</v>
          </cell>
          <cell r="Z169">
            <v>7.8</v>
          </cell>
          <cell r="AA169">
            <v>66.216666666666669</v>
          </cell>
          <cell r="AB169">
            <v>0.66216666666666668</v>
          </cell>
        </row>
        <row r="170">
          <cell r="A170" t="str">
            <v>Plant - Folding10R-30</v>
          </cell>
          <cell r="B170" t="str">
            <v>Plant - Folding</v>
          </cell>
          <cell r="C170" t="str">
            <v>10R-30</v>
          </cell>
          <cell r="D170">
            <v>25</v>
          </cell>
          <cell r="E170">
            <v>6.75</v>
          </cell>
          <cell r="F170">
            <v>0.65</v>
          </cell>
          <cell r="G170">
            <v>7.521367521367521E-2</v>
          </cell>
          <cell r="H170">
            <v>42453</v>
          </cell>
          <cell r="I170">
            <v>45</v>
          </cell>
          <cell r="J170">
            <v>45</v>
          </cell>
          <cell r="K170">
            <v>8</v>
          </cell>
          <cell r="L170">
            <v>150</v>
          </cell>
          <cell r="M170">
            <v>0</v>
          </cell>
          <cell r="N170">
            <v>1200</v>
          </cell>
          <cell r="O170">
            <v>1</v>
          </cell>
          <cell r="P170">
            <v>0.27</v>
          </cell>
          <cell r="Q170">
            <v>1.4</v>
          </cell>
          <cell r="R170">
            <v>805.00747395892256</v>
          </cell>
          <cell r="S170">
            <v>5.3667164930594842</v>
          </cell>
          <cell r="T170">
            <v>2387.9812499999998</v>
          </cell>
          <cell r="U170">
            <v>15.919874999999999</v>
          </cell>
          <cell r="V170">
            <v>19103.849999999999</v>
          </cell>
          <cell r="W170">
            <v>2918.6437500000002</v>
          </cell>
          <cell r="X170">
            <v>30778.424999999999</v>
          </cell>
          <cell r="Y170">
            <v>2770.05825</v>
          </cell>
          <cell r="Z170">
            <v>738.68219999999997</v>
          </cell>
          <cell r="AA170">
            <v>6427.3842000000004</v>
          </cell>
          <cell r="AB170">
            <v>42.849228000000004</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40465</v>
          </cell>
          <cell r="I172">
            <v>45</v>
          </cell>
          <cell r="J172">
            <v>45</v>
          </cell>
          <cell r="K172">
            <v>8</v>
          </cell>
          <cell r="L172">
            <v>150</v>
          </cell>
          <cell r="M172">
            <v>0</v>
          </cell>
          <cell r="N172">
            <v>1200</v>
          </cell>
          <cell r="O172">
            <v>1</v>
          </cell>
          <cell r="P172">
            <v>0.27</v>
          </cell>
          <cell r="Q172">
            <v>1.4</v>
          </cell>
          <cell r="R172">
            <v>767.31037697566251</v>
          </cell>
          <cell r="S172">
            <v>5.115402513171083</v>
          </cell>
          <cell r="T172">
            <v>2276.15625</v>
          </cell>
          <cell r="U172">
            <v>15.174375</v>
          </cell>
          <cell r="V172">
            <v>18209.25</v>
          </cell>
          <cell r="W172">
            <v>2781.96875</v>
          </cell>
          <cell r="X172">
            <v>29337.125</v>
          </cell>
          <cell r="Y172">
            <v>2640.3412499999999</v>
          </cell>
          <cell r="Z172">
            <v>704.09100000000001</v>
          </cell>
          <cell r="AA172">
            <v>6126.4009999999998</v>
          </cell>
          <cell r="AB172">
            <v>40.84267333333333</v>
          </cell>
        </row>
        <row r="173">
          <cell r="A173" t="str">
            <v>Plant - Folding12R-30</v>
          </cell>
          <cell r="B173" t="str">
            <v>Plant - Folding</v>
          </cell>
          <cell r="C173" t="str">
            <v>12R-30</v>
          </cell>
          <cell r="D173">
            <v>30</v>
          </cell>
          <cell r="E173">
            <v>6.75</v>
          </cell>
          <cell r="F173">
            <v>0.65</v>
          </cell>
          <cell r="G173">
            <v>6.2678062678062682E-2</v>
          </cell>
          <cell r="H173">
            <v>46726</v>
          </cell>
          <cell r="I173">
            <v>45</v>
          </cell>
          <cell r="J173">
            <v>45</v>
          </cell>
          <cell r="K173">
            <v>8</v>
          </cell>
          <cell r="L173">
            <v>150</v>
          </cell>
          <cell r="M173">
            <v>0</v>
          </cell>
          <cell r="N173">
            <v>1200</v>
          </cell>
          <cell r="O173">
            <v>1</v>
          </cell>
          <cell r="P173">
            <v>0.27</v>
          </cell>
          <cell r="Q173">
            <v>1.4</v>
          </cell>
          <cell r="R173">
            <v>886.03347768602009</v>
          </cell>
          <cell r="S173">
            <v>5.906889851240134</v>
          </cell>
          <cell r="T173">
            <v>2628.3375000000001</v>
          </cell>
          <cell r="U173">
            <v>17.52225</v>
          </cell>
          <cell r="V173">
            <v>21026.7</v>
          </cell>
          <cell r="W173">
            <v>3212.4124999999999</v>
          </cell>
          <cell r="X173">
            <v>33876.35</v>
          </cell>
          <cell r="Y173">
            <v>3048.8714999999997</v>
          </cell>
          <cell r="Z173">
            <v>813.03239999999994</v>
          </cell>
          <cell r="AA173">
            <v>7074.3163999999997</v>
          </cell>
          <cell r="AB173">
            <v>47.162109333333333</v>
          </cell>
        </row>
        <row r="174">
          <cell r="A174" t="str">
            <v>Plant - Folding12R-36</v>
          </cell>
          <cell r="B174" t="str">
            <v>Plant - Folding</v>
          </cell>
          <cell r="C174" t="str">
            <v>12R-36</v>
          </cell>
          <cell r="D174">
            <v>36</v>
          </cell>
          <cell r="E174">
            <v>6.75</v>
          </cell>
          <cell r="F174">
            <v>0.65</v>
          </cell>
          <cell r="G174">
            <v>5.2231718898385571E-2</v>
          </cell>
          <cell r="H174">
            <v>44240</v>
          </cell>
          <cell r="I174">
            <v>45</v>
          </cell>
          <cell r="J174">
            <v>45</v>
          </cell>
          <cell r="K174">
            <v>8</v>
          </cell>
          <cell r="L174">
            <v>150</v>
          </cell>
          <cell r="M174">
            <v>0</v>
          </cell>
          <cell r="N174">
            <v>1200</v>
          </cell>
          <cell r="O174">
            <v>1</v>
          </cell>
          <cell r="P174">
            <v>0.27</v>
          </cell>
          <cell r="Q174">
            <v>1.4</v>
          </cell>
          <cell r="R174">
            <v>838.89314413451893</v>
          </cell>
          <cell r="S174">
            <v>5.5926209608967925</v>
          </cell>
          <cell r="T174">
            <v>2488.5</v>
          </cell>
          <cell r="U174">
            <v>16.59</v>
          </cell>
          <cell r="V174">
            <v>19908</v>
          </cell>
          <cell r="W174">
            <v>3041.5</v>
          </cell>
          <cell r="X174">
            <v>32074</v>
          </cell>
          <cell r="Y174">
            <v>2886.66</v>
          </cell>
          <cell r="Z174">
            <v>769.77600000000007</v>
          </cell>
          <cell r="AA174">
            <v>6697.9359999999997</v>
          </cell>
          <cell r="AB174">
            <v>44.652906666666667</v>
          </cell>
        </row>
        <row r="175">
          <cell r="A175" t="str">
            <v>Plant - Folding16R-30</v>
          </cell>
          <cell r="B175" t="str">
            <v>Plant - Folding</v>
          </cell>
          <cell r="C175" t="str">
            <v>16R-30</v>
          </cell>
          <cell r="D175">
            <v>40</v>
          </cell>
          <cell r="E175">
            <v>6.75</v>
          </cell>
          <cell r="F175">
            <v>0.65</v>
          </cell>
          <cell r="G175">
            <v>4.7008547008547008E-2</v>
          </cell>
          <cell r="H175">
            <v>65362</v>
          </cell>
          <cell r="I175">
            <v>45</v>
          </cell>
          <cell r="J175">
            <v>45</v>
          </cell>
          <cell r="K175">
            <v>8</v>
          </cell>
          <cell r="L175">
            <v>150</v>
          </cell>
          <cell r="M175">
            <v>0</v>
          </cell>
          <cell r="N175">
            <v>1200</v>
          </cell>
          <cell r="O175">
            <v>1</v>
          </cell>
          <cell r="P175">
            <v>0.27</v>
          </cell>
          <cell r="Q175">
            <v>1.4</v>
          </cell>
          <cell r="R175">
            <v>1239.4153184204436</v>
          </cell>
          <cell r="S175">
            <v>8.2627687894696233</v>
          </cell>
          <cell r="T175">
            <v>3676.6125000000002</v>
          </cell>
          <cell r="U175">
            <v>24.510750000000002</v>
          </cell>
          <cell r="V175">
            <v>29412.9</v>
          </cell>
          <cell r="W175">
            <v>4493.6374999999998</v>
          </cell>
          <cell r="X175">
            <v>47387.45</v>
          </cell>
          <cell r="Y175">
            <v>4264.8705</v>
          </cell>
          <cell r="Z175">
            <v>1137.2988</v>
          </cell>
          <cell r="AA175">
            <v>9895.8067999999985</v>
          </cell>
          <cell r="AB175">
            <v>65.972045333333327</v>
          </cell>
        </row>
        <row r="176">
          <cell r="A176" t="str">
            <v>Plant - Folding23R-15</v>
          </cell>
          <cell r="B176" t="str">
            <v>Plant - Folding</v>
          </cell>
          <cell r="C176" t="str">
            <v>23R-15</v>
          </cell>
          <cell r="D176">
            <v>28.8</v>
          </cell>
          <cell r="E176">
            <v>6.75</v>
          </cell>
          <cell r="F176">
            <v>0.65</v>
          </cell>
          <cell r="G176">
            <v>6.5289648622981949E-2</v>
          </cell>
          <cell r="H176">
            <v>73917</v>
          </cell>
          <cell r="I176">
            <v>45</v>
          </cell>
          <cell r="J176">
            <v>45</v>
          </cell>
          <cell r="K176">
            <v>8</v>
          </cell>
          <cell r="L176">
            <v>150</v>
          </cell>
          <cell r="M176">
            <v>0</v>
          </cell>
          <cell r="N176">
            <v>1200</v>
          </cell>
          <cell r="O176">
            <v>1</v>
          </cell>
          <cell r="P176">
            <v>0.27</v>
          </cell>
          <cell r="Q176">
            <v>1.4</v>
          </cell>
          <cell r="R176">
            <v>1401.6379867764745</v>
          </cell>
          <cell r="S176">
            <v>9.3442532451764961</v>
          </cell>
          <cell r="T176">
            <v>4157.8312500000002</v>
          </cell>
          <cell r="U176">
            <v>27.718875000000001</v>
          </cell>
          <cell r="V176">
            <v>33262.65</v>
          </cell>
          <cell r="W176">
            <v>5081.7937499999998</v>
          </cell>
          <cell r="X176">
            <v>53589.824999999997</v>
          </cell>
          <cell r="Y176">
            <v>4823.0842499999999</v>
          </cell>
          <cell r="Z176">
            <v>1286.1558</v>
          </cell>
          <cell r="AA176">
            <v>11191.033800000001</v>
          </cell>
          <cell r="AB176">
            <v>74.606892000000002</v>
          </cell>
        </row>
        <row r="177">
          <cell r="A177" t="str">
            <v>Plant - Folding24R-20</v>
          </cell>
          <cell r="B177" t="str">
            <v>Plant - Folding</v>
          </cell>
          <cell r="C177" t="str">
            <v>24R-20</v>
          </cell>
          <cell r="D177">
            <v>40</v>
          </cell>
          <cell r="E177">
            <v>6.75</v>
          </cell>
          <cell r="F177">
            <v>0.65</v>
          </cell>
          <cell r="G177">
            <v>4.7008547008547008E-2</v>
          </cell>
          <cell r="H177">
            <v>88673</v>
          </cell>
          <cell r="I177">
            <v>45</v>
          </cell>
          <cell r="J177">
            <v>45</v>
          </cell>
          <cell r="K177">
            <v>8</v>
          </cell>
          <cell r="L177">
            <v>150</v>
          </cell>
          <cell r="M177">
            <v>0</v>
          </cell>
          <cell r="N177">
            <v>1200</v>
          </cell>
          <cell r="O177">
            <v>1</v>
          </cell>
          <cell r="P177">
            <v>0.27</v>
          </cell>
          <cell r="Q177">
            <v>1.4</v>
          </cell>
          <cell r="R177">
            <v>1681.446016497292</v>
          </cell>
          <cell r="S177">
            <v>11.209640109981947</v>
          </cell>
          <cell r="T177">
            <v>4987.8562499999998</v>
          </cell>
          <cell r="U177">
            <v>33.252375000000001</v>
          </cell>
          <cell r="V177">
            <v>39902.85</v>
          </cell>
          <cell r="W177">
            <v>6096.2687500000002</v>
          </cell>
          <cell r="X177">
            <v>64287.925000000003</v>
          </cell>
          <cell r="Y177">
            <v>5785.9132499999996</v>
          </cell>
          <cell r="Z177">
            <v>1542.9102</v>
          </cell>
          <cell r="AA177">
            <v>13425.092199999999</v>
          </cell>
          <cell r="AB177">
            <v>89.500614666666664</v>
          </cell>
        </row>
        <row r="178">
          <cell r="A178" t="str">
            <v>Plant - Folding24R-30</v>
          </cell>
          <cell r="B178" t="str">
            <v>Plant - Folding</v>
          </cell>
          <cell r="C178" t="str">
            <v>24R-30</v>
          </cell>
          <cell r="D178">
            <v>60</v>
          </cell>
          <cell r="E178">
            <v>6.75</v>
          </cell>
          <cell r="F178">
            <v>0.65</v>
          </cell>
          <cell r="G178">
            <v>3.1339031339031341E-2</v>
          </cell>
          <cell r="H178">
            <v>98303</v>
          </cell>
          <cell r="I178">
            <v>45</v>
          </cell>
          <cell r="J178">
            <v>45</v>
          </cell>
          <cell r="K178">
            <v>8</v>
          </cell>
          <cell r="L178">
            <v>150</v>
          </cell>
          <cell r="M178">
            <v>0</v>
          </cell>
          <cell r="N178">
            <v>1200</v>
          </cell>
          <cell r="O178">
            <v>1</v>
          </cell>
          <cell r="P178">
            <v>0.27</v>
          </cell>
          <cell r="Q178">
            <v>1.4</v>
          </cell>
          <cell r="R178">
            <v>1864.053181461474</v>
          </cell>
          <cell r="S178">
            <v>12.42702120974316</v>
          </cell>
          <cell r="T178">
            <v>5529.5437499999998</v>
          </cell>
          <cell r="U178">
            <v>36.863624999999999</v>
          </cell>
          <cell r="V178">
            <v>44236.35</v>
          </cell>
          <cell r="W178">
            <v>6758.3312500000002</v>
          </cell>
          <cell r="X178">
            <v>71269.675000000003</v>
          </cell>
          <cell r="Y178">
            <v>6414.2707499999997</v>
          </cell>
          <cell r="Z178">
            <v>1710.4722000000002</v>
          </cell>
          <cell r="AA178">
            <v>14883.074199999999</v>
          </cell>
          <cell r="AB178">
            <v>99.220494666666667</v>
          </cell>
        </row>
        <row r="179">
          <cell r="A179" t="str">
            <v>Plant - Folding8R-36</v>
          </cell>
          <cell r="B179" t="str">
            <v>Plant - Folding</v>
          </cell>
          <cell r="C179" t="str">
            <v>8R-36</v>
          </cell>
          <cell r="D179">
            <v>24</v>
          </cell>
          <cell r="E179">
            <v>6.75</v>
          </cell>
          <cell r="F179">
            <v>0.65</v>
          </cell>
          <cell r="G179">
            <v>7.8347578347578342E-2</v>
          </cell>
          <cell r="H179">
            <v>30687</v>
          </cell>
          <cell r="I179">
            <v>45</v>
          </cell>
          <cell r="J179">
            <v>45</v>
          </cell>
          <cell r="K179">
            <v>8</v>
          </cell>
          <cell r="L179">
            <v>150</v>
          </cell>
          <cell r="M179">
            <v>0</v>
          </cell>
          <cell r="N179">
            <v>1200</v>
          </cell>
          <cell r="O179">
            <v>1</v>
          </cell>
          <cell r="P179">
            <v>0.27</v>
          </cell>
          <cell r="Q179">
            <v>1.4</v>
          </cell>
          <cell r="R179">
            <v>581.89678829240461</v>
          </cell>
          <cell r="S179">
            <v>3.8793119219493639</v>
          </cell>
          <cell r="T179">
            <v>1726.14375</v>
          </cell>
          <cell r="U179">
            <v>11.507624999999999</v>
          </cell>
          <cell r="V179">
            <v>13809.15</v>
          </cell>
          <cell r="W179">
            <v>2109.7312499999998</v>
          </cell>
          <cell r="X179">
            <v>22248.075000000001</v>
          </cell>
          <cell r="Y179">
            <v>2002.3267499999999</v>
          </cell>
          <cell r="Z179">
            <v>533.9538</v>
          </cell>
          <cell r="AA179">
            <v>4646.0118000000002</v>
          </cell>
          <cell r="AB179">
            <v>30.973412</v>
          </cell>
        </row>
        <row r="180">
          <cell r="A180" t="str">
            <v>Plant - Folding8R-40 2x1</v>
          </cell>
          <cell r="B180" t="str">
            <v>Plant - Folding</v>
          </cell>
          <cell r="C180" t="str">
            <v>8R-40 2x1</v>
          </cell>
          <cell r="D180">
            <v>40</v>
          </cell>
          <cell r="E180">
            <v>6.75</v>
          </cell>
          <cell r="F180">
            <v>0.65</v>
          </cell>
          <cell r="G180">
            <v>4.7008547008547008E-2</v>
          </cell>
          <cell r="H180">
            <v>44240</v>
          </cell>
          <cell r="I180">
            <v>45</v>
          </cell>
          <cell r="J180">
            <v>45</v>
          </cell>
          <cell r="K180">
            <v>8</v>
          </cell>
          <cell r="L180">
            <v>150</v>
          </cell>
          <cell r="M180">
            <v>0</v>
          </cell>
          <cell r="N180">
            <v>1200</v>
          </cell>
          <cell r="O180">
            <v>1</v>
          </cell>
          <cell r="P180">
            <v>0.27</v>
          </cell>
          <cell r="Q180">
            <v>1.4</v>
          </cell>
          <cell r="R180">
            <v>838.89314413451893</v>
          </cell>
          <cell r="S180">
            <v>5.5926209608967925</v>
          </cell>
          <cell r="T180">
            <v>2488.5</v>
          </cell>
          <cell r="U180">
            <v>16.59</v>
          </cell>
          <cell r="V180">
            <v>19908</v>
          </cell>
          <cell r="W180">
            <v>3041.5</v>
          </cell>
          <cell r="X180">
            <v>32074</v>
          </cell>
          <cell r="Y180">
            <v>2886.66</v>
          </cell>
          <cell r="Z180">
            <v>769.77600000000007</v>
          </cell>
          <cell r="AA180">
            <v>6697.9359999999997</v>
          </cell>
          <cell r="AB180">
            <v>44.652906666666667</v>
          </cell>
        </row>
        <row r="181">
          <cell r="A181" t="str">
            <v>Plant - Rigid10R-30</v>
          </cell>
          <cell r="B181" t="str">
            <v>Plant - Rigid</v>
          </cell>
          <cell r="C181" t="str">
            <v>10R-30</v>
          </cell>
          <cell r="D181">
            <v>25</v>
          </cell>
          <cell r="E181">
            <v>6.75</v>
          </cell>
          <cell r="F181">
            <v>0.65</v>
          </cell>
          <cell r="G181">
            <v>7.521367521367521E-2</v>
          </cell>
          <cell r="H181">
            <v>23890</v>
          </cell>
          <cell r="I181">
            <v>45</v>
          </cell>
          <cell r="J181">
            <v>45</v>
          </cell>
          <cell r="K181">
            <v>8</v>
          </cell>
          <cell r="L181">
            <v>150</v>
          </cell>
          <cell r="M181">
            <v>0</v>
          </cell>
          <cell r="N181">
            <v>1200</v>
          </cell>
          <cell r="O181">
            <v>1</v>
          </cell>
          <cell r="P181">
            <v>0.27</v>
          </cell>
          <cell r="Q181">
            <v>1.4</v>
          </cell>
          <cell r="R181">
            <v>453.0098827616107</v>
          </cell>
          <cell r="S181">
            <v>3.0200658850774045</v>
          </cell>
          <cell r="T181">
            <v>1343.8125</v>
          </cell>
          <cell r="U181">
            <v>8.9587500000000002</v>
          </cell>
          <cell r="V181">
            <v>10750.5</v>
          </cell>
          <cell r="W181">
            <v>1642.4375</v>
          </cell>
          <cell r="X181">
            <v>17320.25</v>
          </cell>
          <cell r="Y181">
            <v>1558.8225</v>
          </cell>
          <cell r="Z181">
            <v>415.68600000000004</v>
          </cell>
          <cell r="AA181">
            <v>3616.9459999999999</v>
          </cell>
          <cell r="AB181">
            <v>24.112973333333333</v>
          </cell>
        </row>
        <row r="182">
          <cell r="A182" t="str">
            <v>Plant - Rigid12R-20</v>
          </cell>
          <cell r="B182" t="str">
            <v>Plant - Rigid</v>
          </cell>
          <cell r="C182" t="str">
            <v>12R-20</v>
          </cell>
          <cell r="D182">
            <v>20</v>
          </cell>
          <cell r="E182">
            <v>6.75</v>
          </cell>
          <cell r="F182">
            <v>0.65</v>
          </cell>
          <cell r="G182">
            <v>9.4017094017094016E-2</v>
          </cell>
          <cell r="H182">
            <v>28254</v>
          </cell>
          <cell r="I182">
            <v>45</v>
          </cell>
          <cell r="J182">
            <v>45</v>
          </cell>
          <cell r="K182">
            <v>8</v>
          </cell>
          <cell r="L182">
            <v>150</v>
          </cell>
          <cell r="M182">
            <v>0</v>
          </cell>
          <cell r="N182">
            <v>1200</v>
          </cell>
          <cell r="O182">
            <v>1</v>
          </cell>
          <cell r="P182">
            <v>0.27</v>
          </cell>
          <cell r="Q182">
            <v>1.4</v>
          </cell>
          <cell r="R182">
            <v>535.76145782949141</v>
          </cell>
          <cell r="S182">
            <v>3.5717430521966094</v>
          </cell>
          <cell r="T182">
            <v>1589.2874999999999</v>
          </cell>
          <cell r="U182">
            <v>10.59525</v>
          </cell>
          <cell r="V182">
            <v>12714.3</v>
          </cell>
          <cell r="W182">
            <v>1942.4625000000001</v>
          </cell>
          <cell r="X182">
            <v>20484.150000000001</v>
          </cell>
          <cell r="Y182">
            <v>1843.5735</v>
          </cell>
          <cell r="Z182">
            <v>491.61960000000005</v>
          </cell>
          <cell r="AA182">
            <v>4277.6556</v>
          </cell>
          <cell r="AB182">
            <v>28.517704000000002</v>
          </cell>
        </row>
        <row r="183">
          <cell r="A183" t="str">
            <v>Plant - Rigid12R-30</v>
          </cell>
          <cell r="B183" t="str">
            <v>Plant - Rigid</v>
          </cell>
          <cell r="C183" t="str">
            <v>12R-30</v>
          </cell>
          <cell r="D183">
            <v>30</v>
          </cell>
          <cell r="E183">
            <v>6.75</v>
          </cell>
          <cell r="F183">
            <v>0.65</v>
          </cell>
          <cell r="G183">
            <v>6.2678062678062682E-2</v>
          </cell>
          <cell r="H183">
            <v>43187</v>
          </cell>
          <cell r="I183">
            <v>45</v>
          </cell>
          <cell r="J183">
            <v>45</v>
          </cell>
          <cell r="K183">
            <v>8</v>
          </cell>
          <cell r="L183">
            <v>150</v>
          </cell>
          <cell r="M183">
            <v>0</v>
          </cell>
          <cell r="N183">
            <v>1200</v>
          </cell>
          <cell r="O183">
            <v>1</v>
          </cell>
          <cell r="P183">
            <v>0.27</v>
          </cell>
          <cell r="Q183">
            <v>1.4</v>
          </cell>
          <cell r="R183">
            <v>818.92581861974395</v>
          </cell>
          <cell r="S183">
            <v>5.4595054574649593</v>
          </cell>
          <cell r="T183">
            <v>2429.2687500000002</v>
          </cell>
          <cell r="U183">
            <v>16.195125000000001</v>
          </cell>
          <cell r="V183">
            <v>19434.150000000001</v>
          </cell>
          <cell r="W183">
            <v>2969.1062499999998</v>
          </cell>
          <cell r="X183">
            <v>31310.575000000001</v>
          </cell>
          <cell r="Y183">
            <v>2817.9517500000002</v>
          </cell>
          <cell r="Z183">
            <v>751.4538</v>
          </cell>
          <cell r="AA183">
            <v>6538.5118000000002</v>
          </cell>
          <cell r="AB183">
            <v>43.59007866666667</v>
          </cell>
        </row>
        <row r="184">
          <cell r="A184" t="str">
            <v>Plant - Rigid4R-30</v>
          </cell>
          <cell r="B184" t="str">
            <v>Plant - Rigid</v>
          </cell>
          <cell r="C184" t="str">
            <v>4R-30</v>
          </cell>
          <cell r="D184">
            <v>10</v>
          </cell>
          <cell r="E184">
            <v>6.75</v>
          </cell>
          <cell r="F184">
            <v>0.65</v>
          </cell>
          <cell r="G184">
            <v>0.18803418803418803</v>
          </cell>
          <cell r="H184">
            <v>14046</v>
          </cell>
          <cell r="I184">
            <v>45</v>
          </cell>
          <cell r="J184">
            <v>45</v>
          </cell>
          <cell r="K184">
            <v>8</v>
          </cell>
          <cell r="L184">
            <v>150</v>
          </cell>
          <cell r="M184">
            <v>0</v>
          </cell>
          <cell r="N184">
            <v>1200</v>
          </cell>
          <cell r="O184">
            <v>1</v>
          </cell>
          <cell r="P184">
            <v>0.27</v>
          </cell>
          <cell r="Q184">
            <v>1.4</v>
          </cell>
          <cell r="R184">
            <v>266.34478079822452</v>
          </cell>
          <cell r="S184">
            <v>1.7756318719881634</v>
          </cell>
          <cell r="T184">
            <v>790.08749999999998</v>
          </cell>
          <cell r="U184">
            <v>5.2672499999999998</v>
          </cell>
          <cell r="V184">
            <v>6320.7</v>
          </cell>
          <cell r="W184">
            <v>965.66250000000002</v>
          </cell>
          <cell r="X184">
            <v>10183.35</v>
          </cell>
          <cell r="Y184">
            <v>916.50149999999996</v>
          </cell>
          <cell r="Z184">
            <v>244.40040000000002</v>
          </cell>
          <cell r="AA184">
            <v>2126.5644000000002</v>
          </cell>
          <cell r="AB184">
            <v>14.177096000000001</v>
          </cell>
        </row>
        <row r="185">
          <cell r="A185" t="str">
            <v>Plant - Rigid4R-36</v>
          </cell>
          <cell r="B185" t="str">
            <v>Plant - Rigid</v>
          </cell>
          <cell r="C185" t="str">
            <v>4R-36</v>
          </cell>
          <cell r="D185">
            <v>12</v>
          </cell>
          <cell r="E185">
            <v>6.75</v>
          </cell>
          <cell r="F185">
            <v>0.65</v>
          </cell>
          <cell r="G185">
            <v>0.15669515669515668</v>
          </cell>
          <cell r="H185">
            <v>13621</v>
          </cell>
          <cell r="I185">
            <v>45</v>
          </cell>
          <cell r="J185">
            <v>45</v>
          </cell>
          <cell r="K185">
            <v>8</v>
          </cell>
          <cell r="L185">
            <v>150</v>
          </cell>
          <cell r="M185">
            <v>0</v>
          </cell>
          <cell r="N185">
            <v>1200</v>
          </cell>
          <cell r="O185">
            <v>1</v>
          </cell>
          <cell r="P185">
            <v>0.27</v>
          </cell>
          <cell r="Q185">
            <v>1.4</v>
          </cell>
          <cell r="R185">
            <v>258.28579376709496</v>
          </cell>
          <cell r="S185">
            <v>1.721905291780633</v>
          </cell>
          <cell r="T185">
            <v>766.18124999999998</v>
          </cell>
          <cell r="U185">
            <v>5.1078749999999999</v>
          </cell>
          <cell r="V185">
            <v>6129.45</v>
          </cell>
          <cell r="W185">
            <v>936.44375000000002</v>
          </cell>
          <cell r="X185">
            <v>9875.2250000000004</v>
          </cell>
          <cell r="Y185">
            <v>888.77025000000003</v>
          </cell>
          <cell r="Z185">
            <v>237.00540000000001</v>
          </cell>
          <cell r="AA185">
            <v>2062.2194</v>
          </cell>
          <cell r="AB185">
            <v>13.748129333333333</v>
          </cell>
        </row>
        <row r="186">
          <cell r="A186" t="str">
            <v>Plant - Rigid6R-30</v>
          </cell>
          <cell r="B186" t="str">
            <v>Plant - Rigid</v>
          </cell>
          <cell r="C186" t="str">
            <v>6R-30</v>
          </cell>
          <cell r="D186">
            <v>15</v>
          </cell>
          <cell r="E186">
            <v>6.75</v>
          </cell>
          <cell r="F186">
            <v>0.65</v>
          </cell>
          <cell r="G186">
            <v>0.12535612535612536</v>
          </cell>
          <cell r="H186">
            <v>19053</v>
          </cell>
          <cell r="I186">
            <v>45</v>
          </cell>
          <cell r="J186">
            <v>45</v>
          </cell>
          <cell r="K186">
            <v>8</v>
          </cell>
          <cell r="L186">
            <v>150</v>
          </cell>
          <cell r="M186">
            <v>0</v>
          </cell>
          <cell r="N186">
            <v>1200</v>
          </cell>
          <cell r="O186">
            <v>1</v>
          </cell>
          <cell r="P186">
            <v>0.27</v>
          </cell>
          <cell r="Q186">
            <v>1.4</v>
          </cell>
          <cell r="R186">
            <v>361.2891291861435</v>
          </cell>
          <cell r="S186">
            <v>2.4085941945742899</v>
          </cell>
          <cell r="T186">
            <v>1071.73125</v>
          </cell>
          <cell r="U186">
            <v>7.1448749999999999</v>
          </cell>
          <cell r="V186">
            <v>8573.85</v>
          </cell>
          <cell r="W186">
            <v>1309.89375</v>
          </cell>
          <cell r="X186">
            <v>13813.424999999999</v>
          </cell>
          <cell r="Y186">
            <v>1243.2082499999999</v>
          </cell>
          <cell r="Z186">
            <v>331.5222</v>
          </cell>
          <cell r="AA186">
            <v>2884.6242000000002</v>
          </cell>
          <cell r="AB186">
            <v>19.230828000000002</v>
          </cell>
        </row>
        <row r="187">
          <cell r="A187" t="str">
            <v>Plant - Rigid6R-36</v>
          </cell>
          <cell r="B187" t="str">
            <v>Plant - Rigid</v>
          </cell>
          <cell r="C187" t="str">
            <v>6R-36</v>
          </cell>
          <cell r="D187">
            <v>18</v>
          </cell>
          <cell r="E187">
            <v>6.75</v>
          </cell>
          <cell r="F187">
            <v>0.65</v>
          </cell>
          <cell r="G187">
            <v>0.10446343779677114</v>
          </cell>
          <cell r="H187">
            <v>18247</v>
          </cell>
          <cell r="I187">
            <v>45</v>
          </cell>
          <cell r="J187">
            <v>45</v>
          </cell>
          <cell r="K187">
            <v>8</v>
          </cell>
          <cell r="L187">
            <v>150</v>
          </cell>
          <cell r="M187">
            <v>0</v>
          </cell>
          <cell r="N187">
            <v>1200</v>
          </cell>
          <cell r="O187">
            <v>1</v>
          </cell>
          <cell r="P187">
            <v>0.27</v>
          </cell>
          <cell r="Q187">
            <v>1.4</v>
          </cell>
          <cell r="R187">
            <v>346.00549731063671</v>
          </cell>
          <cell r="S187">
            <v>2.3067033154042447</v>
          </cell>
          <cell r="T187">
            <v>1026.39375</v>
          </cell>
          <cell r="U187">
            <v>6.842625</v>
          </cell>
          <cell r="V187">
            <v>8211.15</v>
          </cell>
          <cell r="W187">
            <v>1254.48125</v>
          </cell>
          <cell r="X187">
            <v>13229.075000000001</v>
          </cell>
          <cell r="Y187">
            <v>1190.6167499999999</v>
          </cell>
          <cell r="Z187">
            <v>317.49780000000004</v>
          </cell>
          <cell r="AA187">
            <v>2762.5958000000001</v>
          </cell>
          <cell r="AB187">
            <v>18.417305333333335</v>
          </cell>
        </row>
        <row r="188">
          <cell r="A188" t="str">
            <v>Plant - Rigid8R-22</v>
          </cell>
          <cell r="B188" t="str">
            <v>Plant - Rigid</v>
          </cell>
          <cell r="C188" t="str">
            <v>8R-22</v>
          </cell>
          <cell r="D188">
            <v>14.7</v>
          </cell>
          <cell r="E188">
            <v>6.75</v>
          </cell>
          <cell r="F188">
            <v>0.65</v>
          </cell>
          <cell r="G188">
            <v>0.12791441362869937</v>
          </cell>
          <cell r="H188">
            <v>18473</v>
          </cell>
          <cell r="I188">
            <v>45</v>
          </cell>
          <cell r="J188">
            <v>45</v>
          </cell>
          <cell r="K188">
            <v>8</v>
          </cell>
          <cell r="L188">
            <v>150</v>
          </cell>
          <cell r="M188">
            <v>0</v>
          </cell>
          <cell r="N188">
            <v>1200</v>
          </cell>
          <cell r="O188">
            <v>1</v>
          </cell>
          <cell r="P188">
            <v>0.27</v>
          </cell>
          <cell r="Q188">
            <v>1.4</v>
          </cell>
          <cell r="R188">
            <v>350.29098217895495</v>
          </cell>
          <cell r="S188">
            <v>2.3352732145263664</v>
          </cell>
          <cell r="T188">
            <v>1039.10625</v>
          </cell>
          <cell r="U188">
            <v>6.9273750000000005</v>
          </cell>
          <cell r="V188">
            <v>8312.85</v>
          </cell>
          <cell r="W188">
            <v>1270.01875</v>
          </cell>
          <cell r="X188">
            <v>13392.924999999999</v>
          </cell>
          <cell r="Y188">
            <v>1205.3632499999999</v>
          </cell>
          <cell r="Z188">
            <v>321.43020000000001</v>
          </cell>
          <cell r="AA188">
            <v>2796.8121999999998</v>
          </cell>
          <cell r="AB188">
            <v>18.645414666666667</v>
          </cell>
        </row>
        <row r="189">
          <cell r="A189" t="str">
            <v>Plant - Rigid8R-30</v>
          </cell>
          <cell r="B189" t="str">
            <v>Plant - Rigid</v>
          </cell>
          <cell r="C189" t="str">
            <v>8R-30</v>
          </cell>
          <cell r="D189">
            <v>20</v>
          </cell>
          <cell r="E189">
            <v>6.75</v>
          </cell>
          <cell r="F189">
            <v>0.65</v>
          </cell>
          <cell r="G189">
            <v>9.4017094017094016E-2</v>
          </cell>
          <cell r="H189">
            <v>22378</v>
          </cell>
          <cell r="I189">
            <v>45</v>
          </cell>
          <cell r="J189">
            <v>45</v>
          </cell>
          <cell r="K189">
            <v>8</v>
          </cell>
          <cell r="L189">
            <v>150</v>
          </cell>
          <cell r="M189">
            <v>0</v>
          </cell>
          <cell r="N189">
            <v>1200</v>
          </cell>
          <cell r="O189">
            <v>1</v>
          </cell>
          <cell r="P189">
            <v>0.27</v>
          </cell>
          <cell r="Q189">
            <v>1.4</v>
          </cell>
          <cell r="R189">
            <v>424.33885125321575</v>
          </cell>
          <cell r="S189">
            <v>2.8289256750214382</v>
          </cell>
          <cell r="T189">
            <v>1258.7625</v>
          </cell>
          <cell r="U189">
            <v>8.39175</v>
          </cell>
          <cell r="V189">
            <v>10070.1</v>
          </cell>
          <cell r="W189">
            <v>1538.4875</v>
          </cell>
          <cell r="X189">
            <v>16224.05</v>
          </cell>
          <cell r="Y189">
            <v>1460.1644999999999</v>
          </cell>
          <cell r="Z189">
            <v>389.37720000000002</v>
          </cell>
          <cell r="AA189">
            <v>3388.0291999999999</v>
          </cell>
          <cell r="AB189">
            <v>22.586861333333331</v>
          </cell>
        </row>
        <row r="190">
          <cell r="A190" t="str">
            <v>Plant - Rigid8R-36</v>
          </cell>
          <cell r="B190" t="str">
            <v>Plant - Rigid</v>
          </cell>
          <cell r="C190" t="str">
            <v>8R-36</v>
          </cell>
          <cell r="D190">
            <v>24</v>
          </cell>
          <cell r="E190">
            <v>6.75</v>
          </cell>
          <cell r="F190">
            <v>0.65</v>
          </cell>
          <cell r="G190">
            <v>7.8347578347578342E-2</v>
          </cell>
          <cell r="H190">
            <v>21960</v>
          </cell>
          <cell r="I190">
            <v>45</v>
          </cell>
          <cell r="J190">
            <v>45</v>
          </cell>
          <cell r="K190">
            <v>8</v>
          </cell>
          <cell r="L190">
            <v>150</v>
          </cell>
          <cell r="M190">
            <v>0</v>
          </cell>
          <cell r="N190">
            <v>1200</v>
          </cell>
          <cell r="O190">
            <v>1</v>
          </cell>
          <cell r="P190">
            <v>0.27</v>
          </cell>
          <cell r="Q190">
            <v>1.4</v>
          </cell>
          <cell r="R190">
            <v>416.41260047906951</v>
          </cell>
          <cell r="S190">
            <v>2.7760840031937968</v>
          </cell>
          <cell r="T190">
            <v>1235.25</v>
          </cell>
          <cell r="U190">
            <v>8.2349999999999994</v>
          </cell>
          <cell r="V190">
            <v>9882</v>
          </cell>
          <cell r="W190">
            <v>1509.75</v>
          </cell>
          <cell r="X190">
            <v>15921</v>
          </cell>
          <cell r="Y190">
            <v>1432.8899999999999</v>
          </cell>
          <cell r="Z190">
            <v>382.10399999999998</v>
          </cell>
          <cell r="AA190">
            <v>3324.7439999999997</v>
          </cell>
          <cell r="AB190">
            <v>22.164959999999997</v>
          </cell>
        </row>
        <row r="191">
          <cell r="A191" t="str">
            <v>Plant &amp; Pre Folding10R-30</v>
          </cell>
          <cell r="B191" t="str">
            <v>Plant &amp; Pre Folding</v>
          </cell>
          <cell r="C191" t="str">
            <v>10R-30</v>
          </cell>
          <cell r="D191">
            <v>25</v>
          </cell>
          <cell r="E191">
            <v>6.5</v>
          </cell>
          <cell r="F191">
            <v>0.65</v>
          </cell>
          <cell r="G191">
            <v>7.8106508875739653E-2</v>
          </cell>
          <cell r="H191">
            <v>47822</v>
          </cell>
          <cell r="I191">
            <v>45</v>
          </cell>
          <cell r="J191">
            <v>45</v>
          </cell>
          <cell r="K191">
            <v>8</v>
          </cell>
          <cell r="L191">
            <v>150</v>
          </cell>
          <cell r="M191">
            <v>0</v>
          </cell>
          <cell r="N191">
            <v>1200</v>
          </cell>
          <cell r="O191">
            <v>1</v>
          </cell>
          <cell r="P191">
            <v>0.27</v>
          </cell>
          <cell r="Q191">
            <v>1.4</v>
          </cell>
          <cell r="R191">
            <v>906.81618306512121</v>
          </cell>
          <cell r="S191">
            <v>6.0454412204341414</v>
          </cell>
          <cell r="T191">
            <v>2689.9875000000002</v>
          </cell>
          <cell r="U191">
            <v>17.933250000000001</v>
          </cell>
          <cell r="V191">
            <v>21519.9</v>
          </cell>
          <cell r="W191">
            <v>3287.7624999999998</v>
          </cell>
          <cell r="X191">
            <v>34670.949999999997</v>
          </cell>
          <cell r="Y191">
            <v>3120.3854999999994</v>
          </cell>
          <cell r="Z191">
            <v>832.1028</v>
          </cell>
          <cell r="AA191">
            <v>7240.2507999999998</v>
          </cell>
          <cell r="AB191">
            <v>48.268338666666665</v>
          </cell>
        </row>
        <row r="192">
          <cell r="A192" t="str">
            <v>Plant &amp; Pre Folding10R-36</v>
          </cell>
          <cell r="B192" t="str">
            <v>Plant &amp; Pre Folding</v>
          </cell>
          <cell r="C192" t="str">
            <v>10R-36</v>
          </cell>
          <cell r="D192">
            <v>30</v>
          </cell>
          <cell r="E192">
            <v>6.5</v>
          </cell>
          <cell r="F192">
            <v>0.65</v>
          </cell>
          <cell r="G192">
            <v>6.5088757396449703E-2</v>
          </cell>
          <cell r="H192">
            <v>48380</v>
          </cell>
          <cell r="I192">
            <v>45</v>
          </cell>
          <cell r="J192">
            <v>45</v>
          </cell>
          <cell r="K192">
            <v>8</v>
          </cell>
          <cell r="L192">
            <v>150</v>
          </cell>
          <cell r="M192">
            <v>0</v>
          </cell>
          <cell r="N192">
            <v>1200</v>
          </cell>
          <cell r="O192">
            <v>1</v>
          </cell>
          <cell r="P192">
            <v>0.27</v>
          </cell>
          <cell r="Q192">
            <v>1.4</v>
          </cell>
          <cell r="R192">
            <v>917.39715897893359</v>
          </cell>
          <cell r="S192">
            <v>6.115981059859557</v>
          </cell>
          <cell r="T192">
            <v>2721.375</v>
          </cell>
          <cell r="U192">
            <v>18.142499999999998</v>
          </cell>
          <cell r="V192">
            <v>21771</v>
          </cell>
          <cell r="W192">
            <v>3326.125</v>
          </cell>
          <cell r="X192">
            <v>35075.5</v>
          </cell>
          <cell r="Y192">
            <v>3156.7950000000001</v>
          </cell>
          <cell r="Z192">
            <v>841.81200000000001</v>
          </cell>
          <cell r="AA192">
            <v>7324.732</v>
          </cell>
          <cell r="AB192">
            <v>48.831546666666668</v>
          </cell>
        </row>
        <row r="193">
          <cell r="A193" t="str">
            <v>Plant &amp; Pre Folding12R-20</v>
          </cell>
          <cell r="B193" t="str">
            <v>Plant &amp; Pre Folding</v>
          </cell>
          <cell r="C193" t="str">
            <v>12R-20</v>
          </cell>
          <cell r="D193">
            <v>20</v>
          </cell>
          <cell r="E193">
            <v>6.5</v>
          </cell>
          <cell r="F193">
            <v>0.65</v>
          </cell>
          <cell r="G193">
            <v>9.7633136094674555E-2</v>
          </cell>
          <cell r="H193">
            <v>45835</v>
          </cell>
          <cell r="I193">
            <v>45</v>
          </cell>
          <cell r="J193">
            <v>45</v>
          </cell>
          <cell r="K193">
            <v>8</v>
          </cell>
          <cell r="L193">
            <v>150</v>
          </cell>
          <cell r="M193">
            <v>0</v>
          </cell>
          <cell r="N193">
            <v>1200</v>
          </cell>
          <cell r="O193">
            <v>1</v>
          </cell>
          <cell r="P193">
            <v>0.27</v>
          </cell>
          <cell r="Q193">
            <v>1.4</v>
          </cell>
          <cell r="R193">
            <v>869.13804840428736</v>
          </cell>
          <cell r="S193">
            <v>5.794253656028582</v>
          </cell>
          <cell r="T193">
            <v>2578.21875</v>
          </cell>
          <cell r="U193">
            <v>17.188124999999999</v>
          </cell>
          <cell r="V193">
            <v>20625.75</v>
          </cell>
          <cell r="W193">
            <v>3151.15625</v>
          </cell>
          <cell r="X193">
            <v>33230.375</v>
          </cell>
          <cell r="Y193">
            <v>2990.7337499999999</v>
          </cell>
          <cell r="Z193">
            <v>797.529</v>
          </cell>
          <cell r="AA193">
            <v>6939.4189999999999</v>
          </cell>
          <cell r="AB193">
            <v>46.262793333333335</v>
          </cell>
        </row>
        <row r="194">
          <cell r="A194" t="str">
            <v>Plant &amp; Pre Folding12R-30</v>
          </cell>
          <cell r="B194" t="str">
            <v>Plant &amp; Pre Folding</v>
          </cell>
          <cell r="C194" t="str">
            <v>12R-30</v>
          </cell>
          <cell r="D194">
            <v>30</v>
          </cell>
          <cell r="E194">
            <v>6.5</v>
          </cell>
          <cell r="F194">
            <v>0.65</v>
          </cell>
          <cell r="G194">
            <v>6.5088757396449703E-2</v>
          </cell>
          <cell r="H194">
            <v>52095</v>
          </cell>
          <cell r="I194">
            <v>45</v>
          </cell>
          <cell r="J194">
            <v>45</v>
          </cell>
          <cell r="K194">
            <v>8</v>
          </cell>
          <cell r="L194">
            <v>150</v>
          </cell>
          <cell r="M194">
            <v>0</v>
          </cell>
          <cell r="N194">
            <v>1200</v>
          </cell>
          <cell r="O194">
            <v>1</v>
          </cell>
          <cell r="P194">
            <v>0.27</v>
          </cell>
          <cell r="Q194">
            <v>1.4</v>
          </cell>
          <cell r="R194">
            <v>987.84218679221885</v>
          </cell>
          <cell r="S194">
            <v>6.5856145786147922</v>
          </cell>
          <cell r="T194">
            <v>2930.34375</v>
          </cell>
          <cell r="U194">
            <v>19.535625</v>
          </cell>
          <cell r="V194">
            <v>23442.75</v>
          </cell>
          <cell r="W194">
            <v>3581.53125</v>
          </cell>
          <cell r="X194">
            <v>37768.875</v>
          </cell>
          <cell r="Y194">
            <v>3399.19875</v>
          </cell>
          <cell r="Z194">
            <v>906.45299999999997</v>
          </cell>
          <cell r="AA194">
            <v>7887.183</v>
          </cell>
          <cell r="AB194">
            <v>52.581220000000002</v>
          </cell>
        </row>
        <row r="195">
          <cell r="A195" t="str">
            <v>Plant &amp; Pre Folding12R-36</v>
          </cell>
          <cell r="B195" t="str">
            <v>Plant &amp; Pre Folding</v>
          </cell>
          <cell r="C195" t="str">
            <v>12R-36</v>
          </cell>
          <cell r="D195">
            <v>36</v>
          </cell>
          <cell r="E195">
            <v>6.5</v>
          </cell>
          <cell r="F195">
            <v>0.65</v>
          </cell>
          <cell r="G195">
            <v>5.4240631163708086E-2</v>
          </cell>
          <cell r="H195">
            <v>49813</v>
          </cell>
          <cell r="I195">
            <v>45</v>
          </cell>
          <cell r="J195">
            <v>45</v>
          </cell>
          <cell r="K195">
            <v>8</v>
          </cell>
          <cell r="L195">
            <v>150</v>
          </cell>
          <cell r="M195">
            <v>0</v>
          </cell>
          <cell r="N195">
            <v>1200</v>
          </cell>
          <cell r="O195">
            <v>1</v>
          </cell>
          <cell r="P195">
            <v>0.27</v>
          </cell>
          <cell r="Q195">
            <v>1.4</v>
          </cell>
          <cell r="R195">
            <v>944.57016701565976</v>
          </cell>
          <cell r="S195">
            <v>6.2971344467710653</v>
          </cell>
          <cell r="T195">
            <v>2801.9812499999998</v>
          </cell>
          <cell r="U195">
            <v>18.679874999999999</v>
          </cell>
          <cell r="V195">
            <v>22415.85</v>
          </cell>
          <cell r="W195">
            <v>3424.6437500000002</v>
          </cell>
          <cell r="X195">
            <v>36114.425000000003</v>
          </cell>
          <cell r="Y195">
            <v>3250.2982500000003</v>
          </cell>
          <cell r="Z195">
            <v>866.74620000000004</v>
          </cell>
          <cell r="AA195">
            <v>7541.6882000000005</v>
          </cell>
          <cell r="AB195">
            <v>50.277921333333339</v>
          </cell>
        </row>
        <row r="196">
          <cell r="A196" t="str">
            <v>Plant &amp; Pre Folding16R-30</v>
          </cell>
          <cell r="B196" t="str">
            <v>Plant &amp; Pre Folding</v>
          </cell>
          <cell r="C196" t="str">
            <v>16R-30</v>
          </cell>
          <cell r="D196">
            <v>40</v>
          </cell>
          <cell r="E196">
            <v>6.5</v>
          </cell>
          <cell r="F196">
            <v>0.65</v>
          </cell>
          <cell r="G196">
            <v>4.8816568047337278E-2</v>
          </cell>
          <cell r="H196">
            <v>70934</v>
          </cell>
          <cell r="I196">
            <v>45</v>
          </cell>
          <cell r="J196">
            <v>45</v>
          </cell>
          <cell r="K196">
            <v>8</v>
          </cell>
          <cell r="L196">
            <v>150</v>
          </cell>
          <cell r="M196">
            <v>0</v>
          </cell>
          <cell r="N196">
            <v>1200</v>
          </cell>
          <cell r="O196">
            <v>1</v>
          </cell>
          <cell r="P196">
            <v>0.27</v>
          </cell>
          <cell r="Q196">
            <v>1.4</v>
          </cell>
          <cell r="R196">
            <v>1345.0733789791582</v>
          </cell>
          <cell r="S196">
            <v>8.9671558598610552</v>
          </cell>
          <cell r="T196">
            <v>3990.0374999999999</v>
          </cell>
          <cell r="U196">
            <v>26.600249999999999</v>
          </cell>
          <cell r="V196">
            <v>31920.3</v>
          </cell>
          <cell r="W196">
            <v>4876.7124999999996</v>
          </cell>
          <cell r="X196">
            <v>51427.15</v>
          </cell>
          <cell r="Y196">
            <v>4628.4435000000003</v>
          </cell>
          <cell r="Z196">
            <v>1234.2516000000001</v>
          </cell>
          <cell r="AA196">
            <v>10739.4076</v>
          </cell>
          <cell r="AB196">
            <v>71.59605066666667</v>
          </cell>
        </row>
        <row r="197">
          <cell r="A197" t="str">
            <v>Plant &amp; Pre Folding23R-15</v>
          </cell>
          <cell r="B197" t="str">
            <v>Plant &amp; Pre Folding</v>
          </cell>
          <cell r="C197" t="str">
            <v>23R-15</v>
          </cell>
          <cell r="D197">
            <v>28.8</v>
          </cell>
          <cell r="E197">
            <v>6.5</v>
          </cell>
          <cell r="F197">
            <v>0.65</v>
          </cell>
          <cell r="G197">
            <v>6.7800788954635094E-2</v>
          </cell>
          <cell r="H197">
            <v>79286</v>
          </cell>
          <cell r="I197">
            <v>45</v>
          </cell>
          <cell r="J197">
            <v>45</v>
          </cell>
          <cell r="K197">
            <v>8</v>
          </cell>
          <cell r="L197">
            <v>150</v>
          </cell>
          <cell r="M197">
            <v>0</v>
          </cell>
          <cell r="N197">
            <v>1200</v>
          </cell>
          <cell r="O197">
            <v>1</v>
          </cell>
          <cell r="P197">
            <v>0.27</v>
          </cell>
          <cell r="Q197">
            <v>1.4</v>
          </cell>
          <cell r="R197">
            <v>1503.4466958826733</v>
          </cell>
          <cell r="S197">
            <v>10.022977972551155</v>
          </cell>
          <cell r="T197">
            <v>4459.8374999999996</v>
          </cell>
          <cell r="U197">
            <v>29.732249999999997</v>
          </cell>
          <cell r="V197">
            <v>35678.699999999997</v>
          </cell>
          <cell r="W197">
            <v>5450.9125000000004</v>
          </cell>
          <cell r="X197">
            <v>57482.35</v>
          </cell>
          <cell r="Y197">
            <v>5173.4114999999993</v>
          </cell>
          <cell r="Z197">
            <v>1379.5763999999999</v>
          </cell>
          <cell r="AA197">
            <v>12003.900399999999</v>
          </cell>
          <cell r="AB197">
            <v>80.026002666666656</v>
          </cell>
        </row>
        <row r="198">
          <cell r="A198" t="str">
            <v>Plant &amp; Pre Folding24R-20</v>
          </cell>
          <cell r="B198" t="str">
            <v>Plant &amp; Pre Folding</v>
          </cell>
          <cell r="C198" t="str">
            <v>24R-20</v>
          </cell>
          <cell r="D198">
            <v>40</v>
          </cell>
          <cell r="E198">
            <v>6.5</v>
          </cell>
          <cell r="F198">
            <v>0.65</v>
          </cell>
          <cell r="G198">
            <v>4.8816568047337278E-2</v>
          </cell>
          <cell r="H198">
            <v>94246</v>
          </cell>
          <cell r="I198">
            <v>45</v>
          </cell>
          <cell r="J198">
            <v>45</v>
          </cell>
          <cell r="K198">
            <v>8</v>
          </cell>
          <cell r="L198">
            <v>150</v>
          </cell>
          <cell r="M198">
            <v>0</v>
          </cell>
          <cell r="N198">
            <v>1200</v>
          </cell>
          <cell r="O198">
            <v>1</v>
          </cell>
          <cell r="P198">
            <v>0.27</v>
          </cell>
          <cell r="Q198">
            <v>1.4</v>
          </cell>
          <cell r="R198">
            <v>1787.1230393784328</v>
          </cell>
          <cell r="S198">
            <v>11.914153595856218</v>
          </cell>
          <cell r="T198">
            <v>5301.3374999999996</v>
          </cell>
          <cell r="U198">
            <v>35.34225</v>
          </cell>
          <cell r="V198">
            <v>42410.7</v>
          </cell>
          <cell r="W198">
            <v>6479.4125000000004</v>
          </cell>
          <cell r="X198">
            <v>68328.350000000006</v>
          </cell>
          <cell r="Y198">
            <v>6149.5515000000005</v>
          </cell>
          <cell r="Z198">
            <v>1639.8804000000002</v>
          </cell>
          <cell r="AA198">
            <v>14268.844400000002</v>
          </cell>
          <cell r="AB198">
            <v>95.12562933333335</v>
          </cell>
        </row>
        <row r="199">
          <cell r="A199" t="str">
            <v>Plant &amp; Pre Folding24R-30</v>
          </cell>
          <cell r="B199" t="str">
            <v>Plant &amp; Pre Folding</v>
          </cell>
          <cell r="C199" t="str">
            <v>24R-30</v>
          </cell>
          <cell r="D199">
            <v>60</v>
          </cell>
          <cell r="E199">
            <v>6.5</v>
          </cell>
          <cell r="F199">
            <v>0.65</v>
          </cell>
          <cell r="G199">
            <v>3.2544378698224852E-2</v>
          </cell>
          <cell r="H199">
            <v>105782</v>
          </cell>
          <cell r="I199">
            <v>45</v>
          </cell>
          <cell r="J199">
            <v>45</v>
          </cell>
          <cell r="K199">
            <v>8</v>
          </cell>
          <cell r="L199">
            <v>150</v>
          </cell>
          <cell r="M199">
            <v>0</v>
          </cell>
          <cell r="N199">
            <v>1200</v>
          </cell>
          <cell r="O199">
            <v>1</v>
          </cell>
          <cell r="P199">
            <v>0.27</v>
          </cell>
          <cell r="Q199">
            <v>1.4</v>
          </cell>
          <cell r="R199">
            <v>2005.8723908869276</v>
          </cell>
          <cell r="S199">
            <v>13.37248260591285</v>
          </cell>
          <cell r="T199">
            <v>5950.2375000000002</v>
          </cell>
          <cell r="U199">
            <v>39.66825</v>
          </cell>
          <cell r="V199">
            <v>47601.9</v>
          </cell>
          <cell r="W199">
            <v>7272.5124999999998</v>
          </cell>
          <cell r="X199">
            <v>76691.95</v>
          </cell>
          <cell r="Y199">
            <v>6902.2754999999997</v>
          </cell>
          <cell r="Z199">
            <v>1840.6068</v>
          </cell>
          <cell r="AA199">
            <v>16015.394799999998</v>
          </cell>
          <cell r="AB199">
            <v>106.76929866666666</v>
          </cell>
        </row>
        <row r="200">
          <cell r="A200" t="str">
            <v>Plant &amp; Pre Folding8R-36</v>
          </cell>
          <cell r="B200" t="str">
            <v>Plant &amp; Pre Folding</v>
          </cell>
          <cell r="C200" t="str">
            <v>8R-36</v>
          </cell>
          <cell r="D200">
            <v>24</v>
          </cell>
          <cell r="E200">
            <v>6.5</v>
          </cell>
          <cell r="F200">
            <v>0.65</v>
          </cell>
          <cell r="G200">
            <v>8.1360946745562129E-2</v>
          </cell>
          <cell r="H200">
            <v>36057</v>
          </cell>
          <cell r="I200">
            <v>45</v>
          </cell>
          <cell r="J200">
            <v>45</v>
          </cell>
          <cell r="K200">
            <v>8</v>
          </cell>
          <cell r="L200">
            <v>150</v>
          </cell>
          <cell r="M200">
            <v>0</v>
          </cell>
          <cell r="N200">
            <v>1200</v>
          </cell>
          <cell r="O200">
            <v>1</v>
          </cell>
          <cell r="P200">
            <v>0.27</v>
          </cell>
          <cell r="Q200">
            <v>1.4</v>
          </cell>
          <cell r="R200">
            <v>683.72445972102958</v>
          </cell>
          <cell r="S200">
            <v>4.5581630648068634</v>
          </cell>
          <cell r="T200">
            <v>2028.20625</v>
          </cell>
          <cell r="U200">
            <v>13.521374999999999</v>
          </cell>
          <cell r="V200">
            <v>16225.65</v>
          </cell>
          <cell r="W200">
            <v>2478.9187499999998</v>
          </cell>
          <cell r="X200">
            <v>26141.325000000001</v>
          </cell>
          <cell r="Y200">
            <v>2352.7192500000001</v>
          </cell>
          <cell r="Z200">
            <v>627.39179999999999</v>
          </cell>
          <cell r="AA200">
            <v>5459.0298000000003</v>
          </cell>
          <cell r="AB200">
            <v>36.393532</v>
          </cell>
        </row>
        <row r="201">
          <cell r="A201" t="str">
            <v>Plant &amp; Pre Folding8R40 2x1</v>
          </cell>
          <cell r="B201" t="str">
            <v>Plant &amp; Pre Folding</v>
          </cell>
          <cell r="C201" t="str">
            <v>8R40 2x1</v>
          </cell>
          <cell r="D201">
            <v>40</v>
          </cell>
          <cell r="E201">
            <v>6.5</v>
          </cell>
          <cell r="F201">
            <v>0.65</v>
          </cell>
          <cell r="G201">
            <v>4.8816568047337278E-2</v>
          </cell>
          <cell r="H201">
            <v>49813</v>
          </cell>
          <cell r="I201">
            <v>45</v>
          </cell>
          <cell r="J201">
            <v>45</v>
          </cell>
          <cell r="K201">
            <v>8</v>
          </cell>
          <cell r="L201">
            <v>150</v>
          </cell>
          <cell r="M201">
            <v>0</v>
          </cell>
          <cell r="N201">
            <v>1200</v>
          </cell>
          <cell r="O201">
            <v>1</v>
          </cell>
          <cell r="P201">
            <v>0.27</v>
          </cell>
          <cell r="Q201">
            <v>1.4</v>
          </cell>
          <cell r="R201">
            <v>944.57016701565976</v>
          </cell>
          <cell r="S201">
            <v>6.2971344467710653</v>
          </cell>
          <cell r="T201">
            <v>2801.9812499999998</v>
          </cell>
          <cell r="U201">
            <v>18.679874999999999</v>
          </cell>
          <cell r="V201">
            <v>22415.85</v>
          </cell>
          <cell r="W201">
            <v>3424.6437500000002</v>
          </cell>
          <cell r="X201">
            <v>36114.425000000003</v>
          </cell>
          <cell r="Y201">
            <v>3250.2982500000003</v>
          </cell>
          <cell r="Z201">
            <v>866.74620000000004</v>
          </cell>
          <cell r="AA201">
            <v>7541.6882000000005</v>
          </cell>
          <cell r="AB201">
            <v>50.277921333333339</v>
          </cell>
        </row>
        <row r="202">
          <cell r="A202" t="str">
            <v>Plant &amp; Pre Rigid10R-30</v>
          </cell>
          <cell r="B202" t="str">
            <v>Plant &amp; Pre Rigid</v>
          </cell>
          <cell r="C202" t="str">
            <v>10R-30</v>
          </cell>
          <cell r="D202">
            <v>25</v>
          </cell>
          <cell r="E202">
            <v>6.5</v>
          </cell>
          <cell r="F202">
            <v>0.65</v>
          </cell>
          <cell r="G202">
            <v>7.8106508875739653E-2</v>
          </cell>
          <cell r="H202">
            <v>29259</v>
          </cell>
          <cell r="I202">
            <v>45</v>
          </cell>
          <cell r="J202">
            <v>45</v>
          </cell>
          <cell r="K202">
            <v>8</v>
          </cell>
          <cell r="L202">
            <v>150</v>
          </cell>
          <cell r="M202">
            <v>0</v>
          </cell>
          <cell r="N202">
            <v>1200</v>
          </cell>
          <cell r="O202">
            <v>1</v>
          </cell>
          <cell r="P202">
            <v>0.27</v>
          </cell>
          <cell r="Q202">
            <v>1.4</v>
          </cell>
          <cell r="R202">
            <v>554.81859186780946</v>
          </cell>
          <cell r="S202">
            <v>3.6987906124520631</v>
          </cell>
          <cell r="T202">
            <v>1645.8187499999999</v>
          </cell>
          <cell r="U202">
            <v>10.972125</v>
          </cell>
          <cell r="V202">
            <v>13166.55</v>
          </cell>
          <cell r="W202">
            <v>2011.5562500000001</v>
          </cell>
          <cell r="X202">
            <v>21212.775000000001</v>
          </cell>
          <cell r="Y202">
            <v>1909.14975</v>
          </cell>
          <cell r="Z202">
            <v>509.10660000000007</v>
          </cell>
          <cell r="AA202">
            <v>4429.8126000000002</v>
          </cell>
          <cell r="AB202">
            <v>29.532084000000001</v>
          </cell>
        </row>
        <row r="203">
          <cell r="A203" t="str">
            <v>Plant &amp; Pre Rigid12R-20</v>
          </cell>
          <cell r="B203" t="str">
            <v>Plant &amp; Pre Rigid</v>
          </cell>
          <cell r="C203" t="str">
            <v>12R-20</v>
          </cell>
          <cell r="D203">
            <v>20</v>
          </cell>
          <cell r="E203">
            <v>6.5</v>
          </cell>
          <cell r="F203">
            <v>0.65</v>
          </cell>
          <cell r="G203">
            <v>9.7633136094674555E-2</v>
          </cell>
          <cell r="H203">
            <v>33623</v>
          </cell>
          <cell r="I203">
            <v>45</v>
          </cell>
          <cell r="J203">
            <v>45</v>
          </cell>
          <cell r="K203">
            <v>8</v>
          </cell>
          <cell r="L203">
            <v>150</v>
          </cell>
          <cell r="M203">
            <v>0</v>
          </cell>
          <cell r="N203">
            <v>1200</v>
          </cell>
          <cell r="O203">
            <v>1</v>
          </cell>
          <cell r="P203">
            <v>0.27</v>
          </cell>
          <cell r="Q203">
            <v>1.4</v>
          </cell>
          <cell r="R203">
            <v>637.57016693569005</v>
          </cell>
          <cell r="S203">
            <v>4.2504677795712666</v>
          </cell>
          <cell r="T203">
            <v>1891.29375</v>
          </cell>
          <cell r="U203">
            <v>12.608625</v>
          </cell>
          <cell r="V203">
            <v>15130.35</v>
          </cell>
          <cell r="W203">
            <v>2311.5812500000002</v>
          </cell>
          <cell r="X203">
            <v>24376.674999999999</v>
          </cell>
          <cell r="Y203">
            <v>2193.9007499999998</v>
          </cell>
          <cell r="Z203">
            <v>585.04020000000003</v>
          </cell>
          <cell r="AA203">
            <v>5090.5221999999994</v>
          </cell>
          <cell r="AB203">
            <v>33.936814666666663</v>
          </cell>
        </row>
        <row r="204">
          <cell r="A204" t="str">
            <v>Plant &amp; Pre Rigid12R-30</v>
          </cell>
          <cell r="B204" t="str">
            <v>Plant &amp; Pre Rigid</v>
          </cell>
          <cell r="C204" t="str">
            <v>12R-30</v>
          </cell>
          <cell r="D204">
            <v>30</v>
          </cell>
          <cell r="E204">
            <v>6.5</v>
          </cell>
          <cell r="F204">
            <v>0.65</v>
          </cell>
          <cell r="G204">
            <v>6.5088757396449703E-2</v>
          </cell>
          <cell r="H204">
            <v>48556</v>
          </cell>
          <cell r="I204">
            <v>45</v>
          </cell>
          <cell r="J204">
            <v>45</v>
          </cell>
          <cell r="K204">
            <v>8</v>
          </cell>
          <cell r="L204">
            <v>150</v>
          </cell>
          <cell r="M204">
            <v>0</v>
          </cell>
          <cell r="N204">
            <v>1200</v>
          </cell>
          <cell r="O204">
            <v>1</v>
          </cell>
          <cell r="P204">
            <v>0.27</v>
          </cell>
          <cell r="Q204">
            <v>1.4</v>
          </cell>
          <cell r="R204">
            <v>920.7345277259426</v>
          </cell>
          <cell r="S204">
            <v>6.1382301848396175</v>
          </cell>
          <cell r="T204">
            <v>2731.2750000000001</v>
          </cell>
          <cell r="U204">
            <v>18.208500000000001</v>
          </cell>
          <cell r="V204">
            <v>21850.2</v>
          </cell>
          <cell r="W204">
            <v>3338.2249999999999</v>
          </cell>
          <cell r="X204">
            <v>35203.1</v>
          </cell>
          <cell r="Y204">
            <v>3168.2789999999995</v>
          </cell>
          <cell r="Z204">
            <v>844.87440000000004</v>
          </cell>
          <cell r="AA204">
            <v>7351.3783999999996</v>
          </cell>
          <cell r="AB204">
            <v>49.009189333333332</v>
          </cell>
        </row>
        <row r="205">
          <cell r="A205" t="str">
            <v>Plant &amp; Pre Rigid4R-30</v>
          </cell>
          <cell r="B205" t="str">
            <v>Plant &amp; Pre Rigid</v>
          </cell>
          <cell r="C205" t="str">
            <v>4R-30</v>
          </cell>
          <cell r="D205">
            <v>10</v>
          </cell>
          <cell r="E205">
            <v>6.5</v>
          </cell>
          <cell r="F205">
            <v>0.65</v>
          </cell>
          <cell r="G205">
            <v>0.19526627218934911</v>
          </cell>
          <cell r="H205">
            <v>19415</v>
          </cell>
          <cell r="I205">
            <v>45</v>
          </cell>
          <cell r="J205">
            <v>45</v>
          </cell>
          <cell r="K205">
            <v>8</v>
          </cell>
          <cell r="L205">
            <v>150</v>
          </cell>
          <cell r="M205">
            <v>0</v>
          </cell>
          <cell r="N205">
            <v>1200</v>
          </cell>
          <cell r="O205">
            <v>1</v>
          </cell>
          <cell r="P205">
            <v>0.27</v>
          </cell>
          <cell r="Q205">
            <v>1.4</v>
          </cell>
          <cell r="R205">
            <v>368.15348990442322</v>
          </cell>
          <cell r="S205">
            <v>2.4543565993628214</v>
          </cell>
          <cell r="T205">
            <v>1092.09375</v>
          </cell>
          <cell r="U205">
            <v>7.2806249999999997</v>
          </cell>
          <cell r="V205">
            <v>8736.75</v>
          </cell>
          <cell r="W205">
            <v>1334.78125</v>
          </cell>
          <cell r="X205">
            <v>14075.875</v>
          </cell>
          <cell r="Y205">
            <v>1266.8287499999999</v>
          </cell>
          <cell r="Z205">
            <v>337.82100000000003</v>
          </cell>
          <cell r="AA205">
            <v>2939.431</v>
          </cell>
          <cell r="AB205">
            <v>19.596206666666667</v>
          </cell>
        </row>
        <row r="206">
          <cell r="A206" t="str">
            <v>Plant &amp; Pre Rigid4R-36</v>
          </cell>
          <cell r="B206" t="str">
            <v>Plant &amp; Pre Rigid</v>
          </cell>
          <cell r="C206" t="str">
            <v>4R-36</v>
          </cell>
          <cell r="D206">
            <v>12</v>
          </cell>
          <cell r="E206">
            <v>6.5</v>
          </cell>
          <cell r="F206">
            <v>0.65</v>
          </cell>
          <cell r="G206">
            <v>0.16272189349112426</v>
          </cell>
          <cell r="H206">
            <v>18990</v>
          </cell>
          <cell r="I206">
            <v>45</v>
          </cell>
          <cell r="J206">
            <v>45</v>
          </cell>
          <cell r="K206">
            <v>8</v>
          </cell>
          <cell r="L206">
            <v>150</v>
          </cell>
          <cell r="M206">
            <v>0</v>
          </cell>
          <cell r="N206">
            <v>1200</v>
          </cell>
          <cell r="O206">
            <v>1</v>
          </cell>
          <cell r="P206">
            <v>0.27</v>
          </cell>
          <cell r="Q206">
            <v>1.4</v>
          </cell>
          <cell r="R206">
            <v>360.09450287329372</v>
          </cell>
          <cell r="S206">
            <v>2.4006300191552916</v>
          </cell>
          <cell r="T206">
            <v>1068.1875</v>
          </cell>
          <cell r="U206">
            <v>7.1212499999999999</v>
          </cell>
          <cell r="V206">
            <v>8545.5</v>
          </cell>
          <cell r="W206">
            <v>1305.5625</v>
          </cell>
          <cell r="X206">
            <v>13767.75</v>
          </cell>
          <cell r="Y206">
            <v>1239.0974999999999</v>
          </cell>
          <cell r="Z206">
            <v>330.42599999999999</v>
          </cell>
          <cell r="AA206">
            <v>2875.0859999999998</v>
          </cell>
          <cell r="AB206">
            <v>19.16724</v>
          </cell>
        </row>
        <row r="207">
          <cell r="A207" t="str">
            <v>Plant &amp; Pre Rigid6R-30</v>
          </cell>
          <cell r="B207" t="str">
            <v>Plant &amp; Pre Rigid</v>
          </cell>
          <cell r="C207" t="str">
            <v>6R-30</v>
          </cell>
          <cell r="D207">
            <v>15</v>
          </cell>
          <cell r="E207">
            <v>6.5</v>
          </cell>
          <cell r="F207">
            <v>0.65</v>
          </cell>
          <cell r="G207">
            <v>0.13017751479289941</v>
          </cell>
          <cell r="H207">
            <v>24422</v>
          </cell>
          <cell r="I207">
            <v>45</v>
          </cell>
          <cell r="J207">
            <v>45</v>
          </cell>
          <cell r="K207">
            <v>8</v>
          </cell>
          <cell r="L207">
            <v>150</v>
          </cell>
          <cell r="M207">
            <v>0</v>
          </cell>
          <cell r="N207">
            <v>1200</v>
          </cell>
          <cell r="O207">
            <v>1</v>
          </cell>
          <cell r="P207">
            <v>0.27</v>
          </cell>
          <cell r="Q207">
            <v>1.4</v>
          </cell>
          <cell r="R207">
            <v>463.09783829234226</v>
          </cell>
          <cell r="S207">
            <v>3.0873189219489485</v>
          </cell>
          <cell r="T207">
            <v>1373.7375</v>
          </cell>
          <cell r="U207">
            <v>9.1582499999999989</v>
          </cell>
          <cell r="V207">
            <v>10989.9</v>
          </cell>
          <cell r="W207">
            <v>1679.0125</v>
          </cell>
          <cell r="X207">
            <v>17705.95</v>
          </cell>
          <cell r="Y207">
            <v>1593.5355</v>
          </cell>
          <cell r="Z207">
            <v>424.94280000000003</v>
          </cell>
          <cell r="AA207">
            <v>3697.4908</v>
          </cell>
          <cell r="AB207">
            <v>24.649938666666667</v>
          </cell>
        </row>
        <row r="208">
          <cell r="A208" t="str">
            <v>Plant &amp; Pre Rigid6R-36</v>
          </cell>
          <cell r="B208" t="str">
            <v>Plant &amp; Pre Rigid</v>
          </cell>
          <cell r="C208" t="str">
            <v>6R-36</v>
          </cell>
          <cell r="D208">
            <v>18</v>
          </cell>
          <cell r="E208">
            <v>6.5</v>
          </cell>
          <cell r="F208">
            <v>0.65</v>
          </cell>
          <cell r="G208">
            <v>0.10848126232741617</v>
          </cell>
          <cell r="H208">
            <v>23617</v>
          </cell>
          <cell r="I208">
            <v>45</v>
          </cell>
          <cell r="J208">
            <v>45</v>
          </cell>
          <cell r="K208">
            <v>8</v>
          </cell>
          <cell r="L208">
            <v>150</v>
          </cell>
          <cell r="M208">
            <v>0</v>
          </cell>
          <cell r="N208">
            <v>1200</v>
          </cell>
          <cell r="O208">
            <v>1</v>
          </cell>
          <cell r="P208">
            <v>0.27</v>
          </cell>
          <cell r="Q208">
            <v>1.4</v>
          </cell>
          <cell r="R208">
            <v>447.83316873926157</v>
          </cell>
          <cell r="S208">
            <v>2.9855544582617437</v>
          </cell>
          <cell r="T208">
            <v>1328.45625</v>
          </cell>
          <cell r="U208">
            <v>8.8563749999999999</v>
          </cell>
          <cell r="V208">
            <v>10627.65</v>
          </cell>
          <cell r="W208">
            <v>1623.66875</v>
          </cell>
          <cell r="X208">
            <v>17122.325000000001</v>
          </cell>
          <cell r="Y208">
            <v>1541.0092500000001</v>
          </cell>
          <cell r="Z208">
            <v>410.93580000000003</v>
          </cell>
          <cell r="AA208">
            <v>3575.6138000000001</v>
          </cell>
          <cell r="AB208">
            <v>23.837425333333332</v>
          </cell>
        </row>
        <row r="209">
          <cell r="A209" t="str">
            <v>Plant &amp; Pre Rigid8R-22</v>
          </cell>
          <cell r="B209" t="str">
            <v>Plant &amp; Pre Rigid</v>
          </cell>
          <cell r="C209" t="str">
            <v>8R-22</v>
          </cell>
          <cell r="D209">
            <v>14.7</v>
          </cell>
          <cell r="E209">
            <v>6.5</v>
          </cell>
          <cell r="F209">
            <v>0.65</v>
          </cell>
          <cell r="G209">
            <v>0.13283419876826469</v>
          </cell>
          <cell r="H209">
            <v>23550</v>
          </cell>
          <cell r="I209">
            <v>45</v>
          </cell>
          <cell r="J209">
            <v>45</v>
          </cell>
          <cell r="K209">
            <v>8</v>
          </cell>
          <cell r="L209">
            <v>150</v>
          </cell>
          <cell r="M209">
            <v>0</v>
          </cell>
          <cell r="N209">
            <v>1200</v>
          </cell>
          <cell r="O209">
            <v>1</v>
          </cell>
          <cell r="P209">
            <v>0.27</v>
          </cell>
          <cell r="Q209">
            <v>1.4</v>
          </cell>
          <cell r="R209">
            <v>446.56269313670703</v>
          </cell>
          <cell r="S209">
            <v>2.9770846209113802</v>
          </cell>
          <cell r="T209">
            <v>1324.6875</v>
          </cell>
          <cell r="U209">
            <v>8.8312500000000007</v>
          </cell>
          <cell r="V209">
            <v>10597.5</v>
          </cell>
          <cell r="W209">
            <v>1619.0625</v>
          </cell>
          <cell r="X209">
            <v>17073.75</v>
          </cell>
          <cell r="Y209">
            <v>1536.6375</v>
          </cell>
          <cell r="Z209">
            <v>409.77</v>
          </cell>
          <cell r="AA209">
            <v>3565.4700000000003</v>
          </cell>
          <cell r="AB209">
            <v>23.7698</v>
          </cell>
        </row>
        <row r="210">
          <cell r="A210" t="str">
            <v>Plant &amp; Pre Rigid8R-30</v>
          </cell>
          <cell r="B210" t="str">
            <v>Plant &amp; Pre Rigid</v>
          </cell>
          <cell r="C210" t="str">
            <v>8R-30</v>
          </cell>
          <cell r="D210">
            <v>20</v>
          </cell>
          <cell r="E210">
            <v>6.5</v>
          </cell>
          <cell r="F210">
            <v>0.65</v>
          </cell>
          <cell r="G210">
            <v>9.7633136094674555E-2</v>
          </cell>
          <cell r="H210">
            <v>27748</v>
          </cell>
          <cell r="I210">
            <v>45</v>
          </cell>
          <cell r="J210">
            <v>45</v>
          </cell>
          <cell r="K210">
            <v>8</v>
          </cell>
          <cell r="L210">
            <v>150</v>
          </cell>
          <cell r="M210">
            <v>0</v>
          </cell>
          <cell r="N210">
            <v>1200</v>
          </cell>
          <cell r="O210">
            <v>1</v>
          </cell>
          <cell r="P210">
            <v>0.27</v>
          </cell>
          <cell r="Q210">
            <v>1.4</v>
          </cell>
          <cell r="R210">
            <v>526.16652268184066</v>
          </cell>
          <cell r="S210">
            <v>3.5077768178789377</v>
          </cell>
          <cell r="T210">
            <v>1560.825</v>
          </cell>
          <cell r="U210">
            <v>10.4055</v>
          </cell>
          <cell r="V210">
            <v>12486.6</v>
          </cell>
          <cell r="W210">
            <v>1907.675</v>
          </cell>
          <cell r="X210">
            <v>20117.3</v>
          </cell>
          <cell r="Y210">
            <v>1810.5569999999998</v>
          </cell>
          <cell r="Z210">
            <v>482.8152</v>
          </cell>
          <cell r="AA210">
            <v>4201.0472</v>
          </cell>
          <cell r="AB210">
            <v>28.006981333333332</v>
          </cell>
        </row>
        <row r="211">
          <cell r="A211" t="str">
            <v>Plant &amp; Pre Rigid8R-36</v>
          </cell>
          <cell r="B211" t="str">
            <v>Plant &amp; Pre Rigid</v>
          </cell>
          <cell r="C211" t="str">
            <v>8R-36</v>
          </cell>
          <cell r="D211">
            <v>24</v>
          </cell>
          <cell r="E211">
            <v>6.5</v>
          </cell>
          <cell r="F211">
            <v>0.65</v>
          </cell>
          <cell r="G211">
            <v>8.1360946745562129E-2</v>
          </cell>
          <cell r="H211">
            <v>27329</v>
          </cell>
          <cell r="I211">
            <v>45</v>
          </cell>
          <cell r="J211">
            <v>45</v>
          </cell>
          <cell r="K211">
            <v>8</v>
          </cell>
          <cell r="L211">
            <v>150</v>
          </cell>
          <cell r="M211">
            <v>0</v>
          </cell>
          <cell r="N211">
            <v>1200</v>
          </cell>
          <cell r="O211">
            <v>1</v>
          </cell>
          <cell r="P211">
            <v>0.27</v>
          </cell>
          <cell r="Q211">
            <v>1.4</v>
          </cell>
          <cell r="R211">
            <v>518.22130958526827</v>
          </cell>
          <cell r="S211">
            <v>3.4548087305684549</v>
          </cell>
          <cell r="T211">
            <v>1537.2562499999999</v>
          </cell>
          <cell r="U211">
            <v>10.248374999999999</v>
          </cell>
          <cell r="V211">
            <v>12298.05</v>
          </cell>
          <cell r="W211">
            <v>1878.8687500000001</v>
          </cell>
          <cell r="X211">
            <v>19813.525000000001</v>
          </cell>
          <cell r="Y211">
            <v>1783.2172500000001</v>
          </cell>
          <cell r="Z211">
            <v>475.52460000000002</v>
          </cell>
          <cell r="AA211">
            <v>4137.6106</v>
          </cell>
          <cell r="AB211">
            <v>27.584070666666666</v>
          </cell>
        </row>
        <row r="212">
          <cell r="A212" t="str">
            <v>Plow 4 Bottom Switch6'</v>
          </cell>
          <cell r="B212" t="str">
            <v>Plow 4 Bottom Switch</v>
          </cell>
          <cell r="C212" t="str">
            <v>6'</v>
          </cell>
          <cell r="D212">
            <v>6</v>
          </cell>
          <cell r="E212">
            <v>4</v>
          </cell>
          <cell r="F212">
            <v>0.8</v>
          </cell>
          <cell r="G212">
            <v>0.4296875</v>
          </cell>
          <cell r="H212">
            <v>10000</v>
          </cell>
          <cell r="I212">
            <v>30</v>
          </cell>
          <cell r="J212">
            <v>40</v>
          </cell>
          <cell r="K212">
            <v>8</v>
          </cell>
          <cell r="L212">
            <v>150</v>
          </cell>
          <cell r="M212">
            <v>0</v>
          </cell>
          <cell r="N212">
            <v>1200</v>
          </cell>
          <cell r="O212">
            <v>1</v>
          </cell>
          <cell r="P212">
            <v>0.27</v>
          </cell>
          <cell r="Q212">
            <v>1.4</v>
          </cell>
          <cell r="R212">
            <v>189.62322426187134</v>
          </cell>
          <cell r="S212">
            <v>1.2641548284124757</v>
          </cell>
          <cell r="T212">
            <v>500</v>
          </cell>
          <cell r="U212">
            <v>3.3333333333333335</v>
          </cell>
          <cell r="V212">
            <v>3000</v>
          </cell>
          <cell r="W212">
            <v>875</v>
          </cell>
          <cell r="X212">
            <v>6500</v>
          </cell>
          <cell r="Y212">
            <v>585</v>
          </cell>
          <cell r="Z212">
            <v>156</v>
          </cell>
          <cell r="AA212">
            <v>1616</v>
          </cell>
          <cell r="AB212">
            <v>10.773333333333333</v>
          </cell>
        </row>
        <row r="213">
          <cell r="A213" t="str">
            <v>Plow 5 Bottom Switch7.5'</v>
          </cell>
          <cell r="B213" t="str">
            <v>Plow 5 Bottom Switch</v>
          </cell>
          <cell r="C213" t="str">
            <v>7.5'</v>
          </cell>
          <cell r="D213">
            <v>7.5</v>
          </cell>
          <cell r="E213">
            <v>4</v>
          </cell>
          <cell r="F213">
            <v>0.8</v>
          </cell>
          <cell r="G213">
            <v>0.34375</v>
          </cell>
          <cell r="H213">
            <v>11500</v>
          </cell>
          <cell r="I213">
            <v>30</v>
          </cell>
          <cell r="J213">
            <v>40</v>
          </cell>
          <cell r="K213">
            <v>8</v>
          </cell>
          <cell r="L213">
            <v>150</v>
          </cell>
          <cell r="M213">
            <v>0</v>
          </cell>
          <cell r="N213">
            <v>1200</v>
          </cell>
          <cell r="O213">
            <v>1</v>
          </cell>
          <cell r="P213">
            <v>0.27</v>
          </cell>
          <cell r="Q213">
            <v>1.4</v>
          </cell>
          <cell r="R213">
            <v>218.06670790115206</v>
          </cell>
          <cell r="S213">
            <v>1.4537780526743471</v>
          </cell>
          <cell r="T213">
            <v>575</v>
          </cell>
          <cell r="U213">
            <v>3.8333333333333335</v>
          </cell>
          <cell r="V213">
            <v>3450</v>
          </cell>
          <cell r="W213">
            <v>1006.25</v>
          </cell>
          <cell r="X213">
            <v>7475</v>
          </cell>
          <cell r="Y213">
            <v>672.75</v>
          </cell>
          <cell r="Z213">
            <v>179.4</v>
          </cell>
          <cell r="AA213">
            <v>1858.4</v>
          </cell>
          <cell r="AB213">
            <v>12.389333333333333</v>
          </cell>
        </row>
        <row r="214">
          <cell r="A214" t="str">
            <v>Roller32'</v>
          </cell>
          <cell r="B214" t="str">
            <v>Roller</v>
          </cell>
          <cell r="C214" t="str">
            <v>32'</v>
          </cell>
          <cell r="D214">
            <v>32</v>
          </cell>
          <cell r="E214">
            <v>6.5</v>
          </cell>
          <cell r="F214">
            <v>0.85</v>
          </cell>
          <cell r="G214">
            <v>4.6662895927601811E-2</v>
          </cell>
          <cell r="H214">
            <v>14923</v>
          </cell>
          <cell r="I214">
            <v>30</v>
          </cell>
          <cell r="J214">
            <v>20</v>
          </cell>
          <cell r="K214">
            <v>12</v>
          </cell>
          <cell r="L214">
            <v>100</v>
          </cell>
          <cell r="M214">
            <v>0</v>
          </cell>
          <cell r="N214">
            <v>1200</v>
          </cell>
          <cell r="O214">
            <v>1</v>
          </cell>
          <cell r="P214">
            <v>0.27</v>
          </cell>
          <cell r="Q214">
            <v>1.4</v>
          </cell>
          <cell r="R214">
            <v>160.40573926658578</v>
          </cell>
          <cell r="S214">
            <v>1.6040573926658579</v>
          </cell>
          <cell r="T214">
            <v>248.71666666666667</v>
          </cell>
          <cell r="U214">
            <v>2.4871666666666665</v>
          </cell>
          <cell r="V214">
            <v>4476.8999999999996</v>
          </cell>
          <cell r="W214">
            <v>870.50833333333333</v>
          </cell>
          <cell r="X214">
            <v>9699.9500000000007</v>
          </cell>
          <cell r="Y214">
            <v>872.99549999999999</v>
          </cell>
          <cell r="Z214">
            <v>232.79880000000003</v>
          </cell>
          <cell r="AA214">
            <v>1976.3026333333332</v>
          </cell>
          <cell r="AB214">
            <v>19.763026333333332</v>
          </cell>
        </row>
        <row r="215">
          <cell r="A215" t="str">
            <v>Rotary Cutter12'</v>
          </cell>
          <cell r="B215" t="str">
            <v>Rotary Cutter</v>
          </cell>
          <cell r="C215" t="str">
            <v>12'</v>
          </cell>
          <cell r="D215">
            <v>12</v>
          </cell>
          <cell r="E215">
            <v>8.75</v>
          </cell>
          <cell r="F215">
            <v>0.8</v>
          </cell>
          <cell r="G215">
            <v>9.8214285714285712E-2</v>
          </cell>
          <cell r="H215">
            <v>6735</v>
          </cell>
          <cell r="I215">
            <v>30</v>
          </cell>
          <cell r="J215">
            <v>150</v>
          </cell>
          <cell r="K215">
            <v>10</v>
          </cell>
          <cell r="L215">
            <v>185</v>
          </cell>
          <cell r="M215">
            <v>0</v>
          </cell>
          <cell r="N215">
            <v>1850</v>
          </cell>
          <cell r="O215">
            <v>1</v>
          </cell>
          <cell r="P215">
            <v>0.27</v>
          </cell>
          <cell r="Q215">
            <v>1.4</v>
          </cell>
          <cell r="R215">
            <v>171.29385524779704</v>
          </cell>
          <cell r="S215">
            <v>0.92591273106917316</v>
          </cell>
          <cell r="T215">
            <v>1010.25</v>
          </cell>
          <cell r="U215">
            <v>5.4608108108108109</v>
          </cell>
          <cell r="V215">
            <v>2020.5</v>
          </cell>
          <cell r="W215">
            <v>471.45</v>
          </cell>
          <cell r="X215">
            <v>4377.75</v>
          </cell>
          <cell r="Y215">
            <v>393.9975</v>
          </cell>
          <cell r="Z215">
            <v>105.066</v>
          </cell>
          <cell r="AA215">
            <v>970.51350000000002</v>
          </cell>
          <cell r="AB215">
            <v>5.246018918918919</v>
          </cell>
        </row>
        <row r="216">
          <cell r="A216" t="str">
            <v>Rotary Cutter15'</v>
          </cell>
          <cell r="B216" t="str">
            <v>Rotary Cutter</v>
          </cell>
          <cell r="C216" t="str">
            <v>15'</v>
          </cell>
          <cell r="D216">
            <v>15</v>
          </cell>
          <cell r="E216">
            <v>8.75</v>
          </cell>
          <cell r="F216">
            <v>0.8</v>
          </cell>
          <cell r="G216">
            <v>7.857142857142857E-2</v>
          </cell>
          <cell r="H216">
            <v>13517</v>
          </cell>
          <cell r="I216">
            <v>30</v>
          </cell>
          <cell r="J216">
            <v>150</v>
          </cell>
          <cell r="K216">
            <v>10</v>
          </cell>
          <cell r="L216">
            <v>185</v>
          </cell>
          <cell r="M216">
            <v>0</v>
          </cell>
          <cell r="N216">
            <v>1850</v>
          </cell>
          <cell r="O216">
            <v>1</v>
          </cell>
          <cell r="P216">
            <v>0.27</v>
          </cell>
          <cell r="Q216">
            <v>1.4</v>
          </cell>
          <cell r="R216">
            <v>343.78307964134711</v>
          </cell>
          <cell r="S216">
            <v>1.8582869169802547</v>
          </cell>
          <cell r="T216">
            <v>2027.55</v>
          </cell>
          <cell r="U216">
            <v>10.95972972972973</v>
          </cell>
          <cell r="V216">
            <v>4055.1</v>
          </cell>
          <cell r="W216">
            <v>946.18999999999994</v>
          </cell>
          <cell r="X216">
            <v>8786.0499999999993</v>
          </cell>
          <cell r="Y216">
            <v>790.7444999999999</v>
          </cell>
          <cell r="Z216">
            <v>210.86519999999999</v>
          </cell>
          <cell r="AA216">
            <v>1947.7996999999998</v>
          </cell>
          <cell r="AB216">
            <v>10.528647027027025</v>
          </cell>
        </row>
        <row r="217">
          <cell r="A217" t="str">
            <v>Rotary Cutter7'</v>
          </cell>
          <cell r="B217" t="str">
            <v>Rotary Cutter</v>
          </cell>
          <cell r="C217" t="str">
            <v>7'</v>
          </cell>
          <cell r="D217">
            <v>7</v>
          </cell>
          <cell r="E217">
            <v>8.75</v>
          </cell>
          <cell r="F217">
            <v>0.8</v>
          </cell>
          <cell r="G217">
            <v>0.1683673469387755</v>
          </cell>
          <cell r="H217">
            <v>3686</v>
          </cell>
          <cell r="I217">
            <v>30</v>
          </cell>
          <cell r="J217">
            <v>150</v>
          </cell>
          <cell r="K217">
            <v>10</v>
          </cell>
          <cell r="L217">
            <v>185</v>
          </cell>
          <cell r="M217">
            <v>0</v>
          </cell>
          <cell r="N217">
            <v>1850</v>
          </cell>
          <cell r="O217">
            <v>1</v>
          </cell>
          <cell r="P217">
            <v>0.27</v>
          </cell>
          <cell r="Q217">
            <v>1.4</v>
          </cell>
          <cell r="R217">
            <v>93.7474610903311</v>
          </cell>
          <cell r="S217">
            <v>0.50674303292070866</v>
          </cell>
          <cell r="T217">
            <v>552.9</v>
          </cell>
          <cell r="U217">
            <v>2.9886486486486485</v>
          </cell>
          <cell r="V217">
            <v>1105.8</v>
          </cell>
          <cell r="W217">
            <v>258.02</v>
          </cell>
          <cell r="X217">
            <v>2395.9</v>
          </cell>
          <cell r="Y217">
            <v>215.631</v>
          </cell>
          <cell r="Z217">
            <v>57.501600000000003</v>
          </cell>
          <cell r="AA217">
            <v>531.15260000000001</v>
          </cell>
          <cell r="AB217">
            <v>2.871095135135135</v>
          </cell>
        </row>
        <row r="218">
          <cell r="A218" t="str">
            <v>Row Cond &amp; Inc13'</v>
          </cell>
          <cell r="B218" t="str">
            <v>Row Cond &amp; Inc</v>
          </cell>
          <cell r="C218" t="str">
            <v>13'</v>
          </cell>
          <cell r="D218">
            <v>13</v>
          </cell>
          <cell r="E218">
            <v>5.75</v>
          </cell>
          <cell r="F218">
            <v>0.85</v>
          </cell>
          <cell r="G218">
            <v>0.12984457997245721</v>
          </cell>
          <cell r="H218">
            <v>10401</v>
          </cell>
          <cell r="I218">
            <v>30</v>
          </cell>
          <cell r="J218">
            <v>25</v>
          </cell>
          <cell r="K218">
            <v>10</v>
          </cell>
          <cell r="L218">
            <v>100</v>
          </cell>
          <cell r="M218">
            <v>0</v>
          </cell>
          <cell r="N218">
            <v>1000</v>
          </cell>
          <cell r="O218">
            <v>1</v>
          </cell>
          <cell r="P218">
            <v>0.27</v>
          </cell>
          <cell r="Q218">
            <v>1.4</v>
          </cell>
          <cell r="R218">
            <v>111.79924238502704</v>
          </cell>
          <cell r="S218">
            <v>1.1179924238502705</v>
          </cell>
          <cell r="T218">
            <v>260.02499999999998</v>
          </cell>
          <cell r="U218">
            <v>2.60025</v>
          </cell>
          <cell r="V218">
            <v>3120.3</v>
          </cell>
          <cell r="W218">
            <v>728.06999999999994</v>
          </cell>
          <cell r="X218">
            <v>6760.65</v>
          </cell>
          <cell r="Y218">
            <v>608.45849999999996</v>
          </cell>
          <cell r="Z218">
            <v>162.25559999999999</v>
          </cell>
          <cell r="AA218">
            <v>1498.7840999999999</v>
          </cell>
          <cell r="AB218">
            <v>14.987840999999998</v>
          </cell>
        </row>
        <row r="219">
          <cell r="A219" t="str">
            <v>Row Cond &amp; Inc21'</v>
          </cell>
          <cell r="B219" t="str">
            <v>Row Cond &amp; Inc</v>
          </cell>
          <cell r="C219" t="str">
            <v>21'</v>
          </cell>
          <cell r="D219">
            <v>21</v>
          </cell>
          <cell r="E219">
            <v>5.75</v>
          </cell>
          <cell r="F219">
            <v>0.85</v>
          </cell>
          <cell r="G219">
            <v>8.0379978078187794E-2</v>
          </cell>
          <cell r="H219">
            <v>13066</v>
          </cell>
          <cell r="I219">
            <v>30</v>
          </cell>
          <cell r="J219">
            <v>25</v>
          </cell>
          <cell r="K219">
            <v>10</v>
          </cell>
          <cell r="L219">
            <v>100</v>
          </cell>
          <cell r="M219">
            <v>0</v>
          </cell>
          <cell r="N219">
            <v>1000</v>
          </cell>
          <cell r="O219">
            <v>1</v>
          </cell>
          <cell r="P219">
            <v>0.27</v>
          </cell>
          <cell r="Q219">
            <v>1.4</v>
          </cell>
          <cell r="R219">
            <v>140.44504384220394</v>
          </cell>
          <cell r="S219">
            <v>1.4044504384220395</v>
          </cell>
          <cell r="T219">
            <v>326.64999999999998</v>
          </cell>
          <cell r="U219">
            <v>3.2664999999999997</v>
          </cell>
          <cell r="V219">
            <v>3919.8</v>
          </cell>
          <cell r="W219">
            <v>914.62000000000012</v>
          </cell>
          <cell r="X219">
            <v>8492.9</v>
          </cell>
          <cell r="Y219">
            <v>764.36099999999999</v>
          </cell>
          <cell r="Z219">
            <v>203.8296</v>
          </cell>
          <cell r="AA219">
            <v>1882.8106000000002</v>
          </cell>
          <cell r="AB219">
            <v>18.828106000000002</v>
          </cell>
        </row>
        <row r="220">
          <cell r="A220" t="str">
            <v>Row Cond &amp; Inc27'</v>
          </cell>
          <cell r="B220" t="str">
            <v>Row Cond &amp; Inc</v>
          </cell>
          <cell r="C220" t="str">
            <v>27'</v>
          </cell>
          <cell r="D220">
            <v>27</v>
          </cell>
          <cell r="E220">
            <v>5.75</v>
          </cell>
          <cell r="F220">
            <v>0.85</v>
          </cell>
          <cell r="G220">
            <v>6.2517760727479402E-2</v>
          </cell>
          <cell r="H220">
            <v>14846</v>
          </cell>
          <cell r="I220">
            <v>30</v>
          </cell>
          <cell r="J220">
            <v>25</v>
          </cell>
          <cell r="K220">
            <v>10</v>
          </cell>
          <cell r="L220">
            <v>100</v>
          </cell>
          <cell r="M220">
            <v>0</v>
          </cell>
          <cell r="N220">
            <v>1000</v>
          </cell>
          <cell r="O220">
            <v>1</v>
          </cell>
          <cell r="P220">
            <v>0.27</v>
          </cell>
          <cell r="Q220">
            <v>1.4</v>
          </cell>
          <cell r="R220">
            <v>159.57807445900505</v>
          </cell>
          <cell r="S220">
            <v>1.5957807445900505</v>
          </cell>
          <cell r="T220">
            <v>371.15</v>
          </cell>
          <cell r="U220">
            <v>3.7114999999999996</v>
          </cell>
          <cell r="V220">
            <v>4453.8</v>
          </cell>
          <cell r="W220">
            <v>1039.22</v>
          </cell>
          <cell r="X220">
            <v>9649.9</v>
          </cell>
          <cell r="Y220">
            <v>868.49099999999999</v>
          </cell>
          <cell r="Z220">
            <v>231.5976</v>
          </cell>
          <cell r="AA220">
            <v>2139.3086000000003</v>
          </cell>
          <cell r="AB220">
            <v>21.393086000000004</v>
          </cell>
        </row>
        <row r="221">
          <cell r="A221" t="str">
            <v>Row Cond &amp; Inc32'</v>
          </cell>
          <cell r="B221" t="str">
            <v>Row Cond &amp; Inc</v>
          </cell>
          <cell r="C221" t="str">
            <v>32'</v>
          </cell>
          <cell r="D221">
            <v>32</v>
          </cell>
          <cell r="E221">
            <v>5.75</v>
          </cell>
          <cell r="F221">
            <v>0.85</v>
          </cell>
          <cell r="G221">
            <v>5.274936061381074E-2</v>
          </cell>
          <cell r="H221">
            <v>20619</v>
          </cell>
          <cell r="I221">
            <v>30</v>
          </cell>
          <cell r="J221">
            <v>25</v>
          </cell>
          <cell r="K221">
            <v>10</v>
          </cell>
          <cell r="L221">
            <v>100</v>
          </cell>
          <cell r="M221">
            <v>0</v>
          </cell>
          <cell r="N221">
            <v>1000</v>
          </cell>
          <cell r="O221">
            <v>1</v>
          </cell>
          <cell r="P221">
            <v>0.27</v>
          </cell>
          <cell r="Q221">
            <v>1.4</v>
          </cell>
          <cell r="R221">
            <v>221.63143724034924</v>
          </cell>
          <cell r="S221">
            <v>2.2163143724034926</v>
          </cell>
          <cell r="T221">
            <v>515.47500000000002</v>
          </cell>
          <cell r="U221">
            <v>5.1547499999999999</v>
          </cell>
          <cell r="V221">
            <v>6185.7</v>
          </cell>
          <cell r="W221">
            <v>1443.33</v>
          </cell>
          <cell r="X221">
            <v>13402.35</v>
          </cell>
          <cell r="Y221">
            <v>1206.2114999999999</v>
          </cell>
          <cell r="Z221">
            <v>321.65640000000002</v>
          </cell>
          <cell r="AA221">
            <v>2971.1979000000001</v>
          </cell>
          <cell r="AB221">
            <v>29.711978999999999</v>
          </cell>
        </row>
        <row r="222">
          <cell r="A222" t="str">
            <v>Row Cond &amp; Inc42'</v>
          </cell>
          <cell r="B222" t="str">
            <v>Row Cond &amp; Inc</v>
          </cell>
          <cell r="C222" t="str">
            <v>42'</v>
          </cell>
          <cell r="D222">
            <v>42</v>
          </cell>
          <cell r="E222">
            <v>5.75</v>
          </cell>
          <cell r="F222">
            <v>0.85</v>
          </cell>
          <cell r="G222">
            <v>4.0189989039093897E-2</v>
          </cell>
          <cell r="H222">
            <v>22067</v>
          </cell>
          <cell r="I222">
            <v>30</v>
          </cell>
          <cell r="J222">
            <v>25</v>
          </cell>
          <cell r="K222">
            <v>10</v>
          </cell>
          <cell r="L222">
            <v>100</v>
          </cell>
          <cell r="M222">
            <v>0</v>
          </cell>
          <cell r="N222">
            <v>1000</v>
          </cell>
          <cell r="O222">
            <v>1</v>
          </cell>
          <cell r="P222">
            <v>0.27</v>
          </cell>
          <cell r="Q222">
            <v>1.4</v>
          </cell>
          <cell r="R222">
            <v>237.19583518030879</v>
          </cell>
          <cell r="S222">
            <v>2.3719583518030878</v>
          </cell>
          <cell r="T222">
            <v>551.67499999999995</v>
          </cell>
          <cell r="U222">
            <v>5.5167499999999992</v>
          </cell>
          <cell r="V222">
            <v>6620.1</v>
          </cell>
          <cell r="W222">
            <v>1544.69</v>
          </cell>
          <cell r="X222">
            <v>14343.55</v>
          </cell>
          <cell r="Y222">
            <v>1290.9195</v>
          </cell>
          <cell r="Z222">
            <v>344.24520000000001</v>
          </cell>
          <cell r="AA222">
            <v>3179.8546999999999</v>
          </cell>
          <cell r="AB222">
            <v>31.798546999999999</v>
          </cell>
        </row>
        <row r="223">
          <cell r="A223" t="str">
            <v>Row Cond (Harrow)13'</v>
          </cell>
          <cell r="B223" t="str">
            <v>Row Cond (Harrow)</v>
          </cell>
          <cell r="C223" t="str">
            <v>13'</v>
          </cell>
          <cell r="D223">
            <v>13</v>
          </cell>
          <cell r="E223">
            <v>6.5</v>
          </cell>
          <cell r="F223">
            <v>0.85</v>
          </cell>
          <cell r="G223">
            <v>0.11486251305255829</v>
          </cell>
          <cell r="H223">
            <v>5032</v>
          </cell>
          <cell r="I223">
            <v>30</v>
          </cell>
          <cell r="J223">
            <v>25</v>
          </cell>
          <cell r="K223">
            <v>10</v>
          </cell>
          <cell r="L223">
            <v>100</v>
          </cell>
          <cell r="M223">
            <v>0</v>
          </cell>
          <cell r="N223">
            <v>1000</v>
          </cell>
          <cell r="O223">
            <v>1</v>
          </cell>
          <cell r="P223">
            <v>0.27</v>
          </cell>
          <cell r="Q223">
            <v>1.4</v>
          </cell>
          <cell r="R223">
            <v>54.088432620080383</v>
          </cell>
          <cell r="S223">
            <v>0.54088432620080384</v>
          </cell>
          <cell r="T223">
            <v>125.8</v>
          </cell>
          <cell r="U223">
            <v>1.258</v>
          </cell>
          <cell r="V223">
            <v>1509.6</v>
          </cell>
          <cell r="W223">
            <v>352.24</v>
          </cell>
          <cell r="X223">
            <v>3270.8</v>
          </cell>
          <cell r="Y223">
            <v>294.37200000000001</v>
          </cell>
          <cell r="Z223">
            <v>78.499200000000002</v>
          </cell>
          <cell r="AA223">
            <v>725.11120000000005</v>
          </cell>
          <cell r="AB223">
            <v>7.2511120000000009</v>
          </cell>
        </row>
        <row r="224">
          <cell r="A224" t="str">
            <v>Row Cond (Harrow)21'</v>
          </cell>
          <cell r="B224" t="str">
            <v>Row Cond (Harrow)</v>
          </cell>
          <cell r="C224" t="str">
            <v>21'</v>
          </cell>
          <cell r="D224">
            <v>21</v>
          </cell>
          <cell r="E224">
            <v>6.5</v>
          </cell>
          <cell r="F224">
            <v>0.85</v>
          </cell>
          <cell r="G224">
            <v>7.1105365223012279E-2</v>
          </cell>
          <cell r="H224">
            <v>7697</v>
          </cell>
          <cell r="I224">
            <v>30</v>
          </cell>
          <cell r="J224">
            <v>25</v>
          </cell>
          <cell r="K224">
            <v>10</v>
          </cell>
          <cell r="L224">
            <v>100</v>
          </cell>
          <cell r="M224">
            <v>0</v>
          </cell>
          <cell r="N224">
            <v>1000</v>
          </cell>
          <cell r="O224">
            <v>1</v>
          </cell>
          <cell r="P224">
            <v>0.27</v>
          </cell>
          <cell r="Q224">
            <v>1.4</v>
          </cell>
          <cell r="R224">
            <v>82.734234077257298</v>
          </cell>
          <cell r="S224">
            <v>0.82734234077257296</v>
          </cell>
          <cell r="T224">
            <v>192.42500000000001</v>
          </cell>
          <cell r="U224">
            <v>1.92425</v>
          </cell>
          <cell r="V224">
            <v>2309.1</v>
          </cell>
          <cell r="W224">
            <v>538.79</v>
          </cell>
          <cell r="X224">
            <v>5003.05</v>
          </cell>
          <cell r="Y224">
            <v>450.27449999999999</v>
          </cell>
          <cell r="Z224">
            <v>120.0732</v>
          </cell>
          <cell r="AA224">
            <v>1109.1377</v>
          </cell>
          <cell r="AB224">
            <v>11.091377</v>
          </cell>
        </row>
        <row r="225">
          <cell r="A225" t="str">
            <v>Row Cond (Harrow)27'</v>
          </cell>
          <cell r="B225" t="str">
            <v>Row Cond (Harrow)</v>
          </cell>
          <cell r="C225" t="str">
            <v>27'</v>
          </cell>
          <cell r="D225">
            <v>27</v>
          </cell>
          <cell r="E225">
            <v>6.5</v>
          </cell>
          <cell r="F225">
            <v>0.85</v>
          </cell>
          <cell r="G225">
            <v>5.5304172951231773E-2</v>
          </cell>
          <cell r="H225">
            <v>9476</v>
          </cell>
          <cell r="I225">
            <v>30</v>
          </cell>
          <cell r="J225">
            <v>25</v>
          </cell>
          <cell r="K225">
            <v>10</v>
          </cell>
          <cell r="L225">
            <v>100</v>
          </cell>
          <cell r="M225">
            <v>0</v>
          </cell>
          <cell r="N225">
            <v>1000</v>
          </cell>
          <cell r="O225">
            <v>1</v>
          </cell>
          <cell r="P225">
            <v>0.27</v>
          </cell>
          <cell r="Q225">
            <v>1.4</v>
          </cell>
          <cell r="R225">
            <v>101.85651580045344</v>
          </cell>
          <cell r="S225">
            <v>1.0185651580045343</v>
          </cell>
          <cell r="T225">
            <v>236.9</v>
          </cell>
          <cell r="U225">
            <v>2.3690000000000002</v>
          </cell>
          <cell r="V225">
            <v>2842.8</v>
          </cell>
          <cell r="W225">
            <v>663.31999999999994</v>
          </cell>
          <cell r="X225">
            <v>6159.4</v>
          </cell>
          <cell r="Y225">
            <v>554.34599999999989</v>
          </cell>
          <cell r="Z225">
            <v>147.82560000000001</v>
          </cell>
          <cell r="AA225">
            <v>1365.4915999999998</v>
          </cell>
          <cell r="AB225">
            <v>13.654915999999998</v>
          </cell>
        </row>
        <row r="226">
          <cell r="A226" t="str">
            <v>Row Cond (Harrow)32'</v>
          </cell>
          <cell r="B226" t="str">
            <v>Row Cond (Harrow)</v>
          </cell>
          <cell r="C226" t="str">
            <v>32'</v>
          </cell>
          <cell r="D226">
            <v>32</v>
          </cell>
          <cell r="E226">
            <v>6.5</v>
          </cell>
          <cell r="F226">
            <v>0.85</v>
          </cell>
          <cell r="G226">
            <v>4.6662895927601811E-2</v>
          </cell>
          <cell r="H226">
            <v>12850</v>
          </cell>
          <cell r="I226">
            <v>30</v>
          </cell>
          <cell r="J226">
            <v>25</v>
          </cell>
          <cell r="K226">
            <v>10</v>
          </cell>
          <cell r="L226">
            <v>100</v>
          </cell>
          <cell r="M226">
            <v>0</v>
          </cell>
          <cell r="N226">
            <v>1000</v>
          </cell>
          <cell r="O226">
            <v>1</v>
          </cell>
          <cell r="P226">
            <v>0.27</v>
          </cell>
          <cell r="Q226">
            <v>1.4</v>
          </cell>
          <cell r="R226">
            <v>138.12328282353596</v>
          </cell>
          <cell r="S226">
            <v>1.3812328282353596</v>
          </cell>
          <cell r="T226">
            <v>321.25</v>
          </cell>
          <cell r="U226">
            <v>3.2124999999999999</v>
          </cell>
          <cell r="V226">
            <v>3855</v>
          </cell>
          <cell r="W226">
            <v>899.5</v>
          </cell>
          <cell r="X226">
            <v>8352.5</v>
          </cell>
          <cell r="Y226">
            <v>751.72500000000002</v>
          </cell>
          <cell r="Z226">
            <v>200.46</v>
          </cell>
          <cell r="AA226">
            <v>1851.6849999999999</v>
          </cell>
          <cell r="AB226">
            <v>18.516849999999998</v>
          </cell>
        </row>
        <row r="227">
          <cell r="A227" t="str">
            <v>Row Cond (Harrow)42'</v>
          </cell>
          <cell r="B227" t="str">
            <v>Row Cond (Harrow)</v>
          </cell>
          <cell r="C227" t="str">
            <v>42'</v>
          </cell>
          <cell r="D227">
            <v>42</v>
          </cell>
          <cell r="E227">
            <v>6.5</v>
          </cell>
          <cell r="F227">
            <v>0.85</v>
          </cell>
          <cell r="G227">
            <v>3.555268261150614E-2</v>
          </cell>
          <cell r="H227">
            <v>16495</v>
          </cell>
          <cell r="I227">
            <v>30</v>
          </cell>
          <cell r="J227">
            <v>25</v>
          </cell>
          <cell r="K227">
            <v>10</v>
          </cell>
          <cell r="L227">
            <v>100</v>
          </cell>
          <cell r="M227">
            <v>0</v>
          </cell>
          <cell r="N227">
            <v>1000</v>
          </cell>
          <cell r="O227">
            <v>1</v>
          </cell>
          <cell r="P227">
            <v>0.27</v>
          </cell>
          <cell r="Q227">
            <v>1.4</v>
          </cell>
          <cell r="R227">
            <v>177.30300001355843</v>
          </cell>
          <cell r="S227">
            <v>1.7730300001355843</v>
          </cell>
          <cell r="T227">
            <v>412.375</v>
          </cell>
          <cell r="U227">
            <v>4.1237500000000002</v>
          </cell>
          <cell r="V227">
            <v>4948.5</v>
          </cell>
          <cell r="W227">
            <v>1154.6500000000001</v>
          </cell>
          <cell r="X227">
            <v>10721.75</v>
          </cell>
          <cell r="Y227">
            <v>964.95749999999998</v>
          </cell>
          <cell r="Z227">
            <v>257.322</v>
          </cell>
          <cell r="AA227">
            <v>2376.9295000000002</v>
          </cell>
          <cell r="AB227">
            <v>23.769295000000003</v>
          </cell>
        </row>
        <row r="228">
          <cell r="A228" t="str">
            <v>Row Cond (Plant)13'</v>
          </cell>
          <cell r="B228" t="str">
            <v>Row Cond (Plant)</v>
          </cell>
          <cell r="C228" t="str">
            <v>13'</v>
          </cell>
          <cell r="D228">
            <v>13</v>
          </cell>
          <cell r="E228">
            <v>4.75</v>
          </cell>
          <cell r="F228">
            <v>0.85</v>
          </cell>
          <cell r="G228">
            <v>0.1571802810192903</v>
          </cell>
          <cell r="H228">
            <v>5032</v>
          </cell>
          <cell r="I228">
            <v>30</v>
          </cell>
          <cell r="J228">
            <v>25</v>
          </cell>
          <cell r="K228">
            <v>10</v>
          </cell>
          <cell r="L228">
            <v>100</v>
          </cell>
          <cell r="M228">
            <v>0</v>
          </cell>
          <cell r="N228">
            <v>1000</v>
          </cell>
          <cell r="O228">
            <v>1</v>
          </cell>
          <cell r="P228">
            <v>0.27</v>
          </cell>
          <cell r="Q228">
            <v>1.4</v>
          </cell>
          <cell r="R228">
            <v>54.088432620080383</v>
          </cell>
          <cell r="S228">
            <v>0.54088432620080384</v>
          </cell>
          <cell r="T228">
            <v>125.8</v>
          </cell>
          <cell r="U228">
            <v>1.258</v>
          </cell>
          <cell r="V228">
            <v>1509.6</v>
          </cell>
          <cell r="W228">
            <v>352.24</v>
          </cell>
          <cell r="X228">
            <v>3270.8</v>
          </cell>
          <cell r="Y228">
            <v>294.37200000000001</v>
          </cell>
          <cell r="Z228">
            <v>78.499200000000002</v>
          </cell>
          <cell r="AA228">
            <v>725.11120000000005</v>
          </cell>
          <cell r="AB228">
            <v>7.2511120000000009</v>
          </cell>
        </row>
        <row r="229">
          <cell r="A229" t="str">
            <v>Row Cond (Plant)21'</v>
          </cell>
          <cell r="B229" t="str">
            <v>Row Cond (Plant)</v>
          </cell>
          <cell r="C229" t="str">
            <v>21'</v>
          </cell>
          <cell r="D229">
            <v>21</v>
          </cell>
          <cell r="E229">
            <v>4.75</v>
          </cell>
          <cell r="F229">
            <v>0.85</v>
          </cell>
          <cell r="G229">
            <v>9.7302078726227328E-2</v>
          </cell>
          <cell r="H229">
            <v>7697</v>
          </cell>
          <cell r="I229">
            <v>30</v>
          </cell>
          <cell r="J229">
            <v>25</v>
          </cell>
          <cell r="K229">
            <v>10</v>
          </cell>
          <cell r="L229">
            <v>100</v>
          </cell>
          <cell r="M229">
            <v>0</v>
          </cell>
          <cell r="N229">
            <v>1000</v>
          </cell>
          <cell r="O229">
            <v>1</v>
          </cell>
          <cell r="P229">
            <v>0.27</v>
          </cell>
          <cell r="Q229">
            <v>1.4</v>
          </cell>
          <cell r="R229">
            <v>82.734234077257298</v>
          </cell>
          <cell r="S229">
            <v>0.82734234077257296</v>
          </cell>
          <cell r="T229">
            <v>192.42500000000001</v>
          </cell>
          <cell r="U229">
            <v>1.92425</v>
          </cell>
          <cell r="V229">
            <v>2309.1</v>
          </cell>
          <cell r="W229">
            <v>538.79</v>
          </cell>
          <cell r="X229">
            <v>5003.05</v>
          </cell>
          <cell r="Y229">
            <v>450.27449999999999</v>
          </cell>
          <cell r="Z229">
            <v>120.0732</v>
          </cell>
          <cell r="AA229">
            <v>1109.1377</v>
          </cell>
          <cell r="AB229">
            <v>11.091377</v>
          </cell>
        </row>
        <row r="230">
          <cell r="A230" t="str">
            <v>Row Cond (Plant)27'</v>
          </cell>
          <cell r="B230" t="str">
            <v>Row Cond (Plant)</v>
          </cell>
          <cell r="C230" t="str">
            <v>27'</v>
          </cell>
          <cell r="D230">
            <v>27</v>
          </cell>
          <cell r="E230">
            <v>4.75</v>
          </cell>
          <cell r="F230">
            <v>0.85</v>
          </cell>
          <cell r="G230">
            <v>7.5679394564843488E-2</v>
          </cell>
          <cell r="H230">
            <v>9476</v>
          </cell>
          <cell r="I230">
            <v>30</v>
          </cell>
          <cell r="J230">
            <v>25</v>
          </cell>
          <cell r="K230">
            <v>10</v>
          </cell>
          <cell r="L230">
            <v>100</v>
          </cell>
          <cell r="M230">
            <v>0</v>
          </cell>
          <cell r="N230">
            <v>1000</v>
          </cell>
          <cell r="O230">
            <v>1</v>
          </cell>
          <cell r="P230">
            <v>0.27</v>
          </cell>
          <cell r="Q230">
            <v>1.4</v>
          </cell>
          <cell r="R230">
            <v>101.85651580045344</v>
          </cell>
          <cell r="S230">
            <v>1.0185651580045343</v>
          </cell>
          <cell r="T230">
            <v>236.9</v>
          </cell>
          <cell r="U230">
            <v>2.3690000000000002</v>
          </cell>
          <cell r="V230">
            <v>2842.8</v>
          </cell>
          <cell r="W230">
            <v>663.31999999999994</v>
          </cell>
          <cell r="X230">
            <v>6159.4</v>
          </cell>
          <cell r="Y230">
            <v>554.34599999999989</v>
          </cell>
          <cell r="Z230">
            <v>147.82560000000001</v>
          </cell>
          <cell r="AA230">
            <v>1365.4915999999998</v>
          </cell>
          <cell r="AB230">
            <v>13.654915999999998</v>
          </cell>
        </row>
        <row r="231">
          <cell r="A231" t="str">
            <v>Row Cond (Plant)32'</v>
          </cell>
          <cell r="B231" t="str">
            <v>Row Cond (Plant)</v>
          </cell>
          <cell r="C231" t="str">
            <v>32'</v>
          </cell>
          <cell r="D231">
            <v>32</v>
          </cell>
          <cell r="E231">
            <v>4.75</v>
          </cell>
          <cell r="F231">
            <v>0.85</v>
          </cell>
          <cell r="G231">
            <v>6.3854489164086689E-2</v>
          </cell>
          <cell r="H231">
            <v>12850</v>
          </cell>
          <cell r="I231">
            <v>30</v>
          </cell>
          <cell r="J231">
            <v>25</v>
          </cell>
          <cell r="K231">
            <v>10</v>
          </cell>
          <cell r="L231">
            <v>100</v>
          </cell>
          <cell r="M231">
            <v>0</v>
          </cell>
          <cell r="N231">
            <v>1000</v>
          </cell>
          <cell r="O231">
            <v>1</v>
          </cell>
          <cell r="P231">
            <v>0.27</v>
          </cell>
          <cell r="Q231">
            <v>1.4</v>
          </cell>
          <cell r="R231">
            <v>138.12328282353596</v>
          </cell>
          <cell r="S231">
            <v>1.3812328282353596</v>
          </cell>
          <cell r="T231">
            <v>321.25</v>
          </cell>
          <cell r="U231">
            <v>3.2124999999999999</v>
          </cell>
          <cell r="V231">
            <v>3855</v>
          </cell>
          <cell r="W231">
            <v>899.5</v>
          </cell>
          <cell r="X231">
            <v>8352.5</v>
          </cell>
          <cell r="Y231">
            <v>751.72500000000002</v>
          </cell>
          <cell r="Z231">
            <v>200.46</v>
          </cell>
          <cell r="AA231">
            <v>1851.6849999999999</v>
          </cell>
          <cell r="AB231">
            <v>18.516849999999998</v>
          </cell>
        </row>
        <row r="232">
          <cell r="A232" t="str">
            <v>Row Cond (Plant)42'</v>
          </cell>
          <cell r="B232" t="str">
            <v>Row Cond (Plant)</v>
          </cell>
          <cell r="C232" t="str">
            <v>42'</v>
          </cell>
          <cell r="D232">
            <v>42</v>
          </cell>
          <cell r="E232">
            <v>4.75</v>
          </cell>
          <cell r="F232">
            <v>0.85</v>
          </cell>
          <cell r="G232">
            <v>4.8651039363113664E-2</v>
          </cell>
          <cell r="H232">
            <v>16495</v>
          </cell>
          <cell r="I232">
            <v>30</v>
          </cell>
          <cell r="J232">
            <v>25</v>
          </cell>
          <cell r="K232">
            <v>10</v>
          </cell>
          <cell r="L232">
            <v>100</v>
          </cell>
          <cell r="M232">
            <v>0</v>
          </cell>
          <cell r="N232">
            <v>1000</v>
          </cell>
          <cell r="O232">
            <v>1</v>
          </cell>
          <cell r="P232">
            <v>0.27</v>
          </cell>
          <cell r="Q232">
            <v>1.4</v>
          </cell>
          <cell r="R232">
            <v>177.30300001355843</v>
          </cell>
          <cell r="S232">
            <v>1.7730300001355843</v>
          </cell>
          <cell r="T232">
            <v>412.375</v>
          </cell>
          <cell r="U232">
            <v>4.1237500000000002</v>
          </cell>
          <cell r="V232">
            <v>4948.5</v>
          </cell>
          <cell r="W232">
            <v>1154.6500000000001</v>
          </cell>
          <cell r="X232">
            <v>10721.75</v>
          </cell>
          <cell r="Y232">
            <v>964.95749999999998</v>
          </cell>
          <cell r="Z232">
            <v>257.322</v>
          </cell>
          <cell r="AA232">
            <v>2376.9295000000002</v>
          </cell>
          <cell r="AB232">
            <v>23.769295000000003</v>
          </cell>
        </row>
        <row r="233">
          <cell r="A233" t="str">
            <v>RT Cult (Early)12R-30</v>
          </cell>
          <cell r="B233" t="str">
            <v>RT Cult (Early)</v>
          </cell>
          <cell r="C233" t="str">
            <v>12R-30</v>
          </cell>
          <cell r="D233">
            <v>30</v>
          </cell>
          <cell r="E233">
            <v>5</v>
          </cell>
          <cell r="F233">
            <v>0.8</v>
          </cell>
          <cell r="G233">
            <v>6.8750000000000006E-2</v>
          </cell>
          <cell r="H233">
            <v>29291</v>
          </cell>
          <cell r="I233">
            <v>25</v>
          </cell>
          <cell r="J233">
            <v>115</v>
          </cell>
          <cell r="K233">
            <v>12</v>
          </cell>
          <cell r="L233">
            <v>200</v>
          </cell>
          <cell r="M233">
            <v>0</v>
          </cell>
          <cell r="N233">
            <v>2400</v>
          </cell>
          <cell r="O233">
            <v>1</v>
          </cell>
          <cell r="P233">
            <v>0.27</v>
          </cell>
          <cell r="Q233">
            <v>1.4</v>
          </cell>
          <cell r="R233">
            <v>830.88315992294019</v>
          </cell>
          <cell r="S233">
            <v>4.1544157996147009</v>
          </cell>
          <cell r="T233">
            <v>2807.0541666666668</v>
          </cell>
          <cell r="U233">
            <v>14.035270833333334</v>
          </cell>
          <cell r="V233">
            <v>7322.75</v>
          </cell>
          <cell r="W233">
            <v>1830.6875</v>
          </cell>
          <cell r="X233">
            <v>18306.875</v>
          </cell>
          <cell r="Y233">
            <v>1647.6187499999999</v>
          </cell>
          <cell r="Z233">
            <v>439.36500000000001</v>
          </cell>
          <cell r="AA233">
            <v>3917.6712499999999</v>
          </cell>
          <cell r="AB233">
            <v>19.58835625</v>
          </cell>
        </row>
        <row r="234">
          <cell r="A234" t="str">
            <v>RT Cult (Early)8R-30</v>
          </cell>
          <cell r="B234" t="str">
            <v>RT Cult (Early)</v>
          </cell>
          <cell r="C234" t="str">
            <v>8R-30</v>
          </cell>
          <cell r="D234">
            <v>20</v>
          </cell>
          <cell r="E234">
            <v>5</v>
          </cell>
          <cell r="F234">
            <v>0.8</v>
          </cell>
          <cell r="G234">
            <v>0.10312499999999999</v>
          </cell>
          <cell r="H234">
            <v>20284</v>
          </cell>
          <cell r="I234">
            <v>25</v>
          </cell>
          <cell r="J234">
            <v>115</v>
          </cell>
          <cell r="K234">
            <v>12</v>
          </cell>
          <cell r="L234">
            <v>200</v>
          </cell>
          <cell r="M234">
            <v>0</v>
          </cell>
          <cell r="N234">
            <v>2400</v>
          </cell>
          <cell r="O234">
            <v>1</v>
          </cell>
          <cell r="P234">
            <v>0.27</v>
          </cell>
          <cell r="Q234">
            <v>1.4</v>
          </cell>
          <cell r="R234">
            <v>575.38609183288111</v>
          </cell>
          <cell r="S234">
            <v>2.8769304591644054</v>
          </cell>
          <cell r="T234">
            <v>1943.8833333333332</v>
          </cell>
          <cell r="U234">
            <v>9.7194166666666657</v>
          </cell>
          <cell r="V234">
            <v>5071</v>
          </cell>
          <cell r="W234">
            <v>1267.75</v>
          </cell>
          <cell r="X234">
            <v>12677.5</v>
          </cell>
          <cell r="Y234">
            <v>1140.9749999999999</v>
          </cell>
          <cell r="Z234">
            <v>304.26</v>
          </cell>
          <cell r="AA234">
            <v>2712.9849999999997</v>
          </cell>
          <cell r="AB234">
            <v>13.564924999999999</v>
          </cell>
        </row>
        <row r="235">
          <cell r="A235" t="str">
            <v>RT Cult (Late)12R-30</v>
          </cell>
          <cell r="B235" t="str">
            <v>RT Cult (Late)</v>
          </cell>
          <cell r="C235" t="str">
            <v>12R-30</v>
          </cell>
          <cell r="D235">
            <v>30</v>
          </cell>
          <cell r="E235">
            <v>4</v>
          </cell>
          <cell r="F235">
            <v>0.8</v>
          </cell>
          <cell r="G235">
            <v>8.59375E-2</v>
          </cell>
          <cell r="H235">
            <v>29291</v>
          </cell>
          <cell r="I235">
            <v>25</v>
          </cell>
          <cell r="J235">
            <v>115</v>
          </cell>
          <cell r="K235">
            <v>12</v>
          </cell>
          <cell r="L235">
            <v>200</v>
          </cell>
          <cell r="M235">
            <v>0</v>
          </cell>
          <cell r="N235">
            <v>2400</v>
          </cell>
          <cell r="O235">
            <v>1</v>
          </cell>
          <cell r="P235">
            <v>0.27</v>
          </cell>
          <cell r="Q235">
            <v>1.4</v>
          </cell>
          <cell r="R235">
            <v>830.88315992294019</v>
          </cell>
          <cell r="S235">
            <v>4.1544157996147009</v>
          </cell>
          <cell r="T235">
            <v>2807.0541666666668</v>
          </cell>
          <cell r="U235">
            <v>14.035270833333334</v>
          </cell>
          <cell r="V235">
            <v>7322.75</v>
          </cell>
          <cell r="W235">
            <v>1830.6875</v>
          </cell>
          <cell r="X235">
            <v>18306.875</v>
          </cell>
          <cell r="Y235">
            <v>1647.6187499999999</v>
          </cell>
          <cell r="Z235">
            <v>439.36500000000001</v>
          </cell>
          <cell r="AA235">
            <v>3917.6712499999999</v>
          </cell>
          <cell r="AB235">
            <v>19.58835625</v>
          </cell>
        </row>
        <row r="236">
          <cell r="A236" t="str">
            <v>RT Cult (Late)8R-30</v>
          </cell>
          <cell r="B236" t="str">
            <v>RT Cult (Late)</v>
          </cell>
          <cell r="C236" t="str">
            <v>8R-30</v>
          </cell>
          <cell r="D236">
            <v>20</v>
          </cell>
          <cell r="E236">
            <v>4</v>
          </cell>
          <cell r="F236">
            <v>0.8</v>
          </cell>
          <cell r="G236">
            <v>0.12890625</v>
          </cell>
          <cell r="H236">
            <v>20284</v>
          </cell>
          <cell r="I236">
            <v>25</v>
          </cell>
          <cell r="J236">
            <v>115</v>
          </cell>
          <cell r="K236">
            <v>12</v>
          </cell>
          <cell r="L236">
            <v>200</v>
          </cell>
          <cell r="M236">
            <v>0</v>
          </cell>
          <cell r="N236">
            <v>2400</v>
          </cell>
          <cell r="O236">
            <v>1</v>
          </cell>
          <cell r="P236">
            <v>0.27</v>
          </cell>
          <cell r="Q236">
            <v>1.4</v>
          </cell>
          <cell r="R236">
            <v>575.38609183288111</v>
          </cell>
          <cell r="S236">
            <v>2.8769304591644054</v>
          </cell>
          <cell r="T236">
            <v>1943.8833333333332</v>
          </cell>
          <cell r="U236">
            <v>9.7194166666666657</v>
          </cell>
          <cell r="V236">
            <v>5071</v>
          </cell>
          <cell r="W236">
            <v>1267.75</v>
          </cell>
          <cell r="X236">
            <v>12677.5</v>
          </cell>
          <cell r="Y236">
            <v>1140.9749999999999</v>
          </cell>
          <cell r="Z236">
            <v>304.26</v>
          </cell>
          <cell r="AA236">
            <v>2712.9849999999997</v>
          </cell>
          <cell r="AB236">
            <v>13.564924999999999</v>
          </cell>
        </row>
        <row r="237">
          <cell r="A237" t="str">
            <v>RT Cult + PD (Early)12R-30</v>
          </cell>
          <cell r="B237" t="str">
            <v>RT Cult + PD (Early)</v>
          </cell>
          <cell r="C237" t="str">
            <v>12R-30</v>
          </cell>
          <cell r="D237">
            <v>30</v>
          </cell>
          <cell r="E237">
            <v>5</v>
          </cell>
          <cell r="F237">
            <v>0.8</v>
          </cell>
          <cell r="G237">
            <v>6.8750000000000006E-2</v>
          </cell>
          <cell r="H237">
            <v>34660</v>
          </cell>
          <cell r="I237">
            <v>25</v>
          </cell>
          <cell r="J237">
            <v>115</v>
          </cell>
          <cell r="K237">
            <v>12</v>
          </cell>
          <cell r="L237">
            <v>200</v>
          </cell>
          <cell r="M237">
            <v>0</v>
          </cell>
          <cell r="N237">
            <v>2400</v>
          </cell>
          <cell r="O237">
            <v>1</v>
          </cell>
          <cell r="P237">
            <v>0.27</v>
          </cell>
          <cell r="Q237">
            <v>1.4</v>
          </cell>
          <cell r="R237">
            <v>983.1828999668536</v>
          </cell>
          <cell r="S237">
            <v>4.9159144998342681</v>
          </cell>
          <cell r="T237">
            <v>3321.5833333333335</v>
          </cell>
          <cell r="U237">
            <v>16.607916666666668</v>
          </cell>
          <cell r="V237">
            <v>8665</v>
          </cell>
          <cell r="W237">
            <v>2166.25</v>
          </cell>
          <cell r="X237">
            <v>21662.5</v>
          </cell>
          <cell r="Y237">
            <v>1949.625</v>
          </cell>
          <cell r="Z237">
            <v>519.9</v>
          </cell>
          <cell r="AA237">
            <v>4635.7749999999996</v>
          </cell>
          <cell r="AB237">
            <v>23.178874999999998</v>
          </cell>
        </row>
        <row r="238">
          <cell r="A238" t="str">
            <v>RT Cult + PD (Early)8R-30</v>
          </cell>
          <cell r="B238" t="str">
            <v>RT Cult + PD (Early)</v>
          </cell>
          <cell r="C238" t="str">
            <v>8R-30</v>
          </cell>
          <cell r="D238">
            <v>20</v>
          </cell>
          <cell r="E238">
            <v>5</v>
          </cell>
          <cell r="F238">
            <v>0.8</v>
          </cell>
          <cell r="G238">
            <v>0.10312499999999999</v>
          </cell>
          <cell r="H238">
            <v>25653</v>
          </cell>
          <cell r="I238">
            <v>25</v>
          </cell>
          <cell r="J238">
            <v>115</v>
          </cell>
          <cell r="K238">
            <v>12</v>
          </cell>
          <cell r="L238">
            <v>200</v>
          </cell>
          <cell r="M238">
            <v>0</v>
          </cell>
          <cell r="N238">
            <v>2400</v>
          </cell>
          <cell r="O238">
            <v>1</v>
          </cell>
          <cell r="P238">
            <v>0.27</v>
          </cell>
          <cell r="Q238">
            <v>1.4</v>
          </cell>
          <cell r="R238">
            <v>727.6858318767944</v>
          </cell>
          <cell r="S238">
            <v>3.6384291593839722</v>
          </cell>
          <cell r="T238">
            <v>2458.4124999999999</v>
          </cell>
          <cell r="U238">
            <v>12.2920625</v>
          </cell>
          <cell r="V238">
            <v>6413.25</v>
          </cell>
          <cell r="W238">
            <v>1603.3125</v>
          </cell>
          <cell r="X238">
            <v>16033.125</v>
          </cell>
          <cell r="Y238">
            <v>1442.98125</v>
          </cell>
          <cell r="Z238">
            <v>384.79500000000002</v>
          </cell>
          <cell r="AA238">
            <v>3431.0887499999999</v>
          </cell>
          <cell r="AB238">
            <v>17.15544375</v>
          </cell>
        </row>
        <row r="239">
          <cell r="A239" t="str">
            <v>RT Cult + PD (Late)12R-30</v>
          </cell>
          <cell r="B239" t="str">
            <v>RT Cult + PD (Late)</v>
          </cell>
          <cell r="C239" t="str">
            <v>12R-30</v>
          </cell>
          <cell r="D239">
            <v>30</v>
          </cell>
          <cell r="E239">
            <v>4</v>
          </cell>
          <cell r="F239">
            <v>0.8</v>
          </cell>
          <cell r="G239">
            <v>8.59375E-2</v>
          </cell>
          <cell r="H239">
            <v>34660</v>
          </cell>
          <cell r="I239">
            <v>25</v>
          </cell>
          <cell r="J239">
            <v>115</v>
          </cell>
          <cell r="K239">
            <v>12</v>
          </cell>
          <cell r="L239">
            <v>200</v>
          </cell>
          <cell r="M239">
            <v>0</v>
          </cell>
          <cell r="N239">
            <v>2400</v>
          </cell>
          <cell r="O239">
            <v>1</v>
          </cell>
          <cell r="P239">
            <v>0.27</v>
          </cell>
          <cell r="Q239">
            <v>1.4</v>
          </cell>
          <cell r="R239">
            <v>983.1828999668536</v>
          </cell>
          <cell r="S239">
            <v>4.9159144998342681</v>
          </cell>
          <cell r="T239">
            <v>3321.5833333333335</v>
          </cell>
          <cell r="U239">
            <v>16.607916666666668</v>
          </cell>
          <cell r="V239">
            <v>8665</v>
          </cell>
          <cell r="W239">
            <v>2166.25</v>
          </cell>
          <cell r="X239">
            <v>21662.5</v>
          </cell>
          <cell r="Y239">
            <v>1949.625</v>
          </cell>
          <cell r="Z239">
            <v>519.9</v>
          </cell>
          <cell r="AA239">
            <v>4635.7749999999996</v>
          </cell>
          <cell r="AB239">
            <v>23.178874999999998</v>
          </cell>
        </row>
        <row r="240">
          <cell r="A240" t="str">
            <v>RT Cult + PD (Late)8R-30</v>
          </cell>
          <cell r="B240" t="str">
            <v>RT Cult + PD (Late)</v>
          </cell>
          <cell r="C240" t="str">
            <v>8R-30</v>
          </cell>
          <cell r="D240">
            <v>20</v>
          </cell>
          <cell r="E240">
            <v>4</v>
          </cell>
          <cell r="F240">
            <v>0.8</v>
          </cell>
          <cell r="G240">
            <v>0.12890625</v>
          </cell>
          <cell r="H240">
            <v>25653</v>
          </cell>
          <cell r="I240">
            <v>25</v>
          </cell>
          <cell r="J240">
            <v>115</v>
          </cell>
          <cell r="K240">
            <v>12</v>
          </cell>
          <cell r="L240">
            <v>200</v>
          </cell>
          <cell r="M240">
            <v>0</v>
          </cell>
          <cell r="N240">
            <v>2400</v>
          </cell>
          <cell r="O240">
            <v>1</v>
          </cell>
          <cell r="P240">
            <v>0.27</v>
          </cell>
          <cell r="Q240">
            <v>1.4</v>
          </cell>
          <cell r="R240">
            <v>727.6858318767944</v>
          </cell>
          <cell r="S240">
            <v>3.6384291593839722</v>
          </cell>
          <cell r="T240">
            <v>2458.4124999999999</v>
          </cell>
          <cell r="U240">
            <v>12.2920625</v>
          </cell>
          <cell r="V240">
            <v>6413.25</v>
          </cell>
          <cell r="W240">
            <v>1603.3125</v>
          </cell>
          <cell r="X240">
            <v>16033.125</v>
          </cell>
          <cell r="Y240">
            <v>1442.98125</v>
          </cell>
          <cell r="Z240">
            <v>384.79500000000002</v>
          </cell>
          <cell r="AA240">
            <v>3431.0887499999999</v>
          </cell>
          <cell r="AB240">
            <v>17.15544375</v>
          </cell>
        </row>
        <row r="241">
          <cell r="A241" t="str">
            <v>Spin Spreader5 ton</v>
          </cell>
          <cell r="B241" t="str">
            <v>Spin Spreader</v>
          </cell>
          <cell r="C241" t="str">
            <v>5 ton</v>
          </cell>
          <cell r="D241">
            <v>40</v>
          </cell>
          <cell r="E241">
            <v>7</v>
          </cell>
          <cell r="F241">
            <v>0.7</v>
          </cell>
          <cell r="G241">
            <v>4.2091836734693883E-2</v>
          </cell>
          <cell r="H241">
            <v>10835</v>
          </cell>
          <cell r="I241">
            <v>40</v>
          </cell>
          <cell r="J241">
            <v>45</v>
          </cell>
          <cell r="K241">
            <v>8</v>
          </cell>
          <cell r="L241">
            <v>100</v>
          </cell>
          <cell r="M241">
            <v>0</v>
          </cell>
          <cell r="N241">
            <v>800</v>
          </cell>
          <cell r="O241">
            <v>1</v>
          </cell>
          <cell r="P241">
            <v>0.27</v>
          </cell>
          <cell r="Q241">
            <v>1.4</v>
          </cell>
          <cell r="R241">
            <v>116.46426220957294</v>
          </cell>
          <cell r="S241">
            <v>1.1646426220957293</v>
          </cell>
          <cell r="T241">
            <v>609.46875</v>
          </cell>
          <cell r="U241">
            <v>6.0946875</v>
          </cell>
          <cell r="V241">
            <v>4334</v>
          </cell>
          <cell r="W241">
            <v>812.625</v>
          </cell>
          <cell r="X241">
            <v>7584.5</v>
          </cell>
          <cell r="Y241">
            <v>682.60500000000002</v>
          </cell>
          <cell r="Z241">
            <v>182.02799999999999</v>
          </cell>
          <cell r="AA241">
            <v>1677.258</v>
          </cell>
          <cell r="AB241">
            <v>16.772580000000001</v>
          </cell>
        </row>
        <row r="242">
          <cell r="A242" t="str">
            <v>Spin Spreader5 ton</v>
          </cell>
          <cell r="B242" t="str">
            <v>Spin Spreader</v>
          </cell>
          <cell r="C242" t="str">
            <v>5 ton</v>
          </cell>
          <cell r="D242">
            <v>40</v>
          </cell>
          <cell r="E242">
            <v>7</v>
          </cell>
          <cell r="F242">
            <v>0.7</v>
          </cell>
          <cell r="G242">
            <v>4.2091836734693883E-2</v>
          </cell>
          <cell r="H242">
            <v>10835</v>
          </cell>
          <cell r="I242">
            <v>40</v>
          </cell>
          <cell r="J242">
            <v>45</v>
          </cell>
          <cell r="K242">
            <v>8</v>
          </cell>
          <cell r="L242">
            <v>100</v>
          </cell>
          <cell r="M242">
            <v>0</v>
          </cell>
          <cell r="N242">
            <v>800</v>
          </cell>
          <cell r="O242">
            <v>1</v>
          </cell>
          <cell r="P242">
            <v>0.27</v>
          </cell>
          <cell r="Q242">
            <v>1.4</v>
          </cell>
          <cell r="R242">
            <v>116.46426220957294</v>
          </cell>
          <cell r="S242">
            <v>1.1646426220957293</v>
          </cell>
          <cell r="T242">
            <v>609.46875</v>
          </cell>
          <cell r="U242">
            <v>6.0946875</v>
          </cell>
          <cell r="V242">
            <v>4334</v>
          </cell>
          <cell r="W242">
            <v>812.625</v>
          </cell>
          <cell r="X242">
            <v>7584.5</v>
          </cell>
          <cell r="Y242">
            <v>682.60500000000002</v>
          </cell>
          <cell r="Z242">
            <v>182.02799999999999</v>
          </cell>
          <cell r="AA242">
            <v>1677.258</v>
          </cell>
          <cell r="AB242">
            <v>16.772580000000001</v>
          </cell>
        </row>
        <row r="243">
          <cell r="A243" t="str">
            <v>Spray (Band)27'</v>
          </cell>
          <cell r="B243" t="str">
            <v>Spray (Band)</v>
          </cell>
          <cell r="C243" t="str">
            <v>27'</v>
          </cell>
          <cell r="D243">
            <v>27</v>
          </cell>
          <cell r="E243">
            <v>7.5</v>
          </cell>
          <cell r="F243">
            <v>0.65</v>
          </cell>
          <cell r="G243">
            <v>6.2678062678062682E-2</v>
          </cell>
          <cell r="H243">
            <v>5369</v>
          </cell>
          <cell r="I243">
            <v>40</v>
          </cell>
          <cell r="J243">
            <v>75</v>
          </cell>
          <cell r="K243">
            <v>8</v>
          </cell>
          <cell r="L243">
            <v>200</v>
          </cell>
          <cell r="M243">
            <v>0</v>
          </cell>
          <cell r="N243">
            <v>1600</v>
          </cell>
          <cell r="O243">
            <v>1</v>
          </cell>
          <cell r="P243">
            <v>0.27</v>
          </cell>
          <cell r="Q243">
            <v>1.4</v>
          </cell>
          <cell r="R243">
            <v>152.29974004391335</v>
          </cell>
          <cell r="S243">
            <v>0.76149870021956678</v>
          </cell>
          <cell r="T243">
            <v>503.34375</v>
          </cell>
          <cell r="U243">
            <v>2.5167187499999999</v>
          </cell>
          <cell r="V243">
            <v>2147.6</v>
          </cell>
          <cell r="W243">
            <v>402.67500000000001</v>
          </cell>
          <cell r="X243">
            <v>3758.3</v>
          </cell>
          <cell r="Y243">
            <v>338.24700000000001</v>
          </cell>
          <cell r="Z243">
            <v>90.199200000000005</v>
          </cell>
          <cell r="AA243">
            <v>831.12120000000004</v>
          </cell>
          <cell r="AB243">
            <v>4.1556060000000006</v>
          </cell>
        </row>
        <row r="244">
          <cell r="A244" t="str">
            <v>Spray (Band)40'</v>
          </cell>
          <cell r="B244" t="str">
            <v>Spray (Band)</v>
          </cell>
          <cell r="C244" t="str">
            <v>40'</v>
          </cell>
          <cell r="D244">
            <v>40</v>
          </cell>
          <cell r="E244">
            <v>7.5</v>
          </cell>
          <cell r="F244">
            <v>0.65</v>
          </cell>
          <cell r="G244">
            <v>4.230769230769231E-2</v>
          </cell>
          <cell r="H244">
            <v>5572</v>
          </cell>
          <cell r="I244">
            <v>40</v>
          </cell>
          <cell r="J244">
            <v>75</v>
          </cell>
          <cell r="K244">
            <v>8</v>
          </cell>
          <cell r="L244">
            <v>200</v>
          </cell>
          <cell r="M244">
            <v>0</v>
          </cell>
          <cell r="N244">
            <v>1600</v>
          </cell>
          <cell r="O244">
            <v>1</v>
          </cell>
          <cell r="P244">
            <v>0.27</v>
          </cell>
          <cell r="Q244">
            <v>1.4</v>
          </cell>
          <cell r="R244">
            <v>158.05813960228818</v>
          </cell>
          <cell r="S244">
            <v>0.79029069801144092</v>
          </cell>
          <cell r="T244">
            <v>522.375</v>
          </cell>
          <cell r="U244">
            <v>2.6118749999999999</v>
          </cell>
          <cell r="V244">
            <v>2228.8000000000002</v>
          </cell>
          <cell r="W244">
            <v>417.9</v>
          </cell>
          <cell r="X244">
            <v>3900.4</v>
          </cell>
          <cell r="Y244">
            <v>351.036</v>
          </cell>
          <cell r="Z244">
            <v>93.6096</v>
          </cell>
          <cell r="AA244">
            <v>862.54559999999992</v>
          </cell>
          <cell r="AB244">
            <v>4.3127279999999999</v>
          </cell>
        </row>
        <row r="245">
          <cell r="A245" t="str">
            <v>Spray (Band)50'</v>
          </cell>
          <cell r="B245" t="str">
            <v>Spray (Band)</v>
          </cell>
          <cell r="C245" t="str">
            <v>50'</v>
          </cell>
          <cell r="D245">
            <v>50</v>
          </cell>
          <cell r="E245">
            <v>7.5</v>
          </cell>
          <cell r="F245">
            <v>0.65</v>
          </cell>
          <cell r="G245">
            <v>3.3846153846153845E-2</v>
          </cell>
          <cell r="H245">
            <v>5461</v>
          </cell>
          <cell r="I245">
            <v>40</v>
          </cell>
          <cell r="J245">
            <v>75</v>
          </cell>
          <cell r="K245">
            <v>8</v>
          </cell>
          <cell r="L245">
            <v>200</v>
          </cell>
          <cell r="M245">
            <v>0</v>
          </cell>
          <cell r="N245">
            <v>1600</v>
          </cell>
          <cell r="O245">
            <v>1</v>
          </cell>
          <cell r="P245">
            <v>0.27</v>
          </cell>
          <cell r="Q245">
            <v>1.4</v>
          </cell>
          <cell r="R245">
            <v>154.90945807036894</v>
          </cell>
          <cell r="S245">
            <v>0.77454729035184466</v>
          </cell>
          <cell r="T245">
            <v>511.96875</v>
          </cell>
          <cell r="U245">
            <v>2.5598437500000002</v>
          </cell>
          <cell r="V245">
            <v>2184.4</v>
          </cell>
          <cell r="W245">
            <v>409.57499999999999</v>
          </cell>
          <cell r="X245">
            <v>3822.7</v>
          </cell>
          <cell r="Y245">
            <v>344.04299999999995</v>
          </cell>
          <cell r="Z245">
            <v>91.744799999999998</v>
          </cell>
          <cell r="AA245">
            <v>845.36279999999988</v>
          </cell>
          <cell r="AB245">
            <v>4.2268139999999992</v>
          </cell>
        </row>
        <row r="246">
          <cell r="A246" t="str">
            <v>Spray (Band)53'</v>
          </cell>
          <cell r="B246" t="str">
            <v>Spray (Band)</v>
          </cell>
          <cell r="C246" t="str">
            <v>53'</v>
          </cell>
          <cell r="D246">
            <v>53</v>
          </cell>
          <cell r="E246">
            <v>7.5</v>
          </cell>
          <cell r="F246">
            <v>0.65</v>
          </cell>
          <cell r="G246">
            <v>3.1930333817126275E-2</v>
          </cell>
          <cell r="H246">
            <v>6434</v>
          </cell>
          <cell r="I246">
            <v>40</v>
          </cell>
          <cell r="J246">
            <v>75</v>
          </cell>
          <cell r="K246">
            <v>8</v>
          </cell>
          <cell r="L246">
            <v>200</v>
          </cell>
          <cell r="M246">
            <v>0</v>
          </cell>
          <cell r="N246">
            <v>1600</v>
          </cell>
          <cell r="O246">
            <v>1</v>
          </cell>
          <cell r="P246">
            <v>0.27</v>
          </cell>
          <cell r="Q246">
            <v>1.4</v>
          </cell>
          <cell r="R246">
            <v>182.5100628501655</v>
          </cell>
          <cell r="S246">
            <v>0.91255031425082744</v>
          </cell>
          <cell r="T246">
            <v>603.1875</v>
          </cell>
          <cell r="U246">
            <v>3.0159375000000002</v>
          </cell>
          <cell r="V246">
            <v>2573.6</v>
          </cell>
          <cell r="W246">
            <v>482.55</v>
          </cell>
          <cell r="X246">
            <v>4503.8</v>
          </cell>
          <cell r="Y246">
            <v>405.34199999999998</v>
          </cell>
          <cell r="Z246">
            <v>108.0912</v>
          </cell>
          <cell r="AA246">
            <v>995.9831999999999</v>
          </cell>
          <cell r="AB246">
            <v>4.9799159999999993</v>
          </cell>
        </row>
        <row r="247">
          <cell r="A247" t="str">
            <v>Spray (Band)60'</v>
          </cell>
          <cell r="B247" t="str">
            <v>Spray (Band)</v>
          </cell>
          <cell r="C247" t="str">
            <v>60'</v>
          </cell>
          <cell r="D247">
            <v>60</v>
          </cell>
          <cell r="E247">
            <v>7.5</v>
          </cell>
          <cell r="F247">
            <v>0.65</v>
          </cell>
          <cell r="G247">
            <v>2.8205128205128206E-2</v>
          </cell>
          <cell r="H247">
            <v>7479</v>
          </cell>
          <cell r="I247">
            <v>40</v>
          </cell>
          <cell r="J247">
            <v>75</v>
          </cell>
          <cell r="K247">
            <v>8</v>
          </cell>
          <cell r="L247">
            <v>200</v>
          </cell>
          <cell r="M247">
            <v>0</v>
          </cell>
          <cell r="N247">
            <v>1600</v>
          </cell>
          <cell r="O247">
            <v>1</v>
          </cell>
          <cell r="P247">
            <v>0.27</v>
          </cell>
          <cell r="Q247">
            <v>1.4</v>
          </cell>
          <cell r="R247">
            <v>212.1530556506664</v>
          </cell>
          <cell r="S247">
            <v>1.0607652782533321</v>
          </cell>
          <cell r="T247">
            <v>701.15625</v>
          </cell>
          <cell r="U247">
            <v>3.5057812500000001</v>
          </cell>
          <cell r="V247">
            <v>2991.6</v>
          </cell>
          <cell r="W247">
            <v>560.92499999999995</v>
          </cell>
          <cell r="X247">
            <v>5235.3</v>
          </cell>
          <cell r="Y247">
            <v>471.17700000000002</v>
          </cell>
          <cell r="Z247">
            <v>125.64720000000001</v>
          </cell>
          <cell r="AA247">
            <v>1157.7492</v>
          </cell>
          <cell r="AB247">
            <v>5.7887459999999997</v>
          </cell>
        </row>
        <row r="248">
          <cell r="A248" t="str">
            <v>Spray (Bcast/HB)13' Rigid</v>
          </cell>
          <cell r="B248" t="str">
            <v>Spray (Bcast/HB)</v>
          </cell>
          <cell r="C248" t="str">
            <v>13' Rigid</v>
          </cell>
          <cell r="D248">
            <v>13</v>
          </cell>
          <cell r="E248">
            <v>7.5</v>
          </cell>
          <cell r="F248">
            <v>0.65</v>
          </cell>
          <cell r="G248">
            <v>0.13017751479289941</v>
          </cell>
          <cell r="H248">
            <v>4339</v>
          </cell>
          <cell r="I248">
            <v>40</v>
          </cell>
          <cell r="J248">
            <v>75</v>
          </cell>
          <cell r="K248">
            <v>8</v>
          </cell>
          <cell r="L248">
            <v>200</v>
          </cell>
          <cell r="M248">
            <v>0</v>
          </cell>
          <cell r="N248">
            <v>1600</v>
          </cell>
          <cell r="O248">
            <v>1</v>
          </cell>
          <cell r="P248">
            <v>0.27</v>
          </cell>
          <cell r="Q248">
            <v>1.4</v>
          </cell>
          <cell r="R248">
            <v>123.08224474772582</v>
          </cell>
          <cell r="S248">
            <v>0.61541122373862911</v>
          </cell>
          <cell r="T248">
            <v>406.78125</v>
          </cell>
          <cell r="U248">
            <v>2.0339062499999998</v>
          </cell>
          <cell r="V248">
            <v>1735.6</v>
          </cell>
          <cell r="W248">
            <v>325.42500000000001</v>
          </cell>
          <cell r="X248">
            <v>3037.3</v>
          </cell>
          <cell r="Y248">
            <v>273.35700000000003</v>
          </cell>
          <cell r="Z248">
            <v>72.895200000000003</v>
          </cell>
          <cell r="AA248">
            <v>671.67720000000008</v>
          </cell>
          <cell r="AB248">
            <v>3.3583860000000003</v>
          </cell>
        </row>
        <row r="249">
          <cell r="A249" t="str">
            <v>Spray (Bcast/HB)20' Rigid</v>
          </cell>
          <cell r="B249" t="str">
            <v>Spray (Bcast/HB)</v>
          </cell>
          <cell r="C249" t="str">
            <v>20' Rigid</v>
          </cell>
          <cell r="D249">
            <v>20</v>
          </cell>
          <cell r="E249">
            <v>7.5</v>
          </cell>
          <cell r="F249">
            <v>0.65</v>
          </cell>
          <cell r="G249">
            <v>8.461538461538462E-2</v>
          </cell>
          <cell r="H249">
            <v>5106</v>
          </cell>
          <cell r="I249">
            <v>40</v>
          </cell>
          <cell r="J249">
            <v>75</v>
          </cell>
          <cell r="K249">
            <v>8</v>
          </cell>
          <cell r="L249">
            <v>200</v>
          </cell>
          <cell r="M249">
            <v>0</v>
          </cell>
          <cell r="N249">
            <v>1600</v>
          </cell>
          <cell r="O249">
            <v>1</v>
          </cell>
          <cell r="P249">
            <v>0.27</v>
          </cell>
          <cell r="Q249">
            <v>1.4</v>
          </cell>
          <cell r="R249">
            <v>144.83935046828489</v>
          </cell>
          <cell r="S249">
            <v>0.72419675234142444</v>
          </cell>
          <cell r="T249">
            <v>478.6875</v>
          </cell>
          <cell r="U249">
            <v>2.3934375000000001</v>
          </cell>
          <cell r="V249">
            <v>2042.4</v>
          </cell>
          <cell r="W249">
            <v>382.95</v>
          </cell>
          <cell r="X249">
            <v>3574.2</v>
          </cell>
          <cell r="Y249">
            <v>321.678</v>
          </cell>
          <cell r="Z249">
            <v>85.780799999999999</v>
          </cell>
          <cell r="AA249">
            <v>790.40879999999993</v>
          </cell>
          <cell r="AB249">
            <v>3.9520439999999994</v>
          </cell>
        </row>
        <row r="250">
          <cell r="A250" t="str">
            <v>Spray (Bcast/HB)27' Fold</v>
          </cell>
          <cell r="B250" t="str">
            <v>Spray (Bcast/HB)</v>
          </cell>
          <cell r="C250" t="str">
            <v>27' Fold</v>
          </cell>
          <cell r="D250">
            <v>27</v>
          </cell>
          <cell r="E250">
            <v>7.5</v>
          </cell>
          <cell r="F250">
            <v>0.65</v>
          </cell>
          <cell r="G250">
            <v>6.2678062678062682E-2</v>
          </cell>
          <cell r="H250">
            <v>8425</v>
          </cell>
          <cell r="I250">
            <v>40</v>
          </cell>
          <cell r="J250">
            <v>75</v>
          </cell>
          <cell r="K250">
            <v>8</v>
          </cell>
          <cell r="L250">
            <v>200</v>
          </cell>
          <cell r="M250">
            <v>0</v>
          </cell>
          <cell r="N250">
            <v>1600</v>
          </cell>
          <cell r="O250">
            <v>1</v>
          </cell>
          <cell r="P250">
            <v>0.27</v>
          </cell>
          <cell r="Q250">
            <v>1.4</v>
          </cell>
          <cell r="R250">
            <v>238.9877649226988</v>
          </cell>
          <cell r="S250">
            <v>1.194938824613494</v>
          </cell>
          <cell r="T250">
            <v>789.84375</v>
          </cell>
          <cell r="U250">
            <v>3.94921875</v>
          </cell>
          <cell r="V250">
            <v>3370</v>
          </cell>
          <cell r="W250">
            <v>631.875</v>
          </cell>
          <cell r="X250">
            <v>5897.5</v>
          </cell>
          <cell r="Y250">
            <v>530.77499999999998</v>
          </cell>
          <cell r="Z250">
            <v>141.54</v>
          </cell>
          <cell r="AA250">
            <v>1304.19</v>
          </cell>
          <cell r="AB250">
            <v>6.52095</v>
          </cell>
        </row>
        <row r="251">
          <cell r="A251" t="str">
            <v>Spray (Bcast/HB)27' Rigid</v>
          </cell>
          <cell r="B251" t="str">
            <v>Spray (Bcast/HB)</v>
          </cell>
          <cell r="C251" t="str">
            <v>27' Rigid</v>
          </cell>
          <cell r="D251">
            <v>27</v>
          </cell>
          <cell r="E251">
            <v>7.5</v>
          </cell>
          <cell r="F251">
            <v>0.65</v>
          </cell>
          <cell r="G251">
            <v>6.2678062678062682E-2</v>
          </cell>
          <cell r="H251">
            <v>5928</v>
          </cell>
          <cell r="I251">
            <v>40</v>
          </cell>
          <cell r="J251">
            <v>75</v>
          </cell>
          <cell r="K251">
            <v>8</v>
          </cell>
          <cell r="L251">
            <v>200</v>
          </cell>
          <cell r="M251">
            <v>0</v>
          </cell>
          <cell r="N251">
            <v>1600</v>
          </cell>
          <cell r="O251">
            <v>1</v>
          </cell>
          <cell r="P251">
            <v>0.27</v>
          </cell>
          <cell r="Q251">
            <v>1.4</v>
          </cell>
          <cell r="R251">
            <v>168.15661370465978</v>
          </cell>
          <cell r="S251">
            <v>0.84078306852329887</v>
          </cell>
          <cell r="T251">
            <v>555.75</v>
          </cell>
          <cell r="U251">
            <v>2.7787500000000001</v>
          </cell>
          <cell r="V251">
            <v>2371.1999999999998</v>
          </cell>
          <cell r="W251">
            <v>444.6</v>
          </cell>
          <cell r="X251">
            <v>4149.6000000000004</v>
          </cell>
          <cell r="Y251">
            <v>373.464</v>
          </cell>
          <cell r="Z251">
            <v>99.590400000000017</v>
          </cell>
          <cell r="AA251">
            <v>917.65440000000001</v>
          </cell>
          <cell r="AB251">
            <v>4.5882719999999999</v>
          </cell>
        </row>
        <row r="252">
          <cell r="A252" t="str">
            <v>Spray (Bcast/HB)30' Fold</v>
          </cell>
          <cell r="B252" t="str">
            <v>Spray (Bcast/HB)</v>
          </cell>
          <cell r="C252" t="str">
            <v>30' Fold</v>
          </cell>
          <cell r="D252">
            <v>30</v>
          </cell>
          <cell r="E252">
            <v>7.5</v>
          </cell>
          <cell r="F252">
            <v>0.65</v>
          </cell>
          <cell r="G252">
            <v>5.6410256410256411E-2</v>
          </cell>
          <cell r="H252">
            <v>12103</v>
          </cell>
          <cell r="I252">
            <v>40</v>
          </cell>
          <cell r="J252">
            <v>75</v>
          </cell>
          <cell r="K252">
            <v>8</v>
          </cell>
          <cell r="L252">
            <v>200</v>
          </cell>
          <cell r="M252">
            <v>0</v>
          </cell>
          <cell r="N252">
            <v>1600</v>
          </cell>
          <cell r="O252">
            <v>1</v>
          </cell>
          <cell r="P252">
            <v>0.27</v>
          </cell>
          <cell r="Q252">
            <v>1.4</v>
          </cell>
          <cell r="R252">
            <v>343.31975298034706</v>
          </cell>
          <cell r="S252">
            <v>1.7165987649017354</v>
          </cell>
          <cell r="T252">
            <v>1134.65625</v>
          </cell>
          <cell r="U252">
            <v>5.6732812499999996</v>
          </cell>
          <cell r="V252">
            <v>4841.2</v>
          </cell>
          <cell r="W252">
            <v>907.72500000000002</v>
          </cell>
          <cell r="X252">
            <v>8472.1</v>
          </cell>
          <cell r="Y252">
            <v>762.48900000000003</v>
          </cell>
          <cell r="Z252">
            <v>203.33040000000003</v>
          </cell>
          <cell r="AA252">
            <v>1873.5444000000002</v>
          </cell>
          <cell r="AB252">
            <v>9.3677220000000005</v>
          </cell>
        </row>
        <row r="253">
          <cell r="A253" t="str">
            <v>Spray (Bcast/HB)40' Fold</v>
          </cell>
          <cell r="B253" t="str">
            <v>Spray (Bcast/HB)</v>
          </cell>
          <cell r="C253" t="str">
            <v>40' Fold</v>
          </cell>
          <cell r="D253">
            <v>40</v>
          </cell>
          <cell r="E253">
            <v>7.5</v>
          </cell>
          <cell r="F253">
            <v>0.65</v>
          </cell>
          <cell r="G253">
            <v>4.230769230769231E-2</v>
          </cell>
          <cell r="H253">
            <v>11746</v>
          </cell>
          <cell r="I253">
            <v>40</v>
          </cell>
          <cell r="J253">
            <v>75</v>
          </cell>
          <cell r="K253">
            <v>8</v>
          </cell>
          <cell r="L253">
            <v>200</v>
          </cell>
          <cell r="M253">
            <v>0</v>
          </cell>
          <cell r="N253">
            <v>1600</v>
          </cell>
          <cell r="O253">
            <v>1</v>
          </cell>
          <cell r="P253">
            <v>0.27</v>
          </cell>
          <cell r="Q253">
            <v>1.4</v>
          </cell>
          <cell r="R253">
            <v>333.19291237768789</v>
          </cell>
          <cell r="S253">
            <v>1.6659645618884396</v>
          </cell>
          <cell r="T253">
            <v>1101.1875</v>
          </cell>
          <cell r="U253">
            <v>5.5059374999999999</v>
          </cell>
          <cell r="V253">
            <v>4698.3999999999996</v>
          </cell>
          <cell r="W253">
            <v>880.95</v>
          </cell>
          <cell r="X253">
            <v>8222.2000000000007</v>
          </cell>
          <cell r="Y253">
            <v>739.99800000000005</v>
          </cell>
          <cell r="Z253">
            <v>197.33280000000002</v>
          </cell>
          <cell r="AA253">
            <v>1818.2808</v>
          </cell>
          <cell r="AB253">
            <v>9.0914040000000007</v>
          </cell>
        </row>
        <row r="254">
          <cell r="A254" t="str">
            <v>Spray (Bcast/HB/HD)27'</v>
          </cell>
          <cell r="B254" t="str">
            <v>Spray (Bcast/HB/HD)</v>
          </cell>
          <cell r="C254" t="str">
            <v>27'</v>
          </cell>
          <cell r="D254">
            <v>27</v>
          </cell>
          <cell r="E254">
            <v>7.5</v>
          </cell>
          <cell r="F254">
            <v>0.65</v>
          </cell>
          <cell r="G254">
            <v>6.2678062678062682E-2</v>
          </cell>
          <cell r="H254">
            <v>19279</v>
          </cell>
          <cell r="I254">
            <v>40</v>
          </cell>
          <cell r="J254">
            <v>75</v>
          </cell>
          <cell r="K254">
            <v>8</v>
          </cell>
          <cell r="L254">
            <v>200</v>
          </cell>
          <cell r="M254">
            <v>0</v>
          </cell>
          <cell r="N254">
            <v>1600</v>
          </cell>
          <cell r="O254">
            <v>1</v>
          </cell>
          <cell r="P254">
            <v>0.27</v>
          </cell>
          <cell r="Q254">
            <v>1.4</v>
          </cell>
          <cell r="R254">
            <v>546.87775904388252</v>
          </cell>
          <cell r="S254">
            <v>2.7343887952194126</v>
          </cell>
          <cell r="T254">
            <v>1807.40625</v>
          </cell>
          <cell r="U254">
            <v>9.0370312500000001</v>
          </cell>
          <cell r="V254">
            <v>7711.6</v>
          </cell>
          <cell r="W254">
            <v>1445.925</v>
          </cell>
          <cell r="X254">
            <v>13495.3</v>
          </cell>
          <cell r="Y254">
            <v>1214.577</v>
          </cell>
          <cell r="Z254">
            <v>323.88720000000001</v>
          </cell>
          <cell r="AA254">
            <v>2984.3891999999996</v>
          </cell>
          <cell r="AB254">
            <v>14.921945999999998</v>
          </cell>
        </row>
        <row r="255">
          <cell r="A255" t="str">
            <v>Spray (Bcast/HB/HD)40'</v>
          </cell>
          <cell r="B255" t="str">
            <v>Spray (Bcast/HB/HD)</v>
          </cell>
          <cell r="C255" t="str">
            <v>40'</v>
          </cell>
          <cell r="D255">
            <v>40</v>
          </cell>
          <cell r="E255">
            <v>7.5</v>
          </cell>
          <cell r="F255">
            <v>0.65</v>
          </cell>
          <cell r="G255">
            <v>4.230769230769231E-2</v>
          </cell>
          <cell r="H255">
            <v>23062</v>
          </cell>
          <cell r="I255">
            <v>40</v>
          </cell>
          <cell r="J255">
            <v>75</v>
          </cell>
          <cell r="K255">
            <v>8</v>
          </cell>
          <cell r="L255">
            <v>200</v>
          </cell>
          <cell r="M255">
            <v>0</v>
          </cell>
          <cell r="N255">
            <v>1600</v>
          </cell>
          <cell r="O255">
            <v>1</v>
          </cell>
          <cell r="P255">
            <v>0.27</v>
          </cell>
          <cell r="Q255">
            <v>1.4</v>
          </cell>
          <cell r="R255">
            <v>654.18822963172465</v>
          </cell>
          <cell r="S255">
            <v>3.2709411481586232</v>
          </cell>
          <cell r="T255">
            <v>2162.0625</v>
          </cell>
          <cell r="U255">
            <v>10.8103125</v>
          </cell>
          <cell r="V255">
            <v>9224.7999999999993</v>
          </cell>
          <cell r="W255">
            <v>1729.65</v>
          </cell>
          <cell r="X255">
            <v>16143.4</v>
          </cell>
          <cell r="Y255">
            <v>1452.9059999999999</v>
          </cell>
          <cell r="Z255">
            <v>387.44159999999999</v>
          </cell>
          <cell r="AA255">
            <v>3569.9976000000001</v>
          </cell>
          <cell r="AB255">
            <v>17.849988</v>
          </cell>
        </row>
        <row r="256">
          <cell r="A256" t="str">
            <v>Spray (Broadcast)27'</v>
          </cell>
          <cell r="B256" t="str">
            <v>Spray (Broadcast)</v>
          </cell>
          <cell r="C256" t="str">
            <v>27'</v>
          </cell>
          <cell r="D256">
            <v>27</v>
          </cell>
          <cell r="E256">
            <v>7.5</v>
          </cell>
          <cell r="F256">
            <v>0.65</v>
          </cell>
          <cell r="G256">
            <v>6.2678062678062682E-2</v>
          </cell>
          <cell r="H256">
            <v>5369</v>
          </cell>
          <cell r="I256">
            <v>40</v>
          </cell>
          <cell r="J256">
            <v>75</v>
          </cell>
          <cell r="K256">
            <v>8</v>
          </cell>
          <cell r="L256">
            <v>200</v>
          </cell>
          <cell r="M256">
            <v>0</v>
          </cell>
          <cell r="N256">
            <v>1600</v>
          </cell>
          <cell r="O256">
            <v>1</v>
          </cell>
          <cell r="P256">
            <v>0.27</v>
          </cell>
          <cell r="Q256">
            <v>1.4</v>
          </cell>
          <cell r="R256">
            <v>152.29974004391335</v>
          </cell>
          <cell r="S256">
            <v>0.76149870021956678</v>
          </cell>
          <cell r="T256">
            <v>503.34375</v>
          </cell>
          <cell r="U256">
            <v>2.5167187499999999</v>
          </cell>
          <cell r="V256">
            <v>2147.6</v>
          </cell>
          <cell r="W256">
            <v>402.67500000000001</v>
          </cell>
          <cell r="X256">
            <v>3758.3</v>
          </cell>
          <cell r="Y256">
            <v>338.24700000000001</v>
          </cell>
          <cell r="Z256">
            <v>90.199200000000005</v>
          </cell>
          <cell r="AA256">
            <v>831.12120000000004</v>
          </cell>
          <cell r="AB256">
            <v>4.1556060000000006</v>
          </cell>
        </row>
        <row r="257">
          <cell r="A257" t="str">
            <v>Spray (Broadcast)40'</v>
          </cell>
          <cell r="B257" t="str">
            <v>Spray (Broadcast)</v>
          </cell>
          <cell r="C257" t="str">
            <v>40'</v>
          </cell>
          <cell r="D257">
            <v>40</v>
          </cell>
          <cell r="E257">
            <v>7.5</v>
          </cell>
          <cell r="F257">
            <v>0.65</v>
          </cell>
          <cell r="G257">
            <v>4.230769230769231E-2</v>
          </cell>
          <cell r="H257">
            <v>5572</v>
          </cell>
          <cell r="I257">
            <v>40</v>
          </cell>
          <cell r="J257">
            <v>75</v>
          </cell>
          <cell r="K257">
            <v>8</v>
          </cell>
          <cell r="L257">
            <v>200</v>
          </cell>
          <cell r="M257">
            <v>0</v>
          </cell>
          <cell r="N257">
            <v>1600</v>
          </cell>
          <cell r="O257">
            <v>1</v>
          </cell>
          <cell r="P257">
            <v>0.27</v>
          </cell>
          <cell r="Q257">
            <v>1.4</v>
          </cell>
          <cell r="R257">
            <v>158.05813960228818</v>
          </cell>
          <cell r="S257">
            <v>0.79029069801144092</v>
          </cell>
          <cell r="T257">
            <v>522.375</v>
          </cell>
          <cell r="U257">
            <v>2.6118749999999999</v>
          </cell>
          <cell r="V257">
            <v>2228.8000000000002</v>
          </cell>
          <cell r="W257">
            <v>417.9</v>
          </cell>
          <cell r="X257">
            <v>3900.4</v>
          </cell>
          <cell r="Y257">
            <v>351.036</v>
          </cell>
          <cell r="Z257">
            <v>93.6096</v>
          </cell>
          <cell r="AA257">
            <v>862.54559999999992</v>
          </cell>
          <cell r="AB257">
            <v>4.3127279999999999</v>
          </cell>
        </row>
        <row r="258">
          <cell r="A258" t="str">
            <v>Spray (Broadcast)50'</v>
          </cell>
          <cell r="B258" t="str">
            <v>Spray (Broadcast)</v>
          </cell>
          <cell r="C258" t="str">
            <v>50'</v>
          </cell>
          <cell r="D258">
            <v>50</v>
          </cell>
          <cell r="E258">
            <v>7.5</v>
          </cell>
          <cell r="F258">
            <v>0.65</v>
          </cell>
          <cell r="G258">
            <v>3.3846153846153845E-2</v>
          </cell>
          <cell r="H258">
            <v>5461</v>
          </cell>
          <cell r="I258">
            <v>40</v>
          </cell>
          <cell r="J258">
            <v>75</v>
          </cell>
          <cell r="K258">
            <v>8</v>
          </cell>
          <cell r="L258">
            <v>200</v>
          </cell>
          <cell r="M258">
            <v>0</v>
          </cell>
          <cell r="N258">
            <v>1600</v>
          </cell>
          <cell r="O258">
            <v>1</v>
          </cell>
          <cell r="P258">
            <v>0.27</v>
          </cell>
          <cell r="Q258">
            <v>1.4</v>
          </cell>
          <cell r="R258">
            <v>154.90945807036894</v>
          </cell>
          <cell r="S258">
            <v>0.77454729035184466</v>
          </cell>
          <cell r="T258">
            <v>511.96875</v>
          </cell>
          <cell r="U258">
            <v>2.5598437500000002</v>
          </cell>
          <cell r="V258">
            <v>2184.4</v>
          </cell>
          <cell r="W258">
            <v>409.57499999999999</v>
          </cell>
          <cell r="X258">
            <v>3822.7</v>
          </cell>
          <cell r="Y258">
            <v>344.04299999999995</v>
          </cell>
          <cell r="Z258">
            <v>91.744799999999998</v>
          </cell>
          <cell r="AA258">
            <v>845.36279999999988</v>
          </cell>
          <cell r="AB258">
            <v>4.2268139999999992</v>
          </cell>
        </row>
        <row r="259">
          <cell r="A259" t="str">
            <v>Spray (Broadcast)53'</v>
          </cell>
          <cell r="B259" t="str">
            <v>Spray (Broadcast)</v>
          </cell>
          <cell r="C259" t="str">
            <v>53'</v>
          </cell>
          <cell r="D259">
            <v>53</v>
          </cell>
          <cell r="E259">
            <v>7.5</v>
          </cell>
          <cell r="F259">
            <v>0.65</v>
          </cell>
          <cell r="G259">
            <v>3.1930333817126275E-2</v>
          </cell>
          <cell r="H259">
            <v>6434</v>
          </cell>
          <cell r="I259">
            <v>40</v>
          </cell>
          <cell r="J259">
            <v>75</v>
          </cell>
          <cell r="K259">
            <v>8</v>
          </cell>
          <cell r="L259">
            <v>200</v>
          </cell>
          <cell r="M259">
            <v>0</v>
          </cell>
          <cell r="N259">
            <v>1600</v>
          </cell>
          <cell r="O259">
            <v>1</v>
          </cell>
          <cell r="P259">
            <v>0.27</v>
          </cell>
          <cell r="Q259">
            <v>1.4</v>
          </cell>
          <cell r="R259">
            <v>182.5100628501655</v>
          </cell>
          <cell r="S259">
            <v>0.91255031425082744</v>
          </cell>
          <cell r="T259">
            <v>603.1875</v>
          </cell>
          <cell r="U259">
            <v>3.0159375000000002</v>
          </cell>
          <cell r="V259">
            <v>2573.6</v>
          </cell>
          <cell r="W259">
            <v>482.55</v>
          </cell>
          <cell r="X259">
            <v>4503.8</v>
          </cell>
          <cell r="Y259">
            <v>405.34199999999998</v>
          </cell>
          <cell r="Z259">
            <v>108.0912</v>
          </cell>
          <cell r="AA259">
            <v>995.9831999999999</v>
          </cell>
          <cell r="AB259">
            <v>4.9799159999999993</v>
          </cell>
        </row>
        <row r="260">
          <cell r="A260" t="str">
            <v>Spray (Broadcast)60'</v>
          </cell>
          <cell r="B260" t="str">
            <v>Spray (Broadcast)</v>
          </cell>
          <cell r="C260" t="str">
            <v>60'</v>
          </cell>
          <cell r="D260">
            <v>60</v>
          </cell>
          <cell r="E260">
            <v>7.5</v>
          </cell>
          <cell r="F260">
            <v>0.65</v>
          </cell>
          <cell r="G260">
            <v>2.8205128205128206E-2</v>
          </cell>
          <cell r="H260">
            <v>7479</v>
          </cell>
          <cell r="I260">
            <v>40</v>
          </cell>
          <cell r="J260">
            <v>75</v>
          </cell>
          <cell r="K260">
            <v>8</v>
          </cell>
          <cell r="L260">
            <v>200</v>
          </cell>
          <cell r="M260">
            <v>0</v>
          </cell>
          <cell r="N260">
            <v>1600</v>
          </cell>
          <cell r="O260">
            <v>1</v>
          </cell>
          <cell r="P260">
            <v>0.27</v>
          </cell>
          <cell r="Q260">
            <v>1.4</v>
          </cell>
          <cell r="R260">
            <v>212.1530556506664</v>
          </cell>
          <cell r="S260">
            <v>1.0607652782533321</v>
          </cell>
          <cell r="T260">
            <v>701.15625</v>
          </cell>
          <cell r="U260">
            <v>3.5057812500000001</v>
          </cell>
          <cell r="V260">
            <v>2991.6</v>
          </cell>
          <cell r="W260">
            <v>560.92499999999995</v>
          </cell>
          <cell r="X260">
            <v>5235.3</v>
          </cell>
          <cell r="Y260">
            <v>471.17700000000002</v>
          </cell>
          <cell r="Z260">
            <v>125.64720000000001</v>
          </cell>
          <cell r="AA260">
            <v>1157.7492</v>
          </cell>
          <cell r="AB260">
            <v>5.7887459999999997</v>
          </cell>
        </row>
        <row r="261">
          <cell r="A261" t="str">
            <v>Spray (Direct/Hood)12R-30</v>
          </cell>
          <cell r="B261" t="str">
            <v>Spray (Direct/Hood)</v>
          </cell>
          <cell r="C261" t="str">
            <v>12R-30</v>
          </cell>
          <cell r="D261">
            <v>30</v>
          </cell>
          <cell r="E261">
            <v>7.5</v>
          </cell>
          <cell r="F261">
            <v>0.65</v>
          </cell>
          <cell r="G261">
            <v>5.6410256410256411E-2</v>
          </cell>
          <cell r="H261">
            <v>16475</v>
          </cell>
          <cell r="I261">
            <v>40</v>
          </cell>
          <cell r="J261">
            <v>75</v>
          </cell>
          <cell r="K261">
            <v>8</v>
          </cell>
          <cell r="L261">
            <v>200</v>
          </cell>
          <cell r="M261">
            <v>0</v>
          </cell>
          <cell r="N261">
            <v>1600</v>
          </cell>
          <cell r="O261">
            <v>1</v>
          </cell>
          <cell r="P261">
            <v>0.27</v>
          </cell>
          <cell r="Q261">
            <v>1.4</v>
          </cell>
          <cell r="R261">
            <v>467.33809223756236</v>
          </cell>
          <cell r="S261">
            <v>2.3366904611878119</v>
          </cell>
          <cell r="T261">
            <v>1544.53125</v>
          </cell>
          <cell r="U261">
            <v>7.72265625</v>
          </cell>
          <cell r="V261">
            <v>6590</v>
          </cell>
          <cell r="W261">
            <v>1235.625</v>
          </cell>
          <cell r="X261">
            <v>11532.5</v>
          </cell>
          <cell r="Y261">
            <v>1037.925</v>
          </cell>
          <cell r="Z261">
            <v>276.78000000000003</v>
          </cell>
          <cell r="AA261">
            <v>2550.33</v>
          </cell>
          <cell r="AB261">
            <v>12.75165</v>
          </cell>
        </row>
        <row r="262">
          <cell r="A262" t="str">
            <v>Spray (Direct/Hood)12R-36</v>
          </cell>
          <cell r="B262" t="str">
            <v>Spray (Direct/Hood)</v>
          </cell>
          <cell r="C262" t="str">
            <v>12R-36</v>
          </cell>
          <cell r="D262">
            <v>36</v>
          </cell>
          <cell r="E262">
            <v>7.5</v>
          </cell>
          <cell r="F262">
            <v>0.65</v>
          </cell>
          <cell r="G262">
            <v>4.7008547008547008E-2</v>
          </cell>
          <cell r="H262">
            <v>16877</v>
          </cell>
          <cell r="I262">
            <v>40</v>
          </cell>
          <cell r="J262">
            <v>75</v>
          </cell>
          <cell r="K262">
            <v>8</v>
          </cell>
          <cell r="L262">
            <v>200</v>
          </cell>
          <cell r="M262">
            <v>0</v>
          </cell>
          <cell r="N262">
            <v>1600</v>
          </cell>
          <cell r="O262">
            <v>1</v>
          </cell>
          <cell r="P262">
            <v>0.27</v>
          </cell>
          <cell r="Q262">
            <v>1.4</v>
          </cell>
          <cell r="R262">
            <v>478.74142535316179</v>
          </cell>
          <cell r="S262">
            <v>2.393707126765809</v>
          </cell>
          <cell r="T262">
            <v>1582.21875</v>
          </cell>
          <cell r="U262">
            <v>7.91109375</v>
          </cell>
          <cell r="V262">
            <v>6750.8</v>
          </cell>
          <cell r="W262">
            <v>1265.7750000000001</v>
          </cell>
          <cell r="X262">
            <v>11813.9</v>
          </cell>
          <cell r="Y262">
            <v>1063.251</v>
          </cell>
          <cell r="Z262">
            <v>283.53359999999998</v>
          </cell>
          <cell r="AA262">
            <v>2612.5596</v>
          </cell>
          <cell r="AB262">
            <v>13.062798000000001</v>
          </cell>
        </row>
        <row r="263">
          <cell r="A263" t="str">
            <v>Spray (Direct/Hood)8R-30</v>
          </cell>
          <cell r="B263" t="str">
            <v>Spray (Direct/Hood)</v>
          </cell>
          <cell r="C263" t="str">
            <v>8R-30</v>
          </cell>
          <cell r="D263">
            <v>20</v>
          </cell>
          <cell r="E263">
            <v>7.5</v>
          </cell>
          <cell r="F263">
            <v>0.65</v>
          </cell>
          <cell r="G263">
            <v>8.461538461538462E-2</v>
          </cell>
          <cell r="H263">
            <v>12824</v>
          </cell>
          <cell r="I263">
            <v>40</v>
          </cell>
          <cell r="J263">
            <v>75</v>
          </cell>
          <cell r="K263">
            <v>8</v>
          </cell>
          <cell r="L263">
            <v>200</v>
          </cell>
          <cell r="M263">
            <v>0</v>
          </cell>
          <cell r="N263">
            <v>1600</v>
          </cell>
          <cell r="O263">
            <v>1</v>
          </cell>
          <cell r="P263">
            <v>0.27</v>
          </cell>
          <cell r="Q263">
            <v>1.4</v>
          </cell>
          <cell r="R263">
            <v>363.77199968767832</v>
          </cell>
          <cell r="S263">
            <v>1.8188599984383915</v>
          </cell>
          <cell r="T263">
            <v>1202.25</v>
          </cell>
          <cell r="U263">
            <v>6.0112500000000004</v>
          </cell>
          <cell r="V263">
            <v>5129.6000000000004</v>
          </cell>
          <cell r="W263">
            <v>961.8</v>
          </cell>
          <cell r="X263">
            <v>8976.7999999999993</v>
          </cell>
          <cell r="Y263">
            <v>807.91199999999992</v>
          </cell>
          <cell r="Z263">
            <v>215.44319999999999</v>
          </cell>
          <cell r="AA263">
            <v>1985.1551999999999</v>
          </cell>
          <cell r="AB263">
            <v>9.925775999999999</v>
          </cell>
        </row>
        <row r="264">
          <cell r="A264" t="str">
            <v>Spray (Direct/Hood)8R-36</v>
          </cell>
          <cell r="B264" t="str">
            <v>Spray (Direct/Hood)</v>
          </cell>
          <cell r="C264" t="str">
            <v>8R-36</v>
          </cell>
          <cell r="D264">
            <v>24</v>
          </cell>
          <cell r="E264">
            <v>7.5</v>
          </cell>
          <cell r="F264">
            <v>0.65</v>
          </cell>
          <cell r="G264">
            <v>7.0512820512820512E-2</v>
          </cell>
          <cell r="H264">
            <v>13749</v>
          </cell>
          <cell r="I264">
            <v>40</v>
          </cell>
          <cell r="J264">
            <v>75</v>
          </cell>
          <cell r="K264">
            <v>8</v>
          </cell>
          <cell r="L264">
            <v>200</v>
          </cell>
          <cell r="M264">
            <v>0</v>
          </cell>
          <cell r="N264">
            <v>1600</v>
          </cell>
          <cell r="O264">
            <v>1</v>
          </cell>
          <cell r="P264">
            <v>0.27</v>
          </cell>
          <cell r="Q264">
            <v>1.4</v>
          </cell>
          <cell r="R264">
            <v>390.01101245367192</v>
          </cell>
          <cell r="S264">
            <v>1.9500550622683597</v>
          </cell>
          <cell r="T264">
            <v>1288.96875</v>
          </cell>
          <cell r="U264">
            <v>6.4448437500000004</v>
          </cell>
          <cell r="V264">
            <v>5499.6</v>
          </cell>
          <cell r="W264">
            <v>1031.175</v>
          </cell>
          <cell r="X264">
            <v>9624.2999999999993</v>
          </cell>
          <cell r="Y264">
            <v>866.1869999999999</v>
          </cell>
          <cell r="Z264">
            <v>230.98319999999998</v>
          </cell>
          <cell r="AA264">
            <v>2128.3451999999997</v>
          </cell>
          <cell r="AB264">
            <v>10.641725999999998</v>
          </cell>
        </row>
        <row r="265">
          <cell r="A265" t="str">
            <v>Spray (Direct/Layby)10R-30</v>
          </cell>
          <cell r="B265" t="str">
            <v>Spray (Direct/Layby)</v>
          </cell>
          <cell r="C265" t="str">
            <v>10R-30</v>
          </cell>
          <cell r="D265">
            <v>25</v>
          </cell>
          <cell r="E265">
            <v>7.5</v>
          </cell>
          <cell r="F265">
            <v>0.65</v>
          </cell>
          <cell r="G265">
            <v>6.7692307692307691E-2</v>
          </cell>
          <cell r="H265">
            <v>8141</v>
          </cell>
          <cell r="I265">
            <v>40</v>
          </cell>
          <cell r="J265">
            <v>75</v>
          </cell>
          <cell r="K265">
            <v>8</v>
          </cell>
          <cell r="L265">
            <v>200</v>
          </cell>
          <cell r="M265">
            <v>0</v>
          </cell>
          <cell r="N265">
            <v>1600</v>
          </cell>
          <cell r="O265">
            <v>1</v>
          </cell>
          <cell r="P265">
            <v>0.27</v>
          </cell>
          <cell r="Q265">
            <v>1.4</v>
          </cell>
          <cell r="R265">
            <v>230.93167884103158</v>
          </cell>
          <cell r="S265">
            <v>1.1546583942051578</v>
          </cell>
          <cell r="T265">
            <v>763.21875</v>
          </cell>
          <cell r="U265">
            <v>3.8160937499999998</v>
          </cell>
          <cell r="V265">
            <v>3256.4</v>
          </cell>
          <cell r="W265">
            <v>610.57500000000005</v>
          </cell>
          <cell r="X265">
            <v>5698.7</v>
          </cell>
          <cell r="Y265">
            <v>512.88299999999992</v>
          </cell>
          <cell r="Z265">
            <v>136.7688</v>
          </cell>
          <cell r="AA265">
            <v>1260.2267999999999</v>
          </cell>
          <cell r="AB265">
            <v>6.3011339999999993</v>
          </cell>
        </row>
        <row r="266">
          <cell r="A266" t="str">
            <v>Spray (Direct/Layby)12R-30</v>
          </cell>
          <cell r="B266" t="str">
            <v>Spray (Direct/Layby)</v>
          </cell>
          <cell r="C266" t="str">
            <v>12R-30</v>
          </cell>
          <cell r="D266">
            <v>30</v>
          </cell>
          <cell r="E266">
            <v>7.5</v>
          </cell>
          <cell r="F266">
            <v>0.65</v>
          </cell>
          <cell r="G266">
            <v>5.6410256410256411E-2</v>
          </cell>
          <cell r="H266">
            <v>9168</v>
          </cell>
          <cell r="I266">
            <v>40</v>
          </cell>
          <cell r="J266">
            <v>75</v>
          </cell>
          <cell r="K266">
            <v>8</v>
          </cell>
          <cell r="L266">
            <v>200</v>
          </cell>
          <cell r="M266">
            <v>0</v>
          </cell>
          <cell r="N266">
            <v>1600</v>
          </cell>
          <cell r="O266">
            <v>1</v>
          </cell>
          <cell r="P266">
            <v>0.27</v>
          </cell>
          <cell r="Q266">
            <v>1.4</v>
          </cell>
          <cell r="R266">
            <v>260.06407463635639</v>
          </cell>
          <cell r="S266">
            <v>1.3003203731817821</v>
          </cell>
          <cell r="T266">
            <v>859.5</v>
          </cell>
          <cell r="U266">
            <v>4.2975000000000003</v>
          </cell>
          <cell r="V266">
            <v>3667.2</v>
          </cell>
          <cell r="W266">
            <v>687.6</v>
          </cell>
          <cell r="X266">
            <v>6417.6</v>
          </cell>
          <cell r="Y266">
            <v>577.58400000000006</v>
          </cell>
          <cell r="Z266">
            <v>154.0224</v>
          </cell>
          <cell r="AA266">
            <v>1419.2064</v>
          </cell>
          <cell r="AB266">
            <v>7.0960320000000001</v>
          </cell>
        </row>
        <row r="267">
          <cell r="A267" t="str">
            <v>Spray (Direct/Layby)12R-36</v>
          </cell>
          <cell r="B267" t="str">
            <v>Spray (Direct/Layby)</v>
          </cell>
          <cell r="C267" t="str">
            <v>12R-36</v>
          </cell>
          <cell r="D267">
            <v>36</v>
          </cell>
          <cell r="E267">
            <v>7.5</v>
          </cell>
          <cell r="F267">
            <v>0.65</v>
          </cell>
          <cell r="G267">
            <v>4.7008547008547008E-2</v>
          </cell>
          <cell r="H267">
            <v>13882</v>
          </cell>
          <cell r="I267">
            <v>40</v>
          </cell>
          <cell r="J267">
            <v>75</v>
          </cell>
          <cell r="K267">
            <v>8</v>
          </cell>
          <cell r="L267">
            <v>200</v>
          </cell>
          <cell r="M267">
            <v>0</v>
          </cell>
          <cell r="N267">
            <v>1600</v>
          </cell>
          <cell r="O267">
            <v>1</v>
          </cell>
          <cell r="P267">
            <v>0.27</v>
          </cell>
          <cell r="Q267">
            <v>1.4</v>
          </cell>
          <cell r="R267">
            <v>393.78375699191753</v>
          </cell>
          <cell r="S267">
            <v>1.9689187849595877</v>
          </cell>
          <cell r="T267">
            <v>1301.4375</v>
          </cell>
          <cell r="U267">
            <v>6.5071874999999997</v>
          </cell>
          <cell r="V267">
            <v>5552.8</v>
          </cell>
          <cell r="W267">
            <v>1041.1500000000001</v>
          </cell>
          <cell r="X267">
            <v>9717.4</v>
          </cell>
          <cell r="Y267">
            <v>874.56599999999992</v>
          </cell>
          <cell r="Z267">
            <v>233.2176</v>
          </cell>
          <cell r="AA267">
            <v>2148.9336000000003</v>
          </cell>
          <cell r="AB267">
            <v>10.744668000000001</v>
          </cell>
        </row>
        <row r="268">
          <cell r="A268" t="str">
            <v>Spray (Direct/Layby)16R-20</v>
          </cell>
          <cell r="B268" t="str">
            <v>Spray (Direct/Layby)</v>
          </cell>
          <cell r="C268" t="str">
            <v>16R-20</v>
          </cell>
          <cell r="D268">
            <v>26.7</v>
          </cell>
          <cell r="E268">
            <v>7.5</v>
          </cell>
          <cell r="F268">
            <v>0.65</v>
          </cell>
          <cell r="G268">
            <v>6.3382310573321804E-2</v>
          </cell>
          <cell r="H268">
            <v>8768</v>
          </cell>
          <cell r="I268">
            <v>40</v>
          </cell>
          <cell r="J268">
            <v>75</v>
          </cell>
          <cell r="K268">
            <v>8</v>
          </cell>
          <cell r="L268">
            <v>200</v>
          </cell>
          <cell r="M268">
            <v>0</v>
          </cell>
          <cell r="N268">
            <v>1600</v>
          </cell>
          <cell r="O268">
            <v>1</v>
          </cell>
          <cell r="P268">
            <v>0.27</v>
          </cell>
          <cell r="Q268">
            <v>1.4</v>
          </cell>
          <cell r="R268">
            <v>248.71747452133215</v>
          </cell>
          <cell r="S268">
            <v>1.2435873726066609</v>
          </cell>
          <cell r="T268">
            <v>822</v>
          </cell>
          <cell r="U268">
            <v>4.1100000000000003</v>
          </cell>
          <cell r="V268">
            <v>3507.2</v>
          </cell>
          <cell r="W268">
            <v>657.6</v>
          </cell>
          <cell r="X268">
            <v>6137.6</v>
          </cell>
          <cell r="Y268">
            <v>552.38400000000001</v>
          </cell>
          <cell r="Z268">
            <v>147.30240000000001</v>
          </cell>
          <cell r="AA268">
            <v>1357.2864</v>
          </cell>
          <cell r="AB268">
            <v>6.7864319999999996</v>
          </cell>
        </row>
        <row r="269">
          <cell r="A269" t="str">
            <v>Spray (Direct/Layby)8R-30</v>
          </cell>
          <cell r="B269" t="str">
            <v>Spray (Direct/Layby)</v>
          </cell>
          <cell r="C269" t="str">
            <v>8R-30</v>
          </cell>
          <cell r="D269">
            <v>20</v>
          </cell>
          <cell r="E269">
            <v>7.5</v>
          </cell>
          <cell r="F269">
            <v>0.65</v>
          </cell>
          <cell r="G269">
            <v>8.461538461538462E-2</v>
          </cell>
          <cell r="H269">
            <v>7340</v>
          </cell>
          <cell r="I269">
            <v>40</v>
          </cell>
          <cell r="J269">
            <v>75</v>
          </cell>
          <cell r="K269">
            <v>8</v>
          </cell>
          <cell r="L269">
            <v>200</v>
          </cell>
          <cell r="M269">
            <v>0</v>
          </cell>
          <cell r="N269">
            <v>1600</v>
          </cell>
          <cell r="O269">
            <v>1</v>
          </cell>
          <cell r="P269">
            <v>0.27</v>
          </cell>
          <cell r="Q269">
            <v>1.4</v>
          </cell>
          <cell r="R269">
            <v>208.21011211069549</v>
          </cell>
          <cell r="S269">
            <v>1.0410505605534774</v>
          </cell>
          <cell r="T269">
            <v>688.125</v>
          </cell>
          <cell r="U269">
            <v>3.4406249999999998</v>
          </cell>
          <cell r="V269">
            <v>2936</v>
          </cell>
          <cell r="W269">
            <v>550.5</v>
          </cell>
          <cell r="X269">
            <v>5138</v>
          </cell>
          <cell r="Y269">
            <v>462.41999999999996</v>
          </cell>
          <cell r="Z269">
            <v>123.312</v>
          </cell>
          <cell r="AA269">
            <v>1136.232</v>
          </cell>
          <cell r="AB269">
            <v>5.6811600000000002</v>
          </cell>
        </row>
        <row r="270">
          <cell r="A270" t="str">
            <v>Spray (Direct/Layby)8R-36</v>
          </cell>
          <cell r="B270" t="str">
            <v>Spray (Direct/Layby)</v>
          </cell>
          <cell r="C270" t="str">
            <v>8R-36</v>
          </cell>
          <cell r="D270">
            <v>24</v>
          </cell>
          <cell r="E270">
            <v>7.5</v>
          </cell>
          <cell r="F270">
            <v>0.65</v>
          </cell>
          <cell r="G270">
            <v>7.0512820512820512E-2</v>
          </cell>
          <cell r="H270">
            <v>7988</v>
          </cell>
          <cell r="I270">
            <v>40</v>
          </cell>
          <cell r="J270">
            <v>75</v>
          </cell>
          <cell r="K270">
            <v>8</v>
          </cell>
          <cell r="L270">
            <v>200</v>
          </cell>
          <cell r="M270">
            <v>0</v>
          </cell>
          <cell r="N270">
            <v>1600</v>
          </cell>
          <cell r="O270">
            <v>1</v>
          </cell>
          <cell r="P270">
            <v>0.27</v>
          </cell>
          <cell r="Q270">
            <v>1.4</v>
          </cell>
          <cell r="R270">
            <v>226.59160429703482</v>
          </cell>
          <cell r="S270">
            <v>1.132958021485174</v>
          </cell>
          <cell r="T270">
            <v>748.875</v>
          </cell>
          <cell r="U270">
            <v>3.7443749999999998</v>
          </cell>
          <cell r="V270">
            <v>3195.2</v>
          </cell>
          <cell r="W270">
            <v>599.1</v>
          </cell>
          <cell r="X270">
            <v>5591.6</v>
          </cell>
          <cell r="Y270">
            <v>503.24400000000003</v>
          </cell>
          <cell r="Z270">
            <v>134.19840000000002</v>
          </cell>
          <cell r="AA270">
            <v>1236.5424</v>
          </cell>
          <cell r="AB270">
            <v>6.1827120000000004</v>
          </cell>
        </row>
        <row r="271">
          <cell r="A271" t="str">
            <v>Spray (Direct/Layby)8R-40 2x1</v>
          </cell>
          <cell r="B271" t="str">
            <v>Spray (Direct/Layby)</v>
          </cell>
          <cell r="C271" t="str">
            <v>8R-40 2x1</v>
          </cell>
          <cell r="D271">
            <v>40</v>
          </cell>
          <cell r="E271">
            <v>7.5</v>
          </cell>
          <cell r="F271">
            <v>0.65</v>
          </cell>
          <cell r="G271">
            <v>4.230769230769231E-2</v>
          </cell>
          <cell r="H271">
            <v>13882</v>
          </cell>
          <cell r="I271">
            <v>40</v>
          </cell>
          <cell r="J271">
            <v>75</v>
          </cell>
          <cell r="K271">
            <v>8</v>
          </cell>
          <cell r="L271">
            <v>200</v>
          </cell>
          <cell r="M271">
            <v>0</v>
          </cell>
          <cell r="N271">
            <v>1600</v>
          </cell>
          <cell r="O271">
            <v>1</v>
          </cell>
          <cell r="P271">
            <v>0.27</v>
          </cell>
          <cell r="Q271">
            <v>1.4</v>
          </cell>
          <cell r="R271">
            <v>393.78375699191753</v>
          </cell>
          <cell r="S271">
            <v>1.9689187849595877</v>
          </cell>
          <cell r="T271">
            <v>1301.4375</v>
          </cell>
          <cell r="U271">
            <v>6.5071874999999997</v>
          </cell>
          <cell r="V271">
            <v>5552.8</v>
          </cell>
          <cell r="W271">
            <v>1041.1500000000001</v>
          </cell>
          <cell r="X271">
            <v>9717.4</v>
          </cell>
          <cell r="Y271">
            <v>874.56599999999992</v>
          </cell>
          <cell r="Z271">
            <v>233.2176</v>
          </cell>
          <cell r="AA271">
            <v>2148.9336000000003</v>
          </cell>
          <cell r="AB271">
            <v>10.744668000000001</v>
          </cell>
        </row>
        <row r="272">
          <cell r="A272" t="str">
            <v>Spray (Spot)27'</v>
          </cell>
          <cell r="B272" t="str">
            <v>Spray (Spot)</v>
          </cell>
          <cell r="C272" t="str">
            <v>27'</v>
          </cell>
          <cell r="D272">
            <v>27</v>
          </cell>
          <cell r="E272">
            <v>7.5</v>
          </cell>
          <cell r="F272">
            <v>0.65</v>
          </cell>
          <cell r="G272">
            <v>6.2678062678062682E-2</v>
          </cell>
          <cell r="H272">
            <v>5369</v>
          </cell>
          <cell r="I272">
            <v>40</v>
          </cell>
          <cell r="J272">
            <v>75</v>
          </cell>
          <cell r="K272">
            <v>8</v>
          </cell>
          <cell r="L272">
            <v>200</v>
          </cell>
          <cell r="M272">
            <v>0</v>
          </cell>
          <cell r="N272">
            <v>1600</v>
          </cell>
          <cell r="O272">
            <v>1</v>
          </cell>
          <cell r="P272">
            <v>0.27</v>
          </cell>
          <cell r="Q272">
            <v>1.4</v>
          </cell>
          <cell r="R272">
            <v>152.29974004391335</v>
          </cell>
          <cell r="S272">
            <v>0.76149870021956678</v>
          </cell>
          <cell r="T272">
            <v>503.34375</v>
          </cell>
          <cell r="U272">
            <v>2.5167187499999999</v>
          </cell>
          <cell r="V272">
            <v>2147.6</v>
          </cell>
          <cell r="W272">
            <v>402.67500000000001</v>
          </cell>
          <cell r="X272">
            <v>3758.3</v>
          </cell>
          <cell r="Y272">
            <v>338.24700000000001</v>
          </cell>
          <cell r="Z272">
            <v>90.199200000000005</v>
          </cell>
          <cell r="AA272">
            <v>831.12120000000004</v>
          </cell>
          <cell r="AB272">
            <v>4.1556060000000006</v>
          </cell>
        </row>
        <row r="273">
          <cell r="A273" t="str">
            <v>Spray (Spot)40'</v>
          </cell>
          <cell r="B273" t="str">
            <v>Spray (Spot)</v>
          </cell>
          <cell r="C273" t="str">
            <v>40'</v>
          </cell>
          <cell r="D273">
            <v>40</v>
          </cell>
          <cell r="E273">
            <v>7.5</v>
          </cell>
          <cell r="F273">
            <v>0.65</v>
          </cell>
          <cell r="G273">
            <v>4.230769230769231E-2</v>
          </cell>
          <cell r="H273">
            <v>5572</v>
          </cell>
          <cell r="I273">
            <v>40</v>
          </cell>
          <cell r="J273">
            <v>75</v>
          </cell>
          <cell r="K273">
            <v>8</v>
          </cell>
          <cell r="L273">
            <v>200</v>
          </cell>
          <cell r="M273">
            <v>0</v>
          </cell>
          <cell r="N273">
            <v>1600</v>
          </cell>
          <cell r="O273">
            <v>1</v>
          </cell>
          <cell r="P273">
            <v>0.27</v>
          </cell>
          <cell r="Q273">
            <v>1.4</v>
          </cell>
          <cell r="R273">
            <v>158.05813960228818</v>
          </cell>
          <cell r="S273">
            <v>0.79029069801144092</v>
          </cell>
          <cell r="T273">
            <v>522.375</v>
          </cell>
          <cell r="U273">
            <v>2.6118749999999999</v>
          </cell>
          <cell r="V273">
            <v>2228.8000000000002</v>
          </cell>
          <cell r="W273">
            <v>417.9</v>
          </cell>
          <cell r="X273">
            <v>3900.4</v>
          </cell>
          <cell r="Y273">
            <v>351.036</v>
          </cell>
          <cell r="Z273">
            <v>93.6096</v>
          </cell>
          <cell r="AA273">
            <v>862.54559999999992</v>
          </cell>
          <cell r="AB273">
            <v>4.3127279999999999</v>
          </cell>
        </row>
        <row r="274">
          <cell r="A274" t="str">
            <v>Spray (Spot)50'</v>
          </cell>
          <cell r="B274" t="str">
            <v>Spray (Spot)</v>
          </cell>
          <cell r="C274" t="str">
            <v>50'</v>
          </cell>
          <cell r="D274">
            <v>50</v>
          </cell>
          <cell r="E274">
            <v>7.5</v>
          </cell>
          <cell r="F274">
            <v>0.65</v>
          </cell>
          <cell r="G274">
            <v>3.3846153846153845E-2</v>
          </cell>
          <cell r="H274">
            <v>5461</v>
          </cell>
          <cell r="I274">
            <v>40</v>
          </cell>
          <cell r="J274">
            <v>75</v>
          </cell>
          <cell r="K274">
            <v>8</v>
          </cell>
          <cell r="L274">
            <v>200</v>
          </cell>
          <cell r="M274">
            <v>0</v>
          </cell>
          <cell r="N274">
            <v>1600</v>
          </cell>
          <cell r="O274">
            <v>1</v>
          </cell>
          <cell r="P274">
            <v>0.27</v>
          </cell>
          <cell r="Q274">
            <v>1.4</v>
          </cell>
          <cell r="R274">
            <v>154.90945807036894</v>
          </cell>
          <cell r="S274">
            <v>0.77454729035184466</v>
          </cell>
          <cell r="T274">
            <v>511.96875</v>
          </cell>
          <cell r="U274">
            <v>2.5598437500000002</v>
          </cell>
          <cell r="V274">
            <v>2184.4</v>
          </cell>
          <cell r="W274">
            <v>409.57499999999999</v>
          </cell>
          <cell r="X274">
            <v>3822.7</v>
          </cell>
          <cell r="Y274">
            <v>344.04299999999995</v>
          </cell>
          <cell r="Z274">
            <v>91.744799999999998</v>
          </cell>
          <cell r="AA274">
            <v>845.36279999999988</v>
          </cell>
          <cell r="AB274">
            <v>4.2268139999999992</v>
          </cell>
        </row>
        <row r="275">
          <cell r="A275" t="str">
            <v>Spray (Spot)53'</v>
          </cell>
          <cell r="B275" t="str">
            <v>Spray (Spot)</v>
          </cell>
          <cell r="C275" t="str">
            <v>53'</v>
          </cell>
          <cell r="D275">
            <v>53</v>
          </cell>
          <cell r="E275">
            <v>7.5</v>
          </cell>
          <cell r="F275">
            <v>0.65</v>
          </cell>
          <cell r="G275">
            <v>3.1930333817126275E-2</v>
          </cell>
          <cell r="H275">
            <v>6434</v>
          </cell>
          <cell r="I275">
            <v>40</v>
          </cell>
          <cell r="J275">
            <v>75</v>
          </cell>
          <cell r="K275">
            <v>8</v>
          </cell>
          <cell r="L275">
            <v>200</v>
          </cell>
          <cell r="M275">
            <v>0</v>
          </cell>
          <cell r="N275">
            <v>1600</v>
          </cell>
          <cell r="O275">
            <v>1</v>
          </cell>
          <cell r="P275">
            <v>0.27</v>
          </cell>
          <cell r="Q275">
            <v>1.4</v>
          </cell>
          <cell r="R275">
            <v>182.5100628501655</v>
          </cell>
          <cell r="S275">
            <v>0.91255031425082744</v>
          </cell>
          <cell r="T275">
            <v>603.1875</v>
          </cell>
          <cell r="U275">
            <v>3.0159375000000002</v>
          </cell>
          <cell r="V275">
            <v>2573.6</v>
          </cell>
          <cell r="W275">
            <v>482.55</v>
          </cell>
          <cell r="X275">
            <v>4503.8</v>
          </cell>
          <cell r="Y275">
            <v>405.34199999999998</v>
          </cell>
          <cell r="Z275">
            <v>108.0912</v>
          </cell>
          <cell r="AA275">
            <v>995.9831999999999</v>
          </cell>
          <cell r="AB275">
            <v>4.9799159999999993</v>
          </cell>
        </row>
        <row r="276">
          <cell r="A276" t="str">
            <v>Spray (Spot)60'</v>
          </cell>
          <cell r="B276" t="str">
            <v>Spray (Spot)</v>
          </cell>
          <cell r="C276" t="str">
            <v>60'</v>
          </cell>
          <cell r="D276">
            <v>60</v>
          </cell>
          <cell r="E276">
            <v>7.5</v>
          </cell>
          <cell r="F276">
            <v>0.65</v>
          </cell>
          <cell r="G276">
            <v>2.8205128205128206E-2</v>
          </cell>
          <cell r="H276">
            <v>7479</v>
          </cell>
          <cell r="I276">
            <v>40</v>
          </cell>
          <cell r="J276">
            <v>75</v>
          </cell>
          <cell r="K276">
            <v>8</v>
          </cell>
          <cell r="L276">
            <v>200</v>
          </cell>
          <cell r="M276">
            <v>0</v>
          </cell>
          <cell r="N276">
            <v>1600</v>
          </cell>
          <cell r="O276">
            <v>1</v>
          </cell>
          <cell r="P276">
            <v>0.27</v>
          </cell>
          <cell r="Q276">
            <v>1.4</v>
          </cell>
          <cell r="R276">
            <v>212.1530556506664</v>
          </cell>
          <cell r="S276">
            <v>1.0607652782533321</v>
          </cell>
          <cell r="T276">
            <v>701.15625</v>
          </cell>
          <cell r="U276">
            <v>3.5057812500000001</v>
          </cell>
          <cell r="V276">
            <v>2991.6</v>
          </cell>
          <cell r="W276">
            <v>560.92499999999995</v>
          </cell>
          <cell r="X276">
            <v>5235.3</v>
          </cell>
          <cell r="Y276">
            <v>471.17700000000002</v>
          </cell>
          <cell r="Z276">
            <v>125.64720000000001</v>
          </cell>
          <cell r="AA276">
            <v>1157.7492</v>
          </cell>
          <cell r="AB276">
            <v>5.7887459999999997</v>
          </cell>
        </row>
        <row r="277">
          <cell r="A277" t="str">
            <v>Stalk Shredder14'</v>
          </cell>
          <cell r="B277" t="str">
            <v>Stalk Shredder</v>
          </cell>
          <cell r="C277" t="str">
            <v>14'</v>
          </cell>
          <cell r="D277">
            <v>14</v>
          </cell>
          <cell r="E277">
            <v>6.25</v>
          </cell>
          <cell r="F277">
            <v>0.8</v>
          </cell>
          <cell r="G277">
            <v>0.11785714285714287</v>
          </cell>
          <cell r="H277">
            <v>10277</v>
          </cell>
          <cell r="I277">
            <v>30</v>
          </cell>
          <cell r="J277">
            <v>175</v>
          </cell>
          <cell r="K277">
            <v>10</v>
          </cell>
          <cell r="L277">
            <v>200</v>
          </cell>
          <cell r="M277">
            <v>0</v>
          </cell>
          <cell r="N277">
            <v>2000</v>
          </cell>
          <cell r="O277">
            <v>1</v>
          </cell>
          <cell r="P277">
            <v>0.27</v>
          </cell>
          <cell r="Q277">
            <v>1.4</v>
          </cell>
          <cell r="R277">
            <v>291.52252345526119</v>
          </cell>
          <cell r="S277">
            <v>1.457612617276306</v>
          </cell>
          <cell r="T277">
            <v>1798.4749999999999</v>
          </cell>
          <cell r="U277">
            <v>8.9923749999999991</v>
          </cell>
          <cell r="V277">
            <v>3083.1</v>
          </cell>
          <cell r="W277">
            <v>719.39</v>
          </cell>
          <cell r="X277">
            <v>6680.05</v>
          </cell>
          <cell r="Y277">
            <v>601.20449999999994</v>
          </cell>
          <cell r="Z277">
            <v>160.3212</v>
          </cell>
          <cell r="AA277">
            <v>1480.9157</v>
          </cell>
          <cell r="AB277">
            <v>7.4045785000000004</v>
          </cell>
        </row>
        <row r="278">
          <cell r="A278" t="str">
            <v>Stalk Shredder20'</v>
          </cell>
          <cell r="B278" t="str">
            <v>Stalk Shredder</v>
          </cell>
          <cell r="C278" t="str">
            <v>20'</v>
          </cell>
          <cell r="D278">
            <v>20</v>
          </cell>
          <cell r="E278">
            <v>6.25</v>
          </cell>
          <cell r="F278">
            <v>0.8</v>
          </cell>
          <cell r="G278">
            <v>8.2500000000000004E-2</v>
          </cell>
          <cell r="H278">
            <v>22023</v>
          </cell>
          <cell r="I278">
            <v>30</v>
          </cell>
          <cell r="J278">
            <v>175</v>
          </cell>
          <cell r="K278">
            <v>10</v>
          </cell>
          <cell r="L278">
            <v>200</v>
          </cell>
          <cell r="M278">
            <v>0</v>
          </cell>
          <cell r="N278">
            <v>2000</v>
          </cell>
          <cell r="O278">
            <v>1</v>
          </cell>
          <cell r="P278">
            <v>0.27</v>
          </cell>
          <cell r="Q278">
            <v>1.4</v>
          </cell>
          <cell r="R278">
            <v>624.71543583294908</v>
          </cell>
          <cell r="S278">
            <v>3.1235771791647453</v>
          </cell>
          <cell r="T278">
            <v>3854.0250000000001</v>
          </cell>
          <cell r="U278">
            <v>19.270125</v>
          </cell>
          <cell r="V278">
            <v>6606.9</v>
          </cell>
          <cell r="W278">
            <v>1541.6100000000001</v>
          </cell>
          <cell r="X278">
            <v>14314.95</v>
          </cell>
          <cell r="Y278">
            <v>1288.3455000000001</v>
          </cell>
          <cell r="Z278">
            <v>343.55880000000002</v>
          </cell>
          <cell r="AA278">
            <v>3173.5143000000003</v>
          </cell>
          <cell r="AB278">
            <v>15.867571500000002</v>
          </cell>
        </row>
        <row r="279">
          <cell r="A279" t="str">
            <v>Stalk Shredder-Flail12'</v>
          </cell>
          <cell r="B279" t="str">
            <v>Stalk Shredder-Flail</v>
          </cell>
          <cell r="C279" t="str">
            <v>12'</v>
          </cell>
          <cell r="D279">
            <v>12</v>
          </cell>
          <cell r="E279">
            <v>6.25</v>
          </cell>
          <cell r="F279">
            <v>0.8</v>
          </cell>
          <cell r="G279">
            <v>0.13750000000000001</v>
          </cell>
          <cell r="H279">
            <v>11507</v>
          </cell>
          <cell r="I279">
            <v>30</v>
          </cell>
          <cell r="J279">
            <v>175</v>
          </cell>
          <cell r="K279">
            <v>10</v>
          </cell>
          <cell r="L279">
            <v>200</v>
          </cell>
          <cell r="M279">
            <v>0</v>
          </cell>
          <cell r="N279">
            <v>2000</v>
          </cell>
          <cell r="O279">
            <v>1</v>
          </cell>
          <cell r="P279">
            <v>0.27</v>
          </cell>
          <cell r="Q279">
            <v>1.4</v>
          </cell>
          <cell r="R279">
            <v>326.41331880896087</v>
          </cell>
          <cell r="S279">
            <v>1.6320665940448043</v>
          </cell>
          <cell r="T279">
            <v>2013.7249999999999</v>
          </cell>
          <cell r="U279">
            <v>10.068624999999999</v>
          </cell>
          <cell r="V279">
            <v>3452.1</v>
          </cell>
          <cell r="W279">
            <v>805.49</v>
          </cell>
          <cell r="X279">
            <v>7479.55</v>
          </cell>
          <cell r="Y279">
            <v>673.15949999999998</v>
          </cell>
          <cell r="Z279">
            <v>179.50920000000002</v>
          </cell>
          <cell r="AA279">
            <v>1658.1587</v>
          </cell>
          <cell r="AB279">
            <v>8.2907934999999995</v>
          </cell>
        </row>
        <row r="280">
          <cell r="A280" t="str">
            <v>Stalk Shredder-Flail20'</v>
          </cell>
          <cell r="B280" t="str">
            <v>Stalk Shredder-Flail</v>
          </cell>
          <cell r="C280" t="str">
            <v>20'</v>
          </cell>
          <cell r="D280">
            <v>20</v>
          </cell>
          <cell r="E280">
            <v>6.25</v>
          </cell>
          <cell r="F280">
            <v>0.8</v>
          </cell>
          <cell r="G280">
            <v>8.2500000000000004E-2</v>
          </cell>
          <cell r="H280">
            <v>17931</v>
          </cell>
          <cell r="I280">
            <v>30</v>
          </cell>
          <cell r="J280">
            <v>175</v>
          </cell>
          <cell r="K280">
            <v>10</v>
          </cell>
          <cell r="L280">
            <v>200</v>
          </cell>
          <cell r="M280">
            <v>0</v>
          </cell>
          <cell r="N280">
            <v>2000</v>
          </cell>
          <cell r="O280">
            <v>1</v>
          </cell>
          <cell r="P280">
            <v>0.27</v>
          </cell>
          <cell r="Q280">
            <v>1.4</v>
          </cell>
          <cell r="R280">
            <v>508.6397166562507</v>
          </cell>
          <cell r="S280">
            <v>2.5431985832812534</v>
          </cell>
          <cell r="T280">
            <v>3137.9250000000002</v>
          </cell>
          <cell r="U280">
            <v>15.689625000000001</v>
          </cell>
          <cell r="V280">
            <v>5379.3</v>
          </cell>
          <cell r="W280">
            <v>1255.17</v>
          </cell>
          <cell r="X280">
            <v>11655.15</v>
          </cell>
          <cell r="Y280">
            <v>1048.9634999999998</v>
          </cell>
          <cell r="Z280">
            <v>279.72359999999998</v>
          </cell>
          <cell r="AA280">
            <v>2583.8571000000002</v>
          </cell>
          <cell r="AB280">
            <v>12.919285500000001</v>
          </cell>
        </row>
        <row r="281">
          <cell r="A281" t="str">
            <v>Subsoiler low-till4 shank</v>
          </cell>
          <cell r="B281" t="str">
            <v>Subsoiler low-till</v>
          </cell>
          <cell r="C281" t="str">
            <v>4 shank</v>
          </cell>
          <cell r="D281">
            <v>12</v>
          </cell>
          <cell r="E281">
            <v>4.75</v>
          </cell>
          <cell r="F281">
            <v>0.85</v>
          </cell>
          <cell r="G281">
            <v>0.17027863777089783</v>
          </cell>
          <cell r="H281">
            <v>8415</v>
          </cell>
          <cell r="I281">
            <v>30</v>
          </cell>
          <cell r="J281">
            <v>50</v>
          </cell>
          <cell r="K281">
            <v>15</v>
          </cell>
          <cell r="L281">
            <v>100</v>
          </cell>
          <cell r="M281">
            <v>0</v>
          </cell>
          <cell r="N281">
            <v>1500</v>
          </cell>
          <cell r="O281">
            <v>1</v>
          </cell>
          <cell r="P281">
            <v>0.27</v>
          </cell>
          <cell r="Q281">
            <v>1.4</v>
          </cell>
          <cell r="R281">
            <v>90.4519396856074</v>
          </cell>
          <cell r="S281">
            <v>0.90451939685607397</v>
          </cell>
          <cell r="T281">
            <v>280.5</v>
          </cell>
          <cell r="U281">
            <v>2.8050000000000002</v>
          </cell>
          <cell r="V281">
            <v>2524.5</v>
          </cell>
          <cell r="W281">
            <v>392.7</v>
          </cell>
          <cell r="X281">
            <v>5469.75</v>
          </cell>
          <cell r="Y281">
            <v>492.27749999999997</v>
          </cell>
          <cell r="Z281">
            <v>131.274</v>
          </cell>
          <cell r="AA281">
            <v>1016.2515000000001</v>
          </cell>
          <cell r="AB281">
            <v>10.162515000000001</v>
          </cell>
        </row>
        <row r="282">
          <cell r="A282" t="str">
            <v>Subsoiler low-till6 shank</v>
          </cell>
          <cell r="B282" t="str">
            <v>Subsoiler low-till</v>
          </cell>
          <cell r="C282" t="str">
            <v>6 shank</v>
          </cell>
          <cell r="D282">
            <v>18</v>
          </cell>
          <cell r="E282">
            <v>4.75</v>
          </cell>
          <cell r="F282">
            <v>0.85</v>
          </cell>
          <cell r="G282">
            <v>0.11351909184726523</v>
          </cell>
          <cell r="H282">
            <v>11624</v>
          </cell>
          <cell r="I282">
            <v>30</v>
          </cell>
          <cell r="J282">
            <v>50</v>
          </cell>
          <cell r="K282">
            <v>15</v>
          </cell>
          <cell r="L282">
            <v>100</v>
          </cell>
          <cell r="M282">
            <v>0</v>
          </cell>
          <cell r="N282">
            <v>1500</v>
          </cell>
          <cell r="O282">
            <v>1</v>
          </cell>
          <cell r="P282">
            <v>0.27</v>
          </cell>
          <cell r="Q282">
            <v>1.4</v>
          </cell>
          <cell r="R282">
            <v>124.94513926387408</v>
          </cell>
          <cell r="S282">
            <v>1.2494513926387407</v>
          </cell>
          <cell r="T282">
            <v>387.46666666666664</v>
          </cell>
          <cell r="U282">
            <v>3.8746666666666663</v>
          </cell>
          <cell r="V282">
            <v>3487.2</v>
          </cell>
          <cell r="W282">
            <v>542.45333333333338</v>
          </cell>
          <cell r="X282">
            <v>7555.6</v>
          </cell>
          <cell r="Y282">
            <v>680.00400000000002</v>
          </cell>
          <cell r="Z282">
            <v>181.33440000000002</v>
          </cell>
          <cell r="AA282">
            <v>1403.7917333333335</v>
          </cell>
          <cell r="AB282">
            <v>14.037917333333334</v>
          </cell>
        </row>
        <row r="283">
          <cell r="A283" t="str">
            <v>Subsoiler low-till8 shank</v>
          </cell>
          <cell r="B283" t="str">
            <v>Subsoiler low-till</v>
          </cell>
          <cell r="C283" t="str">
            <v>8 shank</v>
          </cell>
          <cell r="D283">
            <v>24</v>
          </cell>
          <cell r="E283">
            <v>4.75</v>
          </cell>
          <cell r="F283">
            <v>0.85</v>
          </cell>
          <cell r="G283">
            <v>8.5139318885448914E-2</v>
          </cell>
          <cell r="H283">
            <v>16226</v>
          </cell>
          <cell r="I283">
            <v>30</v>
          </cell>
          <cell r="J283">
            <v>50</v>
          </cell>
          <cell r="K283">
            <v>15</v>
          </cell>
          <cell r="L283">
            <v>100</v>
          </cell>
          <cell r="M283">
            <v>0</v>
          </cell>
          <cell r="N283">
            <v>1500</v>
          </cell>
          <cell r="O283">
            <v>1</v>
          </cell>
          <cell r="P283">
            <v>0.27</v>
          </cell>
          <cell r="Q283">
            <v>1.4</v>
          </cell>
          <cell r="R283">
            <v>174.41154763382838</v>
          </cell>
          <cell r="S283">
            <v>1.7441154763382838</v>
          </cell>
          <cell r="T283">
            <v>540.86666666666667</v>
          </cell>
          <cell r="U283">
            <v>5.408666666666667</v>
          </cell>
          <cell r="V283">
            <v>4867.8</v>
          </cell>
          <cell r="W283">
            <v>757.21333333333337</v>
          </cell>
          <cell r="X283">
            <v>10546.9</v>
          </cell>
          <cell r="Y283">
            <v>949.22099999999989</v>
          </cell>
          <cell r="Z283">
            <v>253.12559999999999</v>
          </cell>
          <cell r="AA283">
            <v>1959.5599333333332</v>
          </cell>
          <cell r="AB283">
            <v>19.595599333333332</v>
          </cell>
        </row>
        <row r="284">
          <cell r="A284" t="str">
            <v>Subsoiler3 shank</v>
          </cell>
          <cell r="B284" t="str">
            <v>Subsoiler</v>
          </cell>
          <cell r="C284" t="str">
            <v>3 shank</v>
          </cell>
          <cell r="D284">
            <v>9</v>
          </cell>
          <cell r="E284">
            <v>4.75</v>
          </cell>
          <cell r="F284">
            <v>0.85</v>
          </cell>
          <cell r="G284">
            <v>0.22703818369453047</v>
          </cell>
          <cell r="H284">
            <v>3966</v>
          </cell>
          <cell r="I284">
            <v>30</v>
          </cell>
          <cell r="J284">
            <v>50</v>
          </cell>
          <cell r="K284">
            <v>15</v>
          </cell>
          <cell r="L284">
            <v>100</v>
          </cell>
          <cell r="M284">
            <v>0</v>
          </cell>
          <cell r="N284">
            <v>1500</v>
          </cell>
          <cell r="O284">
            <v>1</v>
          </cell>
          <cell r="P284">
            <v>0.27</v>
          </cell>
          <cell r="Q284">
            <v>1.4</v>
          </cell>
          <cell r="R284">
            <v>42.630112037209621</v>
          </cell>
          <cell r="S284">
            <v>0.42630112037209622</v>
          </cell>
          <cell r="T284">
            <v>132.19999999999999</v>
          </cell>
          <cell r="U284">
            <v>1.3219999999999998</v>
          </cell>
          <cell r="V284">
            <v>1189.8</v>
          </cell>
          <cell r="W284">
            <v>185.07999999999998</v>
          </cell>
          <cell r="X284">
            <v>2577.9</v>
          </cell>
          <cell r="Y284">
            <v>232.011</v>
          </cell>
          <cell r="Z284">
            <v>61.869600000000005</v>
          </cell>
          <cell r="AA284">
            <v>478.9606</v>
          </cell>
          <cell r="AB284">
            <v>4.789606</v>
          </cell>
        </row>
        <row r="285">
          <cell r="A285" t="str">
            <v>Subsoiler4 shank</v>
          </cell>
          <cell r="B285" t="str">
            <v>Subsoiler</v>
          </cell>
          <cell r="C285" t="str">
            <v>4 shank</v>
          </cell>
          <cell r="D285">
            <v>12</v>
          </cell>
          <cell r="E285">
            <v>4.75</v>
          </cell>
          <cell r="F285">
            <v>0.85</v>
          </cell>
          <cell r="G285">
            <v>0.17027863777089783</v>
          </cell>
          <cell r="H285">
            <v>5324</v>
          </cell>
          <cell r="I285">
            <v>30</v>
          </cell>
          <cell r="J285">
            <v>50</v>
          </cell>
          <cell r="K285">
            <v>15</v>
          </cell>
          <cell r="L285">
            <v>100</v>
          </cell>
          <cell r="M285">
            <v>0</v>
          </cell>
          <cell r="N285">
            <v>1500</v>
          </cell>
          <cell r="O285">
            <v>1</v>
          </cell>
          <cell r="P285">
            <v>0.27</v>
          </cell>
          <cell r="Q285">
            <v>1.4</v>
          </cell>
          <cell r="R285">
            <v>57.227109552724158</v>
          </cell>
          <cell r="S285">
            <v>0.57227109552724154</v>
          </cell>
          <cell r="T285">
            <v>177.46666666666667</v>
          </cell>
          <cell r="U285">
            <v>1.7746666666666666</v>
          </cell>
          <cell r="V285">
            <v>1597.2</v>
          </cell>
          <cell r="W285">
            <v>248.45333333333335</v>
          </cell>
          <cell r="X285">
            <v>3460.6</v>
          </cell>
          <cell r="Y285">
            <v>311.45400000000001</v>
          </cell>
          <cell r="Z285">
            <v>83.054400000000001</v>
          </cell>
          <cell r="AA285">
            <v>642.96173333333331</v>
          </cell>
          <cell r="AB285">
            <v>6.4296173333333329</v>
          </cell>
        </row>
        <row r="286">
          <cell r="A286" t="str">
            <v>Subsoiler5 shank</v>
          </cell>
          <cell r="B286" t="str">
            <v>Subsoiler</v>
          </cell>
          <cell r="C286" t="str">
            <v>5 shank</v>
          </cell>
          <cell r="D286">
            <v>15</v>
          </cell>
          <cell r="E286">
            <v>4.75</v>
          </cell>
          <cell r="F286">
            <v>0.85</v>
          </cell>
          <cell r="G286">
            <v>0.13622291021671826</v>
          </cell>
          <cell r="H286">
            <v>6056</v>
          </cell>
          <cell r="I286">
            <v>30</v>
          </cell>
          <cell r="J286">
            <v>50</v>
          </cell>
          <cell r="K286">
            <v>15</v>
          </cell>
          <cell r="L286">
            <v>100</v>
          </cell>
          <cell r="M286">
            <v>0</v>
          </cell>
          <cell r="N286">
            <v>1500</v>
          </cell>
          <cell r="O286">
            <v>1</v>
          </cell>
          <cell r="P286">
            <v>0.27</v>
          </cell>
          <cell r="Q286">
            <v>1.4</v>
          </cell>
          <cell r="R286">
            <v>65.095299671543486</v>
          </cell>
          <cell r="S286">
            <v>0.65095299671543483</v>
          </cell>
          <cell r="T286">
            <v>201.86666666666667</v>
          </cell>
          <cell r="U286">
            <v>2.0186666666666668</v>
          </cell>
          <cell r="V286">
            <v>1816.8</v>
          </cell>
          <cell r="W286">
            <v>282.61333333333334</v>
          </cell>
          <cell r="X286">
            <v>3936.4</v>
          </cell>
          <cell r="Y286">
            <v>354.27600000000001</v>
          </cell>
          <cell r="Z286">
            <v>94.473600000000005</v>
          </cell>
          <cell r="AA286">
            <v>731.36293333333333</v>
          </cell>
          <cell r="AB286">
            <v>7.3136293333333331</v>
          </cell>
        </row>
        <row r="287">
          <cell r="A287" t="str">
            <v>TerraTill Bed w/roll4R30</v>
          </cell>
          <cell r="B287" t="str">
            <v>TerraTill Bed w/roll</v>
          </cell>
          <cell r="C287" t="str">
            <v>4R30</v>
          </cell>
          <cell r="D287">
            <v>10</v>
          </cell>
          <cell r="E287">
            <v>4.75</v>
          </cell>
          <cell r="F287">
            <v>0.85</v>
          </cell>
          <cell r="G287">
            <v>0.20433436532507743</v>
          </cell>
          <cell r="H287">
            <v>11308</v>
          </cell>
          <cell r="I287">
            <v>30</v>
          </cell>
          <cell r="J287">
            <v>65</v>
          </cell>
          <cell r="K287">
            <v>12</v>
          </cell>
          <cell r="L287">
            <v>150</v>
          </cell>
          <cell r="M287">
            <v>0</v>
          </cell>
          <cell r="N287">
            <v>1800</v>
          </cell>
          <cell r="O287">
            <v>1</v>
          </cell>
          <cell r="P287">
            <v>0.27</v>
          </cell>
          <cell r="Q287">
            <v>1.4</v>
          </cell>
          <cell r="R287">
            <v>214.42594199532414</v>
          </cell>
          <cell r="S287">
            <v>1.4295062799688276</v>
          </cell>
          <cell r="T287">
            <v>612.51666666666665</v>
          </cell>
          <cell r="U287">
            <v>4.083444444444444</v>
          </cell>
          <cell r="V287">
            <v>3392.4</v>
          </cell>
          <cell r="W287">
            <v>659.63333333333333</v>
          </cell>
          <cell r="X287">
            <v>7350.2</v>
          </cell>
          <cell r="Y287">
            <v>661.51799999999992</v>
          </cell>
          <cell r="Z287">
            <v>176.40479999999999</v>
          </cell>
          <cell r="AA287">
            <v>1497.5561333333333</v>
          </cell>
          <cell r="AB287">
            <v>9.9837075555555543</v>
          </cell>
        </row>
        <row r="288">
          <cell r="A288" t="str">
            <v>TerraTill Bed w/roll4R-36</v>
          </cell>
          <cell r="B288" t="str">
            <v>TerraTill Bed w/roll</v>
          </cell>
          <cell r="C288" t="str">
            <v>4R-36</v>
          </cell>
          <cell r="D288">
            <v>12</v>
          </cell>
          <cell r="E288">
            <v>4.75</v>
          </cell>
          <cell r="F288">
            <v>0.85</v>
          </cell>
          <cell r="G288">
            <v>0.17027863777089783</v>
          </cell>
          <cell r="H288">
            <v>11308</v>
          </cell>
          <cell r="I288">
            <v>30</v>
          </cell>
          <cell r="J288">
            <v>65</v>
          </cell>
          <cell r="K288">
            <v>12</v>
          </cell>
          <cell r="L288">
            <v>150</v>
          </cell>
          <cell r="M288">
            <v>0</v>
          </cell>
          <cell r="N288">
            <v>1800</v>
          </cell>
          <cell r="O288">
            <v>1</v>
          </cell>
          <cell r="P288">
            <v>0.27</v>
          </cell>
          <cell r="Q288">
            <v>1.4</v>
          </cell>
          <cell r="R288">
            <v>214.42594199532414</v>
          </cell>
          <cell r="S288">
            <v>1.4295062799688276</v>
          </cell>
          <cell r="T288">
            <v>612.51666666666665</v>
          </cell>
          <cell r="U288">
            <v>4.083444444444444</v>
          </cell>
          <cell r="V288">
            <v>3392.4</v>
          </cell>
          <cell r="W288">
            <v>659.63333333333333</v>
          </cell>
          <cell r="X288">
            <v>7350.2</v>
          </cell>
          <cell r="Y288">
            <v>661.51799999999992</v>
          </cell>
          <cell r="Z288">
            <v>176.40479999999999</v>
          </cell>
          <cell r="AA288">
            <v>1497.5561333333333</v>
          </cell>
          <cell r="AB288">
            <v>9.9837075555555543</v>
          </cell>
        </row>
        <row r="289">
          <cell r="A289" t="str">
            <v>TerraTill Bed w/roll6R30</v>
          </cell>
          <cell r="B289" t="str">
            <v>TerraTill Bed w/roll</v>
          </cell>
          <cell r="C289" t="str">
            <v>6R30</v>
          </cell>
          <cell r="D289">
            <v>15</v>
          </cell>
          <cell r="E289">
            <v>4.75</v>
          </cell>
          <cell r="F289">
            <v>0.85</v>
          </cell>
          <cell r="G289">
            <v>0.13622291021671826</v>
          </cell>
          <cell r="H289">
            <v>15310</v>
          </cell>
          <cell r="I289">
            <v>30</v>
          </cell>
          <cell r="J289">
            <v>65</v>
          </cell>
          <cell r="K289">
            <v>12</v>
          </cell>
          <cell r="L289">
            <v>150</v>
          </cell>
          <cell r="M289">
            <v>0</v>
          </cell>
          <cell r="N289">
            <v>1800</v>
          </cell>
          <cell r="O289">
            <v>1</v>
          </cell>
          <cell r="P289">
            <v>0.27</v>
          </cell>
          <cell r="Q289">
            <v>1.4</v>
          </cell>
          <cell r="R289">
            <v>290.31315634492501</v>
          </cell>
          <cell r="S289">
            <v>1.9354210422995</v>
          </cell>
          <cell r="T289">
            <v>829.29166666666663</v>
          </cell>
          <cell r="U289">
            <v>5.5286111111111111</v>
          </cell>
          <cell r="V289">
            <v>4593</v>
          </cell>
          <cell r="W289">
            <v>893.08333333333337</v>
          </cell>
          <cell r="X289">
            <v>9951.5</v>
          </cell>
          <cell r="Y289">
            <v>895.63499999999999</v>
          </cell>
          <cell r="Z289">
            <v>238.83600000000001</v>
          </cell>
          <cell r="AA289">
            <v>2027.5543333333335</v>
          </cell>
          <cell r="AB289">
            <v>13.517028888888889</v>
          </cell>
        </row>
        <row r="290">
          <cell r="A290" t="str">
            <v>TerraTill Bed w/roll6R-36</v>
          </cell>
          <cell r="B290" t="str">
            <v>TerraTill Bed w/roll</v>
          </cell>
          <cell r="C290" t="str">
            <v>6R-36</v>
          </cell>
          <cell r="D290">
            <v>18</v>
          </cell>
          <cell r="E290">
            <v>4.75</v>
          </cell>
          <cell r="F290">
            <v>0.85</v>
          </cell>
          <cell r="G290">
            <v>0.11351909184726523</v>
          </cell>
          <cell r="H290">
            <v>15310</v>
          </cell>
          <cell r="I290">
            <v>30</v>
          </cell>
          <cell r="J290">
            <v>65</v>
          </cell>
          <cell r="K290">
            <v>12</v>
          </cell>
          <cell r="L290">
            <v>150</v>
          </cell>
          <cell r="M290">
            <v>0</v>
          </cell>
          <cell r="N290">
            <v>1800</v>
          </cell>
          <cell r="O290">
            <v>1</v>
          </cell>
          <cell r="P290">
            <v>0.27</v>
          </cell>
          <cell r="Q290">
            <v>1.4</v>
          </cell>
          <cell r="R290">
            <v>290.31315634492501</v>
          </cell>
          <cell r="S290">
            <v>1.9354210422995</v>
          </cell>
          <cell r="T290">
            <v>829.29166666666663</v>
          </cell>
          <cell r="U290">
            <v>5.5286111111111111</v>
          </cell>
          <cell r="V290">
            <v>4593</v>
          </cell>
          <cell r="W290">
            <v>893.08333333333337</v>
          </cell>
          <cell r="X290">
            <v>9951.5</v>
          </cell>
          <cell r="Y290">
            <v>895.63499999999999</v>
          </cell>
          <cell r="Z290">
            <v>238.83600000000001</v>
          </cell>
          <cell r="AA290">
            <v>2027.5543333333335</v>
          </cell>
          <cell r="AB290">
            <v>13.517028888888889</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7">
          <cell r="A307" t="str">
            <v>Boll Buggy 2R 40"</v>
          </cell>
          <cell r="B307" t="str">
            <v>Boll Buggy</v>
          </cell>
          <cell r="C307" t="str">
            <v>2R 40"</v>
          </cell>
          <cell r="D307">
            <v>6.666666666666667</v>
          </cell>
          <cell r="E307">
            <v>3.6</v>
          </cell>
          <cell r="F307">
            <v>0.7</v>
          </cell>
          <cell r="G307">
            <v>2.0363636363636362E-2</v>
          </cell>
          <cell r="H307">
            <v>25614</v>
          </cell>
          <cell r="I307">
            <v>35</v>
          </cell>
          <cell r="J307">
            <v>50</v>
          </cell>
          <cell r="K307">
            <v>10</v>
          </cell>
          <cell r="L307">
            <v>200</v>
          </cell>
          <cell r="N307">
            <v>2000</v>
          </cell>
          <cell r="O307">
            <v>1</v>
          </cell>
          <cell r="P307">
            <v>0.32</v>
          </cell>
          <cell r="Q307">
            <v>2.1</v>
          </cell>
          <cell r="R307">
            <v>279.1196259257265</v>
          </cell>
          <cell r="S307">
            <v>1.3955981296286324</v>
          </cell>
          <cell r="T307">
            <v>1280.7</v>
          </cell>
          <cell r="U307">
            <v>6.4035000000000002</v>
          </cell>
          <cell r="V307">
            <v>8964.9</v>
          </cell>
          <cell r="W307">
            <v>1664.9099999999999</v>
          </cell>
          <cell r="X307">
            <v>17289.45</v>
          </cell>
          <cell r="Y307">
            <v>1556.0505000000001</v>
          </cell>
          <cell r="Z307">
            <v>414.94680000000005</v>
          </cell>
          <cell r="AA307">
            <v>3635.9072999999999</v>
          </cell>
          <cell r="AB307">
            <v>18.179536499999998</v>
          </cell>
        </row>
        <row r="308">
          <cell r="A308" t="str">
            <v>Boll Buggy 4R 30"</v>
          </cell>
          <cell r="B308" t="str">
            <v>Boll Buggy</v>
          </cell>
          <cell r="C308" t="str">
            <v>4R 30"</v>
          </cell>
          <cell r="D308">
            <v>10</v>
          </cell>
          <cell r="E308">
            <v>3.6</v>
          </cell>
          <cell r="F308">
            <v>0.7</v>
          </cell>
          <cell r="G308">
            <v>3.0545454545454546E-2</v>
          </cell>
          <cell r="H308">
            <v>25614</v>
          </cell>
          <cell r="I308">
            <v>35</v>
          </cell>
          <cell r="J308">
            <v>50</v>
          </cell>
          <cell r="K308">
            <v>10</v>
          </cell>
          <cell r="L308">
            <v>200</v>
          </cell>
          <cell r="N308">
            <v>2000</v>
          </cell>
          <cell r="O308">
            <v>1</v>
          </cell>
          <cell r="P308">
            <v>0.32</v>
          </cell>
          <cell r="Q308">
            <v>2.1</v>
          </cell>
          <cell r="R308">
            <v>279.1196259257265</v>
          </cell>
          <cell r="S308">
            <v>1.3955981296286324</v>
          </cell>
          <cell r="T308">
            <v>1280.7</v>
          </cell>
          <cell r="U308">
            <v>6.4035000000000002</v>
          </cell>
          <cell r="V308">
            <v>8964.9</v>
          </cell>
          <cell r="W308">
            <v>1664.9099999999999</v>
          </cell>
          <cell r="X308">
            <v>17289.45</v>
          </cell>
          <cell r="Y308">
            <v>1556.0505000000001</v>
          </cell>
          <cell r="Z308">
            <v>414.94680000000005</v>
          </cell>
          <cell r="AA308">
            <v>3635.9072999999999</v>
          </cell>
          <cell r="AB308">
            <v>18.179536499999998</v>
          </cell>
        </row>
        <row r="309">
          <cell r="A309" t="str">
            <v>Boll Buggy 4R 40"</v>
          </cell>
          <cell r="B309" t="str">
            <v>Boll Buggy</v>
          </cell>
          <cell r="C309" t="str">
            <v>4R 40"</v>
          </cell>
          <cell r="D309">
            <v>13.333333333333334</v>
          </cell>
          <cell r="E309">
            <v>3.6</v>
          </cell>
          <cell r="F309">
            <v>0.7</v>
          </cell>
          <cell r="G309">
            <v>4.0727272727272723E-2</v>
          </cell>
          <cell r="H309">
            <v>25614</v>
          </cell>
          <cell r="I309">
            <v>35</v>
          </cell>
          <cell r="J309">
            <v>50</v>
          </cell>
          <cell r="K309">
            <v>10</v>
          </cell>
          <cell r="L309">
            <v>200</v>
          </cell>
          <cell r="N309">
            <v>2000</v>
          </cell>
          <cell r="O309">
            <v>1</v>
          </cell>
          <cell r="P309">
            <v>0.32</v>
          </cell>
          <cell r="Q309">
            <v>2.1</v>
          </cell>
          <cell r="R309">
            <v>279.1196259257265</v>
          </cell>
          <cell r="S309">
            <v>1.3955981296286324</v>
          </cell>
          <cell r="T309">
            <v>1280.7</v>
          </cell>
          <cell r="U309">
            <v>6.4035000000000002</v>
          </cell>
          <cell r="V309">
            <v>8964.9</v>
          </cell>
          <cell r="W309">
            <v>1664.9099999999999</v>
          </cell>
          <cell r="X309">
            <v>17289.45</v>
          </cell>
          <cell r="Y309">
            <v>1556.0505000000001</v>
          </cell>
          <cell r="Z309">
            <v>414.94680000000005</v>
          </cell>
          <cell r="AA309">
            <v>3635.9072999999999</v>
          </cell>
          <cell r="AB309">
            <v>18.179536499999998</v>
          </cell>
        </row>
        <row r="310">
          <cell r="A310" t="str">
            <v>Boll Buggy 5R 30"</v>
          </cell>
          <cell r="B310" t="str">
            <v>Boll Buggy</v>
          </cell>
          <cell r="C310" t="str">
            <v>5R 30"</v>
          </cell>
          <cell r="D310">
            <v>12.5</v>
          </cell>
          <cell r="E310">
            <v>3.6</v>
          </cell>
          <cell r="F310">
            <v>0.7</v>
          </cell>
          <cell r="G310">
            <v>3.8181818181818185E-2</v>
          </cell>
          <cell r="H310">
            <v>25614</v>
          </cell>
          <cell r="I310">
            <v>35</v>
          </cell>
          <cell r="J310">
            <v>50</v>
          </cell>
          <cell r="K310">
            <v>10</v>
          </cell>
          <cell r="L310">
            <v>200</v>
          </cell>
          <cell r="N310">
            <v>2000</v>
          </cell>
          <cell r="O310">
            <v>1</v>
          </cell>
          <cell r="P310">
            <v>0.32</v>
          </cell>
          <cell r="Q310">
            <v>2.1</v>
          </cell>
          <cell r="R310">
            <v>279.1196259257265</v>
          </cell>
          <cell r="S310">
            <v>1.3955981296286324</v>
          </cell>
          <cell r="T310">
            <v>1280.7</v>
          </cell>
          <cell r="U310">
            <v>6.4035000000000002</v>
          </cell>
          <cell r="V310">
            <v>8964.9</v>
          </cell>
          <cell r="W310">
            <v>1664.9099999999999</v>
          </cell>
          <cell r="X310">
            <v>17289.45</v>
          </cell>
          <cell r="Y310">
            <v>1556.0505000000001</v>
          </cell>
          <cell r="Z310">
            <v>414.94680000000005</v>
          </cell>
          <cell r="AA310">
            <v>3635.9072999999999</v>
          </cell>
          <cell r="AB310">
            <v>18.179536499999998</v>
          </cell>
        </row>
        <row r="311">
          <cell r="A311" t="str">
            <v>Boll Buggy 5R 40"</v>
          </cell>
          <cell r="B311" t="str">
            <v>Boll Buggy</v>
          </cell>
          <cell r="C311" t="str">
            <v>5R 40"</v>
          </cell>
          <cell r="D311">
            <v>16.666666666666668</v>
          </cell>
          <cell r="E311">
            <v>3.6</v>
          </cell>
          <cell r="F311">
            <v>0.7</v>
          </cell>
          <cell r="G311">
            <v>5.0909090909090918E-2</v>
          </cell>
          <cell r="H311">
            <v>25614</v>
          </cell>
          <cell r="I311">
            <v>35</v>
          </cell>
          <cell r="J311">
            <v>50</v>
          </cell>
          <cell r="K311">
            <v>10</v>
          </cell>
          <cell r="L311">
            <v>200</v>
          </cell>
          <cell r="N311">
            <v>2000</v>
          </cell>
          <cell r="O311">
            <v>1</v>
          </cell>
          <cell r="P311">
            <v>0.32</v>
          </cell>
          <cell r="Q311">
            <v>2.1</v>
          </cell>
          <cell r="R311">
            <v>279.1196259257265</v>
          </cell>
          <cell r="S311">
            <v>1.3955981296286324</v>
          </cell>
          <cell r="T311">
            <v>1280.7</v>
          </cell>
          <cell r="U311">
            <v>6.4035000000000002</v>
          </cell>
          <cell r="V311">
            <v>8964.9</v>
          </cell>
          <cell r="W311">
            <v>1664.9099999999999</v>
          </cell>
          <cell r="X311">
            <v>17289.45</v>
          </cell>
          <cell r="Y311">
            <v>1556.0505000000001</v>
          </cell>
          <cell r="Z311">
            <v>414.94680000000005</v>
          </cell>
          <cell r="AA311">
            <v>3635.9072999999999</v>
          </cell>
          <cell r="AB311">
            <v>18.179536499999998</v>
          </cell>
        </row>
        <row r="312">
          <cell r="A312" t="str">
            <v>Boll Buggy 6R 30"</v>
          </cell>
          <cell r="B312" t="str">
            <v>Boll Buggy</v>
          </cell>
          <cell r="C312" t="str">
            <v>6R 30"</v>
          </cell>
          <cell r="D312">
            <v>15</v>
          </cell>
          <cell r="E312">
            <v>3.6</v>
          </cell>
          <cell r="F312">
            <v>0.7</v>
          </cell>
          <cell r="G312">
            <v>4.5818181818181813E-2</v>
          </cell>
          <cell r="H312">
            <v>25614</v>
          </cell>
          <cell r="I312">
            <v>35</v>
          </cell>
          <cell r="J312">
            <v>50</v>
          </cell>
          <cell r="K312">
            <v>10</v>
          </cell>
          <cell r="L312">
            <v>200</v>
          </cell>
          <cell r="N312">
            <v>2000</v>
          </cell>
          <cell r="O312">
            <v>1</v>
          </cell>
          <cell r="P312">
            <v>0.32</v>
          </cell>
          <cell r="Q312">
            <v>2.1</v>
          </cell>
          <cell r="R312">
            <v>279.1196259257265</v>
          </cell>
          <cell r="S312">
            <v>1.3955981296286324</v>
          </cell>
          <cell r="T312">
            <v>1280.7</v>
          </cell>
          <cell r="U312">
            <v>6.4035000000000002</v>
          </cell>
          <cell r="V312">
            <v>8964.9</v>
          </cell>
          <cell r="W312">
            <v>1664.9099999999999</v>
          </cell>
          <cell r="X312">
            <v>17289.45</v>
          </cell>
          <cell r="Y312">
            <v>1556.0505000000001</v>
          </cell>
          <cell r="Z312">
            <v>414.94680000000005</v>
          </cell>
          <cell r="AA312">
            <v>3635.9072999999999</v>
          </cell>
          <cell r="AB312">
            <v>18.179536499999998</v>
          </cell>
        </row>
        <row r="313">
          <cell r="A313" t="str">
            <v>Boll Buggy 6R 40"</v>
          </cell>
          <cell r="B313" t="str">
            <v>Boll Buggy</v>
          </cell>
          <cell r="C313" t="str">
            <v>6R 40"</v>
          </cell>
          <cell r="D313">
            <v>20</v>
          </cell>
          <cell r="E313">
            <v>3.6</v>
          </cell>
          <cell r="F313">
            <v>0.7</v>
          </cell>
          <cell r="G313">
            <v>6.1090909090909092E-2</v>
          </cell>
          <cell r="H313">
            <v>25614</v>
          </cell>
          <cell r="I313">
            <v>35</v>
          </cell>
          <cell r="J313">
            <v>50</v>
          </cell>
          <cell r="K313">
            <v>10</v>
          </cell>
          <cell r="L313">
            <v>200</v>
          </cell>
          <cell r="N313">
            <v>2000</v>
          </cell>
          <cell r="O313">
            <v>1</v>
          </cell>
          <cell r="P313">
            <v>0.32</v>
          </cell>
          <cell r="Q313">
            <v>2.1</v>
          </cell>
          <cell r="R313">
            <v>279.1196259257265</v>
          </cell>
          <cell r="S313">
            <v>1.3955981296286324</v>
          </cell>
          <cell r="T313">
            <v>1280.7</v>
          </cell>
          <cell r="U313">
            <v>6.4035000000000002</v>
          </cell>
          <cell r="V313">
            <v>8964.9</v>
          </cell>
          <cell r="W313">
            <v>1664.9099999999999</v>
          </cell>
          <cell r="X313">
            <v>17289.45</v>
          </cell>
          <cell r="Y313">
            <v>1556.0505000000001</v>
          </cell>
          <cell r="Z313">
            <v>414.94680000000005</v>
          </cell>
          <cell r="AA313">
            <v>3635.9072999999999</v>
          </cell>
          <cell r="AB313">
            <v>18.179536499999998</v>
          </cell>
        </row>
        <row r="314">
          <cell r="A314" t="str">
            <v>Corn Grain Cart 8R36500 bu</v>
          </cell>
          <cell r="B314" t="str">
            <v>Corn Grain Cart 8R36</v>
          </cell>
          <cell r="C314" t="str">
            <v>500 bu</v>
          </cell>
          <cell r="D314">
            <v>24</v>
          </cell>
          <cell r="E314">
            <v>3.8</v>
          </cell>
          <cell r="F314">
            <v>0.85</v>
          </cell>
          <cell r="G314">
            <v>9.3963636363636346E-2</v>
          </cell>
          <cell r="H314">
            <v>14774</v>
          </cell>
          <cell r="I314">
            <v>30</v>
          </cell>
          <cell r="J314">
            <v>65</v>
          </cell>
          <cell r="K314">
            <v>12</v>
          </cell>
          <cell r="L314">
            <v>200</v>
          </cell>
          <cell r="N314">
            <v>2400</v>
          </cell>
          <cell r="O314">
            <v>1</v>
          </cell>
          <cell r="P314">
            <v>0.32</v>
          </cell>
          <cell r="Q314">
            <v>2.1</v>
          </cell>
          <cell r="R314">
            <v>160.99450899612256</v>
          </cell>
          <cell r="S314">
            <v>0.80497254498061277</v>
          </cell>
          <cell r="T314">
            <v>800.25833333333333</v>
          </cell>
          <cell r="U314">
            <v>4.0012916666666669</v>
          </cell>
          <cell r="V314">
            <v>4432.2</v>
          </cell>
          <cell r="W314">
            <v>861.81666666666661</v>
          </cell>
          <cell r="X314">
            <v>9603.1</v>
          </cell>
          <cell r="Y314">
            <v>864.279</v>
          </cell>
          <cell r="Z314">
            <v>230.4744</v>
          </cell>
          <cell r="AA314">
            <v>1956.5700666666667</v>
          </cell>
          <cell r="AB314">
            <v>9.7828503333333341</v>
          </cell>
        </row>
        <row r="315">
          <cell r="A315" t="str">
            <v>Corn Grain Cart 8R36700bu</v>
          </cell>
          <cell r="B315" t="str">
            <v>Corn Grain Cart 8R36</v>
          </cell>
          <cell r="C315" t="str">
            <v>700bu</v>
          </cell>
          <cell r="D315">
            <v>24</v>
          </cell>
          <cell r="E315">
            <v>3.8</v>
          </cell>
          <cell r="F315">
            <v>0.85</v>
          </cell>
          <cell r="G315">
            <v>9.3963636363636346E-2</v>
          </cell>
          <cell r="H315">
            <v>19783</v>
          </cell>
          <cell r="I315">
            <v>30</v>
          </cell>
          <cell r="J315">
            <v>65</v>
          </cell>
          <cell r="K315">
            <v>12</v>
          </cell>
          <cell r="L315">
            <v>200</v>
          </cell>
          <cell r="N315">
            <v>2400</v>
          </cell>
          <cell r="O315">
            <v>1</v>
          </cell>
          <cell r="P315">
            <v>0.32</v>
          </cell>
          <cell r="Q315">
            <v>2.1</v>
          </cell>
          <cell r="R315">
            <v>215.57833839652722</v>
          </cell>
          <cell r="S315">
            <v>1.077891691982636</v>
          </cell>
          <cell r="T315">
            <v>1071.5791666666667</v>
          </cell>
          <cell r="U315">
            <v>5.3578958333333331</v>
          </cell>
          <cell r="V315">
            <v>5934.9</v>
          </cell>
          <cell r="W315">
            <v>1154.0083333333334</v>
          </cell>
          <cell r="X315">
            <v>12858.95</v>
          </cell>
          <cell r="Y315">
            <v>1157.3054999999999</v>
          </cell>
          <cell r="Z315">
            <v>308.6148</v>
          </cell>
          <cell r="AA315">
            <v>2619.9286333333334</v>
          </cell>
          <cell r="AB315">
            <v>13.099643166666667</v>
          </cell>
        </row>
        <row r="316">
          <cell r="A316" t="str">
            <v>Hay Baler-Lg Round</v>
          </cell>
          <cell r="B316" t="str">
            <v>Hay Baler-</v>
          </cell>
          <cell r="C316" t="str">
            <v>Lg Round</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G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G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3.8</v>
          </cell>
          <cell r="F332">
            <v>0.85</v>
          </cell>
          <cell r="G332">
            <v>0.19204357643334344</v>
          </cell>
          <cell r="H332">
            <v>54754</v>
          </cell>
          <cell r="I332">
            <v>40</v>
          </cell>
          <cell r="J332">
            <v>60</v>
          </cell>
          <cell r="K332">
            <v>8</v>
          </cell>
          <cell r="L332">
            <v>300</v>
          </cell>
          <cell r="M332">
            <v>0</v>
          </cell>
          <cell r="N332">
            <v>2400</v>
          </cell>
          <cell r="O332">
            <v>1</v>
          </cell>
          <cell r="P332">
            <v>0.32</v>
          </cell>
          <cell r="Q332">
            <v>2.1</v>
          </cell>
          <cell r="R332">
            <v>1398.0427924621729</v>
          </cell>
          <cell r="S332">
            <v>4.6601426415405767</v>
          </cell>
          <cell r="T332">
            <v>4106.55</v>
          </cell>
          <cell r="U332">
            <v>13.688500000000001</v>
          </cell>
          <cell r="V332">
            <v>21901.599999999999</v>
          </cell>
          <cell r="W332">
            <v>4106.55</v>
          </cell>
          <cell r="X332">
            <v>38327.800000000003</v>
          </cell>
          <cell r="Y332">
            <v>3449.502</v>
          </cell>
          <cell r="Z332">
            <v>919.86720000000014</v>
          </cell>
          <cell r="AA332">
            <v>8475.9192000000003</v>
          </cell>
          <cell r="AB332">
            <v>28.253064000000002</v>
          </cell>
        </row>
        <row r="333">
          <cell r="A333" t="str">
            <v>Header - Corn12R 30"</v>
          </cell>
          <cell r="B333" t="str">
            <v>Header - Corn</v>
          </cell>
          <cell r="C333" t="str">
            <v>12R 30"</v>
          </cell>
          <cell r="D333">
            <v>15</v>
          </cell>
          <cell r="E333">
            <v>3.8</v>
          </cell>
          <cell r="F333">
            <v>0.85</v>
          </cell>
          <cell r="G333">
            <v>0.17027863777089783</v>
          </cell>
          <cell r="H333">
            <v>60328</v>
          </cell>
          <cell r="I333">
            <v>40</v>
          </cell>
          <cell r="J333">
            <v>60</v>
          </cell>
          <cell r="K333">
            <v>8</v>
          </cell>
          <cell r="L333">
            <v>300</v>
          </cell>
          <cell r="M333">
            <v>0</v>
          </cell>
          <cell r="N333">
            <v>2400</v>
          </cell>
          <cell r="O333">
            <v>1</v>
          </cell>
          <cell r="P333">
            <v>0.32</v>
          </cell>
          <cell r="Q333">
            <v>2.1</v>
          </cell>
          <cell r="R333">
            <v>1540.3646415541873</v>
          </cell>
          <cell r="S333">
            <v>5.1345488051806241</v>
          </cell>
          <cell r="T333">
            <v>4524.6000000000004</v>
          </cell>
          <cell r="U333">
            <v>15.082000000000001</v>
          </cell>
          <cell r="V333">
            <v>24131.200000000001</v>
          </cell>
          <cell r="W333">
            <v>4524.6000000000004</v>
          </cell>
          <cell r="X333">
            <v>42229.599999999999</v>
          </cell>
          <cell r="Y333">
            <v>3800.6639999999998</v>
          </cell>
          <cell r="Z333">
            <v>1013.5104</v>
          </cell>
          <cell r="AA333">
            <v>9338.7744000000002</v>
          </cell>
          <cell r="AB333">
            <v>31.129248</v>
          </cell>
        </row>
        <row r="334">
          <cell r="A334" t="str">
            <v>Header - Corn4R 36"</v>
          </cell>
          <cell r="B334" t="str">
            <v>Header - Corn</v>
          </cell>
          <cell r="C334" t="str">
            <v>4R 36"</v>
          </cell>
          <cell r="D334">
            <v>12</v>
          </cell>
          <cell r="E334">
            <v>3.8</v>
          </cell>
          <cell r="F334">
            <v>0.85</v>
          </cell>
          <cell r="G334">
            <v>0.21284829721362233</v>
          </cell>
          <cell r="H334">
            <v>22681</v>
          </cell>
          <cell r="I334">
            <v>40</v>
          </cell>
          <cell r="J334">
            <v>60</v>
          </cell>
          <cell r="K334">
            <v>8</v>
          </cell>
          <cell r="L334">
            <v>300</v>
          </cell>
          <cell r="M334">
            <v>0</v>
          </cell>
          <cell r="N334">
            <v>2400</v>
          </cell>
          <cell r="O334">
            <v>1</v>
          </cell>
          <cell r="P334">
            <v>0.32</v>
          </cell>
          <cell r="Q334">
            <v>2.1</v>
          </cell>
          <cell r="R334">
            <v>579.11766402152432</v>
          </cell>
          <cell r="S334">
            <v>1.930392213405081</v>
          </cell>
          <cell r="T334">
            <v>1701.075</v>
          </cell>
          <cell r="U334">
            <v>5.6702500000000002</v>
          </cell>
          <cell r="V334">
            <v>9072.4</v>
          </cell>
          <cell r="W334">
            <v>1701.075</v>
          </cell>
          <cell r="X334">
            <v>15876.7</v>
          </cell>
          <cell r="Y334">
            <v>1428.903</v>
          </cell>
          <cell r="Z334">
            <v>381.04080000000005</v>
          </cell>
          <cell r="AA334">
            <v>3511.0187999999998</v>
          </cell>
          <cell r="AB334">
            <v>11.703396</v>
          </cell>
        </row>
        <row r="335">
          <cell r="A335" t="str">
            <v>Header - Corn6R 30"</v>
          </cell>
          <cell r="B335" t="str">
            <v>Header - Corn</v>
          </cell>
          <cell r="C335" t="str">
            <v>6R 30"</v>
          </cell>
          <cell r="D335">
            <v>20</v>
          </cell>
          <cell r="E335">
            <v>3.8</v>
          </cell>
          <cell r="F335">
            <v>0.85</v>
          </cell>
          <cell r="G335">
            <v>0.12770897832817338</v>
          </cell>
          <cell r="H335">
            <v>29750</v>
          </cell>
          <cell r="I335">
            <v>40</v>
          </cell>
          <cell r="J335">
            <v>60</v>
          </cell>
          <cell r="K335">
            <v>8</v>
          </cell>
          <cell r="L335">
            <v>300</v>
          </cell>
          <cell r="M335">
            <v>0</v>
          </cell>
          <cell r="N335">
            <v>2400</v>
          </cell>
          <cell r="O335">
            <v>1</v>
          </cell>
          <cell r="P335">
            <v>0.32</v>
          </cell>
          <cell r="Q335">
            <v>2.1</v>
          </cell>
          <cell r="R335">
            <v>759.61159140427446</v>
          </cell>
          <cell r="S335">
            <v>2.5320386380142481</v>
          </cell>
          <cell r="T335">
            <v>2231.25</v>
          </cell>
          <cell r="U335">
            <v>7.4375</v>
          </cell>
          <cell r="V335">
            <v>11900</v>
          </cell>
          <cell r="W335">
            <v>2231.25</v>
          </cell>
          <cell r="X335">
            <v>20825</v>
          </cell>
          <cell r="Y335">
            <v>1874.25</v>
          </cell>
          <cell r="Z335">
            <v>499.8</v>
          </cell>
          <cell r="AA335">
            <v>4605.3</v>
          </cell>
          <cell r="AB335">
            <v>15.351000000000001</v>
          </cell>
        </row>
        <row r="336">
          <cell r="A336" t="str">
            <v>Header - Corn6R 36"</v>
          </cell>
          <cell r="B336" t="str">
            <v>Header - Corn</v>
          </cell>
          <cell r="C336" t="str">
            <v>6R 36"</v>
          </cell>
          <cell r="D336">
            <v>18</v>
          </cell>
          <cell r="E336">
            <v>3.5</v>
          </cell>
          <cell r="F336">
            <v>0.8</v>
          </cell>
          <cell r="G336">
            <v>0.16369047619047619</v>
          </cell>
          <cell r="H336">
            <v>32388</v>
          </cell>
          <cell r="I336">
            <v>40</v>
          </cell>
          <cell r="J336">
            <v>60</v>
          </cell>
          <cell r="K336">
            <v>12</v>
          </cell>
          <cell r="L336">
            <v>200</v>
          </cell>
          <cell r="M336">
            <v>0</v>
          </cell>
          <cell r="N336">
            <v>2400</v>
          </cell>
          <cell r="O336">
            <v>1</v>
          </cell>
          <cell r="P336">
            <v>0.32</v>
          </cell>
          <cell r="Q336">
            <v>2.1</v>
          </cell>
          <cell r="R336">
            <v>352.93692685572069</v>
          </cell>
          <cell r="S336">
            <v>1.7646846342786033</v>
          </cell>
          <cell r="T336">
            <v>1619.3999999999999</v>
          </cell>
          <cell r="U336">
            <v>8.0969999999999995</v>
          </cell>
          <cell r="V336">
            <v>12955.2</v>
          </cell>
          <cell r="W336">
            <v>1619.3999999999999</v>
          </cell>
          <cell r="X336">
            <v>22671.599999999999</v>
          </cell>
          <cell r="Y336">
            <v>2040.4439999999997</v>
          </cell>
          <cell r="Z336">
            <v>544.11839999999995</v>
          </cell>
          <cell r="AA336">
            <v>4203.9623999999994</v>
          </cell>
          <cell r="AB336">
            <v>21.019811999999998</v>
          </cell>
        </row>
        <row r="337">
          <cell r="A337" t="str">
            <v>Header - Corn8R 30"</v>
          </cell>
          <cell r="B337" t="str">
            <v>Header - Corn</v>
          </cell>
          <cell r="C337" t="str">
            <v>8R 30"</v>
          </cell>
          <cell r="D337">
            <v>20</v>
          </cell>
          <cell r="E337">
            <v>3.5</v>
          </cell>
          <cell r="F337">
            <v>0.8</v>
          </cell>
          <cell r="G337">
            <v>0.14732142857142858</v>
          </cell>
          <cell r="H337">
            <v>39099</v>
          </cell>
          <cell r="I337">
            <v>40</v>
          </cell>
          <cell r="J337">
            <v>60</v>
          </cell>
          <cell r="K337">
            <v>12</v>
          </cell>
          <cell r="L337">
            <v>200</v>
          </cell>
          <cell r="M337">
            <v>0</v>
          </cell>
          <cell r="N337">
            <v>2400</v>
          </cell>
          <cell r="O337">
            <v>1</v>
          </cell>
          <cell r="P337">
            <v>0.32</v>
          </cell>
          <cell r="Q337">
            <v>2.1</v>
          </cell>
          <cell r="R337">
            <v>426.06770727219413</v>
          </cell>
          <cell r="S337">
            <v>2.1303385363609708</v>
          </cell>
          <cell r="T337">
            <v>1954.95</v>
          </cell>
          <cell r="U337">
            <v>9.7747500000000009</v>
          </cell>
          <cell r="V337">
            <v>15639.6</v>
          </cell>
          <cell r="W337">
            <v>1954.95</v>
          </cell>
          <cell r="X337">
            <v>27369.3</v>
          </cell>
          <cell r="Y337">
            <v>2463.2369999999996</v>
          </cell>
          <cell r="Z337">
            <v>656.86320000000001</v>
          </cell>
          <cell r="AA337">
            <v>5075.0501999999997</v>
          </cell>
          <cell r="AB337">
            <v>25.375250999999999</v>
          </cell>
        </row>
        <row r="338">
          <cell r="A338" t="str">
            <v>Header - Corn8R 36"</v>
          </cell>
          <cell r="B338" t="str">
            <v>Header - Corn</v>
          </cell>
          <cell r="C338" t="str">
            <v>8R 36"</v>
          </cell>
          <cell r="D338">
            <v>24</v>
          </cell>
          <cell r="E338">
            <v>3.5</v>
          </cell>
          <cell r="F338">
            <v>0.8</v>
          </cell>
          <cell r="G338">
            <v>0.12276785714285715</v>
          </cell>
          <cell r="H338">
            <v>41473</v>
          </cell>
          <cell r="I338">
            <v>40</v>
          </cell>
          <cell r="J338">
            <v>60</v>
          </cell>
          <cell r="K338">
            <v>12</v>
          </cell>
          <cell r="L338">
            <v>200</v>
          </cell>
          <cell r="M338">
            <v>0</v>
          </cell>
          <cell r="N338">
            <v>2400</v>
          </cell>
          <cell r="O338">
            <v>1</v>
          </cell>
          <cell r="P338">
            <v>0.32</v>
          </cell>
          <cell r="Q338">
            <v>2.1</v>
          </cell>
          <cell r="R338">
            <v>451.93754376581774</v>
          </cell>
          <cell r="S338">
            <v>2.2596877188290887</v>
          </cell>
          <cell r="T338">
            <v>2073.65</v>
          </cell>
          <cell r="U338">
            <v>10.36825</v>
          </cell>
          <cell r="V338">
            <v>16589.2</v>
          </cell>
          <cell r="W338">
            <v>2073.65</v>
          </cell>
          <cell r="X338">
            <v>29031.1</v>
          </cell>
          <cell r="Y338">
            <v>2612.799</v>
          </cell>
          <cell r="Z338">
            <v>696.74639999999999</v>
          </cell>
          <cell r="AA338">
            <v>5383.1954000000005</v>
          </cell>
          <cell r="AB338">
            <v>26.915977000000002</v>
          </cell>
        </row>
        <row r="339">
          <cell r="A339" t="str">
            <v>Header - Soybean15' Flex</v>
          </cell>
          <cell r="B339" t="str">
            <v>Header - Soybean</v>
          </cell>
          <cell r="C339" t="str">
            <v>15' Flex</v>
          </cell>
          <cell r="D339">
            <v>22</v>
          </cell>
          <cell r="E339">
            <v>3.8</v>
          </cell>
          <cell r="F339">
            <v>0.85</v>
          </cell>
          <cell r="G339">
            <v>0.11609907120743036</v>
          </cell>
          <cell r="H339">
            <v>15023</v>
          </cell>
          <cell r="I339">
            <v>40</v>
          </cell>
          <cell r="J339">
            <v>60</v>
          </cell>
          <cell r="K339">
            <v>8</v>
          </cell>
          <cell r="L339">
            <v>300</v>
          </cell>
          <cell r="M339">
            <v>0</v>
          </cell>
          <cell r="N339">
            <v>2400</v>
          </cell>
          <cell r="O339">
            <v>1</v>
          </cell>
          <cell r="P339">
            <v>0.32</v>
          </cell>
          <cell r="Q339">
            <v>2.1</v>
          </cell>
          <cell r="R339">
            <v>383.58470378710638</v>
          </cell>
          <cell r="S339">
            <v>1.2786156792903547</v>
          </cell>
          <cell r="T339">
            <v>1126.7249999999999</v>
          </cell>
          <cell r="U339">
            <v>3.7557499999999995</v>
          </cell>
          <cell r="V339">
            <v>6009.2</v>
          </cell>
          <cell r="W339">
            <v>1126.7249999999999</v>
          </cell>
          <cell r="X339">
            <v>10516.1</v>
          </cell>
          <cell r="Y339">
            <v>946.44899999999996</v>
          </cell>
          <cell r="Z339">
            <v>252.38640000000001</v>
          </cell>
          <cell r="AA339">
            <v>2325.5603999999998</v>
          </cell>
          <cell r="AB339">
            <v>7.7518679999999991</v>
          </cell>
        </row>
        <row r="340">
          <cell r="A340" t="str">
            <v>Header - Soybean18' Flex</v>
          </cell>
          <cell r="B340" t="str">
            <v>Header - Soybean</v>
          </cell>
          <cell r="C340" t="str">
            <v>18' Flex</v>
          </cell>
          <cell r="D340">
            <v>25</v>
          </cell>
          <cell r="E340">
            <v>3.8</v>
          </cell>
          <cell r="F340">
            <v>0.85</v>
          </cell>
          <cell r="G340">
            <v>0.10216718266253871</v>
          </cell>
          <cell r="H340">
            <v>18729</v>
          </cell>
          <cell r="I340">
            <v>40</v>
          </cell>
          <cell r="J340">
            <v>60</v>
          </cell>
          <cell r="K340">
            <v>8</v>
          </cell>
          <cell r="L340">
            <v>300</v>
          </cell>
          <cell r="M340">
            <v>0</v>
          </cell>
          <cell r="N340">
            <v>2400</v>
          </cell>
          <cell r="O340">
            <v>1</v>
          </cell>
          <cell r="P340">
            <v>0.32</v>
          </cell>
          <cell r="Q340">
            <v>2.1</v>
          </cell>
          <cell r="R340">
            <v>478.21060488775316</v>
          </cell>
          <cell r="S340">
            <v>1.5940353496258439</v>
          </cell>
          <cell r="T340">
            <v>1404.675</v>
          </cell>
          <cell r="U340">
            <v>4.6822499999999998</v>
          </cell>
          <cell r="V340">
            <v>7491.6</v>
          </cell>
          <cell r="W340">
            <v>1404.675</v>
          </cell>
          <cell r="X340">
            <v>13110.3</v>
          </cell>
          <cell r="Y340">
            <v>1179.9269999999999</v>
          </cell>
          <cell r="Z340">
            <v>314.6472</v>
          </cell>
          <cell r="AA340">
            <v>2899.2492000000002</v>
          </cell>
          <cell r="AB340">
            <v>9.6641640000000013</v>
          </cell>
        </row>
        <row r="341">
          <cell r="A341" t="str">
            <v>Header - Soybean22' Flex</v>
          </cell>
          <cell r="B341" t="str">
            <v>Header - Soybean</v>
          </cell>
          <cell r="C341" t="str">
            <v>22' Flex</v>
          </cell>
          <cell r="D341">
            <v>30</v>
          </cell>
          <cell r="E341">
            <v>3.8</v>
          </cell>
          <cell r="F341">
            <v>0.85</v>
          </cell>
          <cell r="G341">
            <v>8.5139318885448914E-2</v>
          </cell>
          <cell r="H341">
            <v>17376</v>
          </cell>
          <cell r="I341">
            <v>40</v>
          </cell>
          <cell r="J341">
            <v>60</v>
          </cell>
          <cell r="K341">
            <v>8</v>
          </cell>
          <cell r="L341">
            <v>300</v>
          </cell>
          <cell r="M341">
            <v>0</v>
          </cell>
          <cell r="N341">
            <v>2400</v>
          </cell>
          <cell r="O341">
            <v>1</v>
          </cell>
          <cell r="P341">
            <v>0.32</v>
          </cell>
          <cell r="Q341">
            <v>2.1</v>
          </cell>
          <cell r="R341">
            <v>443.66423570556884</v>
          </cell>
          <cell r="S341">
            <v>1.4788807856852295</v>
          </cell>
          <cell r="T341">
            <v>1303.2</v>
          </cell>
          <cell r="U341">
            <v>4.3440000000000003</v>
          </cell>
          <cell r="V341">
            <v>6950.4</v>
          </cell>
          <cell r="W341">
            <v>1303.2</v>
          </cell>
          <cell r="X341">
            <v>12163.2</v>
          </cell>
          <cell r="Y341">
            <v>1094.6880000000001</v>
          </cell>
          <cell r="Z341">
            <v>291.91680000000002</v>
          </cell>
          <cell r="AA341">
            <v>2689.8047999999999</v>
          </cell>
          <cell r="AB341">
            <v>8.9660159999999998</v>
          </cell>
        </row>
        <row r="342">
          <cell r="A342" t="str">
            <v>Header - Soybean25' Flex</v>
          </cell>
          <cell r="B342" t="str">
            <v>Header - Soybean</v>
          </cell>
          <cell r="C342" t="str">
            <v>25' Flex</v>
          </cell>
          <cell r="D342">
            <v>15</v>
          </cell>
          <cell r="E342">
            <v>3.8</v>
          </cell>
          <cell r="F342">
            <v>0.85</v>
          </cell>
          <cell r="G342">
            <v>0.17027863777089783</v>
          </cell>
          <cell r="H342">
            <v>19271</v>
          </cell>
          <cell r="I342">
            <v>40</v>
          </cell>
          <cell r="J342">
            <v>60</v>
          </cell>
          <cell r="K342">
            <v>8</v>
          </cell>
          <cell r="L342">
            <v>300</v>
          </cell>
          <cell r="M342">
            <v>0</v>
          </cell>
          <cell r="N342">
            <v>2400</v>
          </cell>
          <cell r="O342">
            <v>1</v>
          </cell>
          <cell r="P342">
            <v>0.32</v>
          </cell>
          <cell r="Q342">
            <v>2.1</v>
          </cell>
          <cell r="R342">
            <v>492.04957909081594</v>
          </cell>
          <cell r="S342">
            <v>1.6401652636360531</v>
          </cell>
          <cell r="T342">
            <v>1445.325</v>
          </cell>
          <cell r="U342">
            <v>4.8177500000000002</v>
          </cell>
          <cell r="V342">
            <v>7708.4</v>
          </cell>
          <cell r="W342">
            <v>1445.325</v>
          </cell>
          <cell r="X342">
            <v>13489.7</v>
          </cell>
          <cell r="Y342">
            <v>1214.0730000000001</v>
          </cell>
          <cell r="Z342">
            <v>323.75280000000004</v>
          </cell>
          <cell r="AA342">
            <v>2983.1508000000003</v>
          </cell>
          <cell r="AB342">
            <v>9.943836000000001</v>
          </cell>
        </row>
        <row r="343">
          <cell r="A343" t="str">
            <v>Header - Soybean30' Flex</v>
          </cell>
          <cell r="B343" t="str">
            <v>Header - Soybean</v>
          </cell>
          <cell r="C343" t="str">
            <v>30' Flex</v>
          </cell>
          <cell r="D343">
            <v>18</v>
          </cell>
          <cell r="E343">
            <v>3.8</v>
          </cell>
          <cell r="F343">
            <v>0.85</v>
          </cell>
          <cell r="G343">
            <v>0.14189886480908157</v>
          </cell>
          <cell r="H343">
            <v>22029</v>
          </cell>
          <cell r="I343">
            <v>40</v>
          </cell>
          <cell r="J343">
            <v>60</v>
          </cell>
          <cell r="K343">
            <v>8</v>
          </cell>
          <cell r="L343">
            <v>300</v>
          </cell>
          <cell r="M343">
            <v>0</v>
          </cell>
          <cell r="N343">
            <v>2400</v>
          </cell>
          <cell r="O343">
            <v>1</v>
          </cell>
          <cell r="P343">
            <v>0.32</v>
          </cell>
          <cell r="Q343">
            <v>2.1</v>
          </cell>
          <cell r="R343">
            <v>562.47004191747101</v>
          </cell>
          <cell r="S343">
            <v>1.8749001397249034</v>
          </cell>
          <cell r="T343">
            <v>1652.175</v>
          </cell>
          <cell r="U343">
            <v>5.50725</v>
          </cell>
          <cell r="V343">
            <v>8811.6</v>
          </cell>
          <cell r="W343">
            <v>1652.175</v>
          </cell>
          <cell r="X343">
            <v>15420.3</v>
          </cell>
          <cell r="Y343">
            <v>1387.8269999999998</v>
          </cell>
          <cell r="Z343">
            <v>370.0872</v>
          </cell>
          <cell r="AA343">
            <v>3410.0891999999994</v>
          </cell>
          <cell r="AB343">
            <v>11.366963999999998</v>
          </cell>
        </row>
        <row r="344">
          <cell r="A344" t="str">
            <v>Header Wheat/Sorghum18' Rigid</v>
          </cell>
          <cell r="B344" t="str">
            <v>Header Wheat/Sorghum</v>
          </cell>
          <cell r="C344" t="str">
            <v>18' Rigid</v>
          </cell>
          <cell r="D344">
            <v>22</v>
          </cell>
          <cell r="E344">
            <v>3.8</v>
          </cell>
          <cell r="F344">
            <v>0.85</v>
          </cell>
          <cell r="G344">
            <v>0.11609907120743036</v>
          </cell>
          <cell r="H344">
            <v>17184</v>
          </cell>
          <cell r="I344">
            <v>40</v>
          </cell>
          <cell r="J344">
            <v>60</v>
          </cell>
          <cell r="K344">
            <v>8</v>
          </cell>
          <cell r="L344">
            <v>300</v>
          </cell>
          <cell r="M344">
            <v>0</v>
          </cell>
          <cell r="N344">
            <v>2400</v>
          </cell>
          <cell r="O344">
            <v>1</v>
          </cell>
          <cell r="P344">
            <v>0.32</v>
          </cell>
          <cell r="Q344">
            <v>2.1</v>
          </cell>
          <cell r="R344">
            <v>438.76186846020346</v>
          </cell>
          <cell r="S344">
            <v>1.4625395615340115</v>
          </cell>
          <cell r="T344">
            <v>1288.8</v>
          </cell>
          <cell r="U344">
            <v>4.2960000000000003</v>
          </cell>
          <cell r="V344">
            <v>6873.6</v>
          </cell>
          <cell r="W344">
            <v>1288.8</v>
          </cell>
          <cell r="X344">
            <v>12028.8</v>
          </cell>
          <cell r="Y344">
            <v>1082.5919999999999</v>
          </cell>
          <cell r="Z344">
            <v>288.69119999999998</v>
          </cell>
          <cell r="AA344">
            <v>2660.0832</v>
          </cell>
          <cell r="AB344">
            <v>8.8669440000000002</v>
          </cell>
        </row>
        <row r="345">
          <cell r="A345" t="str">
            <v>Header Wheat/Sorghum22' Rigid</v>
          </cell>
          <cell r="B345" t="str">
            <v>Header Wheat/Sorghum</v>
          </cell>
          <cell r="C345" t="str">
            <v>22' Rigid</v>
          </cell>
          <cell r="D345">
            <v>25</v>
          </cell>
          <cell r="E345">
            <v>3.8</v>
          </cell>
          <cell r="F345">
            <v>0.85</v>
          </cell>
          <cell r="G345">
            <v>0.10216718266253871</v>
          </cell>
          <cell r="H345">
            <v>18225</v>
          </cell>
          <cell r="I345">
            <v>40</v>
          </cell>
          <cell r="J345">
            <v>60</v>
          </cell>
          <cell r="K345">
            <v>8</v>
          </cell>
          <cell r="L345">
            <v>300</v>
          </cell>
          <cell r="M345">
            <v>0</v>
          </cell>
          <cell r="N345">
            <v>2400</v>
          </cell>
          <cell r="O345">
            <v>1</v>
          </cell>
          <cell r="P345">
            <v>0.32</v>
          </cell>
          <cell r="Q345">
            <v>2.1</v>
          </cell>
          <cell r="R345">
            <v>465.341890868669</v>
          </cell>
          <cell r="S345">
            <v>1.5511396362288967</v>
          </cell>
          <cell r="T345">
            <v>1366.875</v>
          </cell>
          <cell r="U345">
            <v>4.5562500000000004</v>
          </cell>
          <cell r="V345">
            <v>7290</v>
          </cell>
          <cell r="W345">
            <v>1366.875</v>
          </cell>
          <cell r="X345">
            <v>12757.5</v>
          </cell>
          <cell r="Y345">
            <v>1148.175</v>
          </cell>
          <cell r="Z345">
            <v>306.18</v>
          </cell>
          <cell r="AA345">
            <v>2821.23</v>
          </cell>
          <cell r="AB345">
            <v>9.4040999999999997</v>
          </cell>
        </row>
        <row r="346">
          <cell r="A346" t="str">
            <v>Header Wheat/Sorghum25' Rigid</v>
          </cell>
          <cell r="B346" t="str">
            <v>Header Wheat/Sorghum</v>
          </cell>
          <cell r="C346" t="str">
            <v>25' Rigid</v>
          </cell>
          <cell r="D346">
            <v>30</v>
          </cell>
          <cell r="E346">
            <v>3.8</v>
          </cell>
          <cell r="F346">
            <v>0.85</v>
          </cell>
          <cell r="G346">
            <v>8.5139318885448914E-2</v>
          </cell>
          <cell r="H346">
            <v>18472</v>
          </cell>
          <cell r="I346">
            <v>40</v>
          </cell>
          <cell r="J346">
            <v>60</v>
          </cell>
          <cell r="K346">
            <v>8</v>
          </cell>
          <cell r="L346">
            <v>300</v>
          </cell>
          <cell r="M346">
            <v>0</v>
          </cell>
          <cell r="N346">
            <v>2400</v>
          </cell>
          <cell r="O346">
            <v>1</v>
          </cell>
          <cell r="P346">
            <v>0.32</v>
          </cell>
          <cell r="Q346">
            <v>2.1</v>
          </cell>
          <cell r="R346">
            <v>471.64858206452971</v>
          </cell>
          <cell r="S346">
            <v>1.572161940215099</v>
          </cell>
          <cell r="T346">
            <v>1385.4</v>
          </cell>
          <cell r="U346">
            <v>4.6180000000000003</v>
          </cell>
          <cell r="V346">
            <v>7388.8</v>
          </cell>
          <cell r="W346">
            <v>1385.4</v>
          </cell>
          <cell r="X346">
            <v>12930.4</v>
          </cell>
          <cell r="Y346">
            <v>1163.7359999999999</v>
          </cell>
          <cell r="Z346">
            <v>310.32959999999997</v>
          </cell>
          <cell r="AA346">
            <v>2859.4656</v>
          </cell>
          <cell r="AB346">
            <v>9.5315519999999996</v>
          </cell>
        </row>
        <row r="347">
          <cell r="A347" t="str">
            <v>Header Wheat/Sorghum30'  Rigid</v>
          </cell>
          <cell r="B347" t="str">
            <v>Header Wheat/Sorghum</v>
          </cell>
          <cell r="C347" t="str">
            <v>30'  Rigid</v>
          </cell>
          <cell r="D347">
            <v>18</v>
          </cell>
          <cell r="E347">
            <v>3.8</v>
          </cell>
          <cell r="F347">
            <v>0.85</v>
          </cell>
          <cell r="G347">
            <v>0.14189886480908157</v>
          </cell>
          <cell r="H347">
            <v>20826</v>
          </cell>
          <cell r="I347">
            <v>40</v>
          </cell>
          <cell r="J347">
            <v>60</v>
          </cell>
          <cell r="K347">
            <v>8</v>
          </cell>
          <cell r="L347">
            <v>300</v>
          </cell>
          <cell r="M347">
            <v>0</v>
          </cell>
          <cell r="N347">
            <v>2400</v>
          </cell>
          <cell r="O347">
            <v>1</v>
          </cell>
          <cell r="P347">
            <v>0.32</v>
          </cell>
          <cell r="Q347">
            <v>2.1</v>
          </cell>
          <cell r="R347">
            <v>531.75364714572845</v>
          </cell>
          <cell r="S347">
            <v>1.7725121571524283</v>
          </cell>
          <cell r="T347">
            <v>1561.95</v>
          </cell>
          <cell r="U347">
            <v>5.2065000000000001</v>
          </cell>
          <cell r="V347">
            <v>8330.4</v>
          </cell>
          <cell r="W347">
            <v>1561.95</v>
          </cell>
          <cell r="X347">
            <v>14578.2</v>
          </cell>
          <cell r="Y347">
            <v>1312.038</v>
          </cell>
          <cell r="Z347">
            <v>349.8768</v>
          </cell>
          <cell r="AA347">
            <v>3223.8648000000003</v>
          </cell>
          <cell r="AB347">
            <v>10.746216</v>
          </cell>
        </row>
      </sheetData>
      <sheetData sheetId="7">
        <row r="4">
          <cell r="A4" t="str">
            <v>Combine (200-249 hp)-240hp</v>
          </cell>
          <cell r="B4" t="str">
            <v>Combine (200-249 hp)-</v>
          </cell>
          <cell r="C4" t="str">
            <v>240hp</v>
          </cell>
          <cell r="D4">
            <v>12.35</v>
          </cell>
          <cell r="E4">
            <v>164962</v>
          </cell>
          <cell r="F4">
            <v>30</v>
          </cell>
          <cell r="G4">
            <v>25</v>
          </cell>
          <cell r="H4">
            <v>12</v>
          </cell>
          <cell r="I4">
            <v>200</v>
          </cell>
          <cell r="J4">
            <v>2400</v>
          </cell>
          <cell r="K4">
            <v>17.183541666666667</v>
          </cell>
          <cell r="L4">
            <v>1</v>
          </cell>
          <cell r="M4">
            <v>1</v>
          </cell>
          <cell r="O4">
            <v>49488.6</v>
          </cell>
          <cell r="P4">
            <v>9622.7833333333328</v>
          </cell>
          <cell r="Q4">
            <v>107225.3</v>
          </cell>
          <cell r="R4">
            <v>9650.277</v>
          </cell>
          <cell r="S4">
            <v>2573.4072000000001</v>
          </cell>
          <cell r="T4">
            <v>21846.467533333333</v>
          </cell>
          <cell r="U4">
            <v>109.23233766666667</v>
          </cell>
        </row>
        <row r="5">
          <cell r="A5" t="str">
            <v>Combine (250-299 hp)275hp</v>
          </cell>
          <cell r="B5" t="str">
            <v>Combine (250-299 hp)</v>
          </cell>
          <cell r="C5" t="str">
            <v>275hp</v>
          </cell>
          <cell r="D5">
            <v>14.15</v>
          </cell>
          <cell r="E5">
            <v>186987</v>
          </cell>
          <cell r="F5">
            <v>30</v>
          </cell>
          <cell r="G5">
            <v>25</v>
          </cell>
          <cell r="H5">
            <v>12</v>
          </cell>
          <cell r="I5">
            <v>200</v>
          </cell>
          <cell r="J5">
            <v>2400</v>
          </cell>
          <cell r="K5">
            <v>19.477812499999999</v>
          </cell>
          <cell r="L5">
            <v>1</v>
          </cell>
          <cell r="M5">
            <v>1</v>
          </cell>
          <cell r="O5">
            <v>56096.1</v>
          </cell>
          <cell r="P5">
            <v>10907.574999999999</v>
          </cell>
          <cell r="Q5">
            <v>121541.55</v>
          </cell>
          <cell r="R5">
            <v>10938.7395</v>
          </cell>
          <cell r="S5">
            <v>2916.9972000000002</v>
          </cell>
          <cell r="T5">
            <v>24763.311699999998</v>
          </cell>
          <cell r="U5">
            <v>123.81655849999999</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O6">
            <v>63374.400000000001</v>
          </cell>
          <cell r="P6">
            <v>18484.2</v>
          </cell>
          <cell r="Q6">
            <v>137311.20000000001</v>
          </cell>
          <cell r="R6">
            <v>12358.008</v>
          </cell>
          <cell r="S6">
            <v>3295.4688000000006</v>
          </cell>
          <cell r="T6">
            <v>34137.676800000001</v>
          </cell>
          <cell r="U6">
            <v>113.79225600000001</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O7">
            <v>73980</v>
          </cell>
          <cell r="P7">
            <v>21577.5</v>
          </cell>
          <cell r="Q7">
            <v>160290</v>
          </cell>
          <cell r="R7">
            <v>14426.1</v>
          </cell>
          <cell r="S7">
            <v>3846.96</v>
          </cell>
          <cell r="T7">
            <v>39850.559999999998</v>
          </cell>
          <cell r="U7">
            <v>132.83519999999999</v>
          </cell>
        </row>
        <row r="8">
          <cell r="A8" t="str">
            <v>Combine (300-349 hp)-325hp</v>
          </cell>
          <cell r="B8" t="str">
            <v>Combine (300-349 hp)-</v>
          </cell>
          <cell r="C8" t="str">
            <v>325hp</v>
          </cell>
          <cell r="D8">
            <v>16.73</v>
          </cell>
          <cell r="E8">
            <v>214178</v>
          </cell>
          <cell r="F8">
            <v>30</v>
          </cell>
          <cell r="G8">
            <v>25</v>
          </cell>
          <cell r="H8">
            <v>8</v>
          </cell>
          <cell r="I8">
            <v>300</v>
          </cell>
          <cell r="J8">
            <v>2400</v>
          </cell>
          <cell r="K8">
            <v>22.310208333333332</v>
          </cell>
          <cell r="L8">
            <v>1</v>
          </cell>
          <cell r="M8">
            <v>1</v>
          </cell>
          <cell r="O8">
            <v>64253.4</v>
          </cell>
          <cell r="P8">
            <v>18740.575000000001</v>
          </cell>
          <cell r="Q8">
            <v>139215.70000000001</v>
          </cell>
          <cell r="R8">
            <v>12529.413</v>
          </cell>
          <cell r="S8">
            <v>3341.1768000000002</v>
          </cell>
          <cell r="T8">
            <v>34611.164799999999</v>
          </cell>
          <cell r="U8">
            <v>115.37054933333333</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O9">
            <v>76140</v>
          </cell>
          <cell r="P9">
            <v>22207.5</v>
          </cell>
          <cell r="Q9">
            <v>164970</v>
          </cell>
          <cell r="R9">
            <v>14847.3</v>
          </cell>
          <cell r="S9">
            <v>3959.28</v>
          </cell>
          <cell r="T9">
            <v>41014.080000000002</v>
          </cell>
          <cell r="U9">
            <v>136.71360000000001</v>
          </cell>
        </row>
        <row r="10">
          <cell r="A10" t="str">
            <v>Combine (350-379 hp)-370hp</v>
          </cell>
          <cell r="B10" t="str">
            <v>Combine (350-379 hp)-</v>
          </cell>
          <cell r="C10" t="str">
            <v>370hp</v>
          </cell>
          <cell r="D10">
            <v>19.04</v>
          </cell>
          <cell r="E10">
            <v>235707</v>
          </cell>
          <cell r="F10">
            <v>30</v>
          </cell>
          <cell r="G10">
            <v>25</v>
          </cell>
          <cell r="H10">
            <v>8</v>
          </cell>
          <cell r="I10">
            <v>300</v>
          </cell>
          <cell r="J10">
            <v>2400</v>
          </cell>
          <cell r="K10">
            <v>24.552812500000002</v>
          </cell>
          <cell r="L10">
            <v>1</v>
          </cell>
          <cell r="M10">
            <v>1</v>
          </cell>
          <cell r="O10">
            <v>70712.100000000006</v>
          </cell>
          <cell r="P10">
            <v>20624.362499999999</v>
          </cell>
          <cell r="Q10">
            <v>153209.54999999999</v>
          </cell>
          <cell r="R10">
            <v>13788.859499999999</v>
          </cell>
          <cell r="S10">
            <v>3677.0291999999999</v>
          </cell>
          <cell r="T10">
            <v>38090.251199999999</v>
          </cell>
          <cell r="U10">
            <v>126.96750399999999</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O11">
            <v>85927.8</v>
          </cell>
          <cell r="P11">
            <v>25062.275000000001</v>
          </cell>
          <cell r="Q11">
            <v>186176.9</v>
          </cell>
          <cell r="R11">
            <v>16755.920999999998</v>
          </cell>
          <cell r="S11">
            <v>4468.2456000000002</v>
          </cell>
          <cell r="T11">
            <v>46286.441599999998</v>
          </cell>
          <cell r="U11">
            <v>154.28813866666667</v>
          </cell>
        </row>
        <row r="12">
          <cell r="A12" t="str">
            <v>Tractor ( 40-59 hp)-2WD 50</v>
          </cell>
          <cell r="B12" t="str">
            <v>Tractor ( 40-59 hp)-</v>
          </cell>
          <cell r="C12" t="str">
            <v>2WD 50</v>
          </cell>
          <cell r="D12">
            <v>2.5735999999999999</v>
          </cell>
          <cell r="E12">
            <v>27788</v>
          </cell>
          <cell r="F12">
            <v>20</v>
          </cell>
          <cell r="G12">
            <v>75</v>
          </cell>
          <cell r="H12">
            <v>14</v>
          </cell>
          <cell r="I12">
            <v>600</v>
          </cell>
          <cell r="J12">
            <v>8400</v>
          </cell>
          <cell r="K12">
            <v>2.4810714285714286</v>
          </cell>
          <cell r="L12">
            <v>1</v>
          </cell>
          <cell r="M12">
            <v>7.0000000000000001E-3</v>
          </cell>
          <cell r="N12">
            <v>2</v>
          </cell>
          <cell r="O12">
            <v>5557.6</v>
          </cell>
          <cell r="P12">
            <v>1587.8857142857144</v>
          </cell>
          <cell r="Q12">
            <v>16672.8</v>
          </cell>
          <cell r="R12">
            <v>1500.5519999999999</v>
          </cell>
          <cell r="S12">
            <v>400.1472</v>
          </cell>
          <cell r="T12">
            <v>3488.5849142857141</v>
          </cell>
          <cell r="U12">
            <v>5.81430819047619</v>
          </cell>
        </row>
        <row r="13">
          <cell r="A13" t="str">
            <v>Tractor ( 60-89 hp)-2WD 75</v>
          </cell>
          <cell r="B13" t="str">
            <v>Tractor ( 60-89 hp)-</v>
          </cell>
          <cell r="C13" t="str">
            <v>2WD 75</v>
          </cell>
          <cell r="D13">
            <v>3.8603999999999998</v>
          </cell>
          <cell r="E13">
            <v>37673</v>
          </cell>
          <cell r="F13">
            <v>20</v>
          </cell>
          <cell r="G13">
            <v>75</v>
          </cell>
          <cell r="H13">
            <v>14</v>
          </cell>
          <cell r="I13">
            <v>600</v>
          </cell>
          <cell r="J13">
            <v>8400</v>
          </cell>
          <cell r="K13">
            <v>3.3636607142857144</v>
          </cell>
          <cell r="L13">
            <v>1</v>
          </cell>
          <cell r="M13">
            <v>7.0000000000000001E-3</v>
          </cell>
          <cell r="N13">
            <v>2</v>
          </cell>
          <cell r="O13">
            <v>7534.6</v>
          </cell>
          <cell r="P13">
            <v>2152.7428571428572</v>
          </cell>
          <cell r="Q13">
            <v>22603.8</v>
          </cell>
          <cell r="R13">
            <v>2034.3419999999999</v>
          </cell>
          <cell r="S13">
            <v>542.49120000000005</v>
          </cell>
          <cell r="T13">
            <v>4729.5760571428573</v>
          </cell>
          <cell r="U13">
            <v>7.8826267619047625</v>
          </cell>
        </row>
        <row r="14">
          <cell r="A14" t="str">
            <v>Tractor ( 90-119 hp)-2WD 105</v>
          </cell>
          <cell r="B14" t="str">
            <v>Tractor ( 90-119 hp)-</v>
          </cell>
          <cell r="C14" t="str">
            <v>2WD 105</v>
          </cell>
          <cell r="D14">
            <v>5.4046000000000003</v>
          </cell>
          <cell r="E14">
            <v>55050</v>
          </cell>
          <cell r="F14">
            <v>20</v>
          </cell>
          <cell r="G14">
            <v>60</v>
          </cell>
          <cell r="H14">
            <v>14</v>
          </cell>
          <cell r="I14">
            <v>600</v>
          </cell>
          <cell r="J14">
            <v>8400</v>
          </cell>
          <cell r="K14">
            <v>3.9321428571428569</v>
          </cell>
          <cell r="L14">
            <v>1</v>
          </cell>
          <cell r="M14">
            <v>7.0000000000000001E-3</v>
          </cell>
          <cell r="N14">
            <v>2</v>
          </cell>
          <cell r="O14">
            <v>11010</v>
          </cell>
          <cell r="P14">
            <v>3145.7142857142858</v>
          </cell>
          <cell r="Q14">
            <v>33030</v>
          </cell>
          <cell r="R14">
            <v>2972.7</v>
          </cell>
          <cell r="S14">
            <v>792.72</v>
          </cell>
          <cell r="T14">
            <v>6911.1342857142863</v>
          </cell>
          <cell r="U14">
            <v>11.518557142857144</v>
          </cell>
        </row>
        <row r="15">
          <cell r="A15" t="str">
            <v>Tractor (120-139 hp)-2WD 130</v>
          </cell>
          <cell r="B15" t="str">
            <v>Tractor (120-139 hp)-</v>
          </cell>
          <cell r="C15" t="str">
            <v>2WD 130</v>
          </cell>
          <cell r="D15">
            <v>6.6913999999999998</v>
          </cell>
          <cell r="E15">
            <v>72389</v>
          </cell>
          <cell r="F15">
            <v>20</v>
          </cell>
          <cell r="G15">
            <v>60</v>
          </cell>
          <cell r="H15">
            <v>14</v>
          </cell>
          <cell r="I15">
            <v>600</v>
          </cell>
          <cell r="J15">
            <v>8400</v>
          </cell>
          <cell r="K15">
            <v>5.1706428571428571</v>
          </cell>
          <cell r="L15">
            <v>1</v>
          </cell>
          <cell r="M15">
            <v>7.0000000000000001E-3</v>
          </cell>
          <cell r="N15">
            <v>2</v>
          </cell>
          <cell r="O15">
            <v>14477.8</v>
          </cell>
          <cell r="P15">
            <v>4136.5142857142855</v>
          </cell>
          <cell r="Q15">
            <v>43433.4</v>
          </cell>
          <cell r="R15">
            <v>3909.0059999999999</v>
          </cell>
          <cell r="S15">
            <v>1042.4016000000001</v>
          </cell>
          <cell r="T15">
            <v>9087.921885714286</v>
          </cell>
          <cell r="U15">
            <v>15.146536476190477</v>
          </cell>
        </row>
        <row r="16">
          <cell r="A16" t="str">
            <v>Tractor (140-159 hp)-2WD 150</v>
          </cell>
          <cell r="B16" t="str">
            <v>Tractor (140-159 hp)-</v>
          </cell>
          <cell r="C16" t="str">
            <v>2WD 150</v>
          </cell>
          <cell r="D16">
            <v>7.7209000000000003</v>
          </cell>
          <cell r="E16">
            <v>83238</v>
          </cell>
          <cell r="F16">
            <v>20</v>
          </cell>
          <cell r="G16">
            <v>60</v>
          </cell>
          <cell r="H16">
            <v>14</v>
          </cell>
          <cell r="I16">
            <v>600</v>
          </cell>
          <cell r="J16">
            <v>8400</v>
          </cell>
          <cell r="K16">
            <v>5.9455714285714292</v>
          </cell>
          <cell r="L16">
            <v>1</v>
          </cell>
          <cell r="M16">
            <v>7.0000000000000001E-3</v>
          </cell>
          <cell r="N16">
            <v>2</v>
          </cell>
          <cell r="O16">
            <v>16647.599999999999</v>
          </cell>
          <cell r="P16">
            <v>4756.4571428571426</v>
          </cell>
          <cell r="Q16">
            <v>49942.8</v>
          </cell>
          <cell r="R16">
            <v>4494.8519999999999</v>
          </cell>
          <cell r="S16">
            <v>1198.6272000000001</v>
          </cell>
          <cell r="T16">
            <v>10449.936342857141</v>
          </cell>
          <cell r="U16">
            <v>17.416560571428569</v>
          </cell>
        </row>
        <row r="17">
          <cell r="A17" t="str">
            <v>Tractor (140-159 hp)-MFWD 150</v>
          </cell>
          <cell r="B17" t="str">
            <v>Tractor (140-159 hp)-</v>
          </cell>
          <cell r="C17" t="str">
            <v>MFWD 150</v>
          </cell>
          <cell r="D17">
            <v>7.7209000000000003</v>
          </cell>
          <cell r="E17">
            <v>99584</v>
          </cell>
          <cell r="F17">
            <v>20</v>
          </cell>
          <cell r="G17">
            <v>60</v>
          </cell>
          <cell r="H17">
            <v>14</v>
          </cell>
          <cell r="I17">
            <v>600</v>
          </cell>
          <cell r="J17">
            <v>8400</v>
          </cell>
          <cell r="K17">
            <v>7.113142857142857</v>
          </cell>
          <cell r="L17">
            <v>1</v>
          </cell>
          <cell r="M17">
            <v>3.0000000000000001E-3</v>
          </cell>
          <cell r="N17">
            <v>2</v>
          </cell>
          <cell r="O17">
            <v>19916.8</v>
          </cell>
          <cell r="P17">
            <v>5690.5142857142855</v>
          </cell>
          <cell r="Q17">
            <v>59750.400000000001</v>
          </cell>
          <cell r="R17">
            <v>5377.5360000000001</v>
          </cell>
          <cell r="S17">
            <v>1434.0096000000001</v>
          </cell>
          <cell r="T17">
            <v>12502.059885714287</v>
          </cell>
          <cell r="U17">
            <v>20.836766476190476</v>
          </cell>
        </row>
        <row r="18">
          <cell r="A18" t="str">
            <v>Tractor (160-179 hp)-2WD 170</v>
          </cell>
          <cell r="B18" t="str">
            <v>Tractor (160-179 hp)-</v>
          </cell>
          <cell r="C18" t="str">
            <v>2WD 170</v>
          </cell>
          <cell r="D18">
            <v>8.7502999999999993</v>
          </cell>
          <cell r="E18">
            <v>92346</v>
          </cell>
          <cell r="F18">
            <v>20</v>
          </cell>
          <cell r="G18">
            <v>60</v>
          </cell>
          <cell r="H18">
            <v>14</v>
          </cell>
          <cell r="I18">
            <v>600</v>
          </cell>
          <cell r="J18">
            <v>8400</v>
          </cell>
          <cell r="K18">
            <v>6.5961428571428566</v>
          </cell>
          <cell r="L18">
            <v>1</v>
          </cell>
          <cell r="M18">
            <v>7.0000000000000001E-3</v>
          </cell>
          <cell r="N18">
            <v>2</v>
          </cell>
          <cell r="O18">
            <v>18469.2</v>
          </cell>
          <cell r="P18">
            <v>5276.9142857142861</v>
          </cell>
          <cell r="Q18">
            <v>55407.6</v>
          </cell>
          <cell r="R18">
            <v>4986.6839999999993</v>
          </cell>
          <cell r="S18">
            <v>1329.7824000000001</v>
          </cell>
          <cell r="T18">
            <v>11593.380685714284</v>
          </cell>
          <cell r="U18">
            <v>19.322301142857143</v>
          </cell>
        </row>
        <row r="19">
          <cell r="A19" t="str">
            <v>Tractor (160-179 hp)-MFWD 170</v>
          </cell>
          <cell r="B19" t="str">
            <v>Tractor (160-179 hp)-</v>
          </cell>
          <cell r="C19" t="str">
            <v>MFWD 170</v>
          </cell>
          <cell r="D19">
            <v>8.7502999999999993</v>
          </cell>
          <cell r="E19">
            <v>114517</v>
          </cell>
          <cell r="F19">
            <v>20</v>
          </cell>
          <cell r="G19">
            <v>60</v>
          </cell>
          <cell r="H19">
            <v>14</v>
          </cell>
          <cell r="I19">
            <v>600</v>
          </cell>
          <cell r="J19">
            <v>8400</v>
          </cell>
          <cell r="K19">
            <v>8.179785714285714</v>
          </cell>
          <cell r="L19">
            <v>1</v>
          </cell>
          <cell r="M19">
            <v>3.0000000000000001E-3</v>
          </cell>
          <cell r="N19">
            <v>2</v>
          </cell>
          <cell r="O19">
            <v>22903.4</v>
          </cell>
          <cell r="P19">
            <v>6543.8285714285721</v>
          </cell>
          <cell r="Q19">
            <v>68710.2</v>
          </cell>
          <cell r="R19">
            <v>6183.9179999999997</v>
          </cell>
          <cell r="S19">
            <v>1649.0447999999999</v>
          </cell>
          <cell r="T19">
            <v>14376.791371428571</v>
          </cell>
          <cell r="U19">
            <v>23.961318952380953</v>
          </cell>
        </row>
        <row r="20">
          <cell r="A20" t="str">
            <v>Tractor (160-199 hp)-Track 180</v>
          </cell>
          <cell r="B20" t="str">
            <v>Tractor (160-199 hp)-</v>
          </cell>
          <cell r="C20" t="str">
            <v>Track 180</v>
          </cell>
          <cell r="D20">
            <v>9.2651000000000003</v>
          </cell>
          <cell r="E20">
            <v>133374</v>
          </cell>
          <cell r="F20">
            <v>20</v>
          </cell>
          <cell r="G20">
            <v>60</v>
          </cell>
          <cell r="H20">
            <v>14</v>
          </cell>
          <cell r="I20">
            <v>600</v>
          </cell>
          <cell r="J20">
            <v>8400</v>
          </cell>
          <cell r="K20">
            <v>9.5267142857142844</v>
          </cell>
          <cell r="L20">
            <v>1</v>
          </cell>
          <cell r="M20">
            <v>3.0000000000000001E-3</v>
          </cell>
          <cell r="N20">
            <v>2</v>
          </cell>
          <cell r="O20">
            <v>26674.799999999999</v>
          </cell>
          <cell r="P20">
            <v>7621.3714285714286</v>
          </cell>
          <cell r="Q20">
            <v>80024.399999999994</v>
          </cell>
          <cell r="R20">
            <v>7202.195999999999</v>
          </cell>
          <cell r="S20">
            <v>1920.5855999999999</v>
          </cell>
          <cell r="T20">
            <v>16744.153028571425</v>
          </cell>
          <cell r="U20">
            <v>27.906921714285708</v>
          </cell>
        </row>
        <row r="21">
          <cell r="A21" t="str">
            <v>Tractor (180-199 hp)-2WD 190</v>
          </cell>
          <cell r="B21" t="str">
            <v>Tractor (180-199 hp)-</v>
          </cell>
          <cell r="C21" t="str">
            <v>2WD 190</v>
          </cell>
          <cell r="D21">
            <v>9.7797999999999998</v>
          </cell>
          <cell r="E21">
            <v>107634</v>
          </cell>
          <cell r="F21">
            <v>20</v>
          </cell>
          <cell r="G21">
            <v>60</v>
          </cell>
          <cell r="H21">
            <v>14</v>
          </cell>
          <cell r="I21">
            <v>600</v>
          </cell>
          <cell r="J21">
            <v>8400</v>
          </cell>
          <cell r="K21">
            <v>7.6881428571428572</v>
          </cell>
          <cell r="L21">
            <v>1</v>
          </cell>
          <cell r="M21">
            <v>7.0000000000000001E-3</v>
          </cell>
          <cell r="N21">
            <v>2</v>
          </cell>
          <cell r="O21">
            <v>21526.799999999999</v>
          </cell>
          <cell r="P21">
            <v>6150.5142857142855</v>
          </cell>
          <cell r="Q21">
            <v>64580.4</v>
          </cell>
          <cell r="R21">
            <v>5812.2359999999999</v>
          </cell>
          <cell r="S21">
            <v>1549.9296000000002</v>
          </cell>
          <cell r="T21">
            <v>13512.679885714286</v>
          </cell>
          <cell r="U21">
            <v>22.521133142857142</v>
          </cell>
        </row>
        <row r="22">
          <cell r="A22" t="str">
            <v>Tractor (180-199 hp)-MFWD 190</v>
          </cell>
          <cell r="B22" t="str">
            <v>Tractor (180-199 hp)-</v>
          </cell>
          <cell r="C22" t="str">
            <v>MFWD 190</v>
          </cell>
          <cell r="D22">
            <v>9.7797999999999998</v>
          </cell>
          <cell r="E22">
            <v>120623</v>
          </cell>
          <cell r="F22">
            <v>20</v>
          </cell>
          <cell r="G22">
            <v>60</v>
          </cell>
          <cell r="H22">
            <v>14</v>
          </cell>
          <cell r="I22">
            <v>600</v>
          </cell>
          <cell r="J22">
            <v>8400</v>
          </cell>
          <cell r="K22">
            <v>8.6159285714285723</v>
          </cell>
          <cell r="L22">
            <v>1</v>
          </cell>
          <cell r="M22">
            <v>3.0000000000000001E-3</v>
          </cell>
          <cell r="N22">
            <v>2</v>
          </cell>
          <cell r="O22">
            <v>24124.6</v>
          </cell>
          <cell r="P22">
            <v>6892.7428571428563</v>
          </cell>
          <cell r="Q22">
            <v>72373.8</v>
          </cell>
          <cell r="R22">
            <v>6513.6419999999998</v>
          </cell>
          <cell r="S22">
            <v>1736.9712000000002</v>
          </cell>
          <cell r="T22">
            <v>15143.356057142857</v>
          </cell>
          <cell r="U22">
            <v>25.238926761904761</v>
          </cell>
        </row>
        <row r="23">
          <cell r="A23" t="str">
            <v>Tractor (200-249 hp)-4WD 225</v>
          </cell>
          <cell r="B23" t="str">
            <v>Tractor (200-249 hp)-</v>
          </cell>
          <cell r="C23" t="str">
            <v>4WD 225</v>
          </cell>
          <cell r="D23">
            <v>11.581300000000001</v>
          </cell>
          <cell r="E23">
            <v>145396</v>
          </cell>
          <cell r="F23">
            <v>20</v>
          </cell>
          <cell r="G23">
            <v>60</v>
          </cell>
          <cell r="H23">
            <v>14</v>
          </cell>
          <cell r="I23">
            <v>600</v>
          </cell>
          <cell r="J23">
            <v>8400</v>
          </cell>
          <cell r="K23">
            <v>10.385428571428573</v>
          </cell>
          <cell r="L23">
            <v>1</v>
          </cell>
          <cell r="M23">
            <v>3.0000000000000001E-3</v>
          </cell>
          <cell r="N23">
            <v>2</v>
          </cell>
          <cell r="O23">
            <v>29079.200000000001</v>
          </cell>
          <cell r="P23">
            <v>8308.3428571428576</v>
          </cell>
          <cell r="Q23">
            <v>87237.6</v>
          </cell>
          <cell r="R23">
            <v>7851.384</v>
          </cell>
          <cell r="S23">
            <v>2093.7024000000001</v>
          </cell>
          <cell r="T23">
            <v>18253.42925714286</v>
          </cell>
          <cell r="U23">
            <v>30.422382095238099</v>
          </cell>
        </row>
        <row r="24">
          <cell r="A24" t="str">
            <v>Tractor (200-249 hp)-MFWD 225</v>
          </cell>
          <cell r="B24" t="str">
            <v>Tractor (200-249 hp)-</v>
          </cell>
          <cell r="C24" t="str">
            <v>MFWD 225</v>
          </cell>
          <cell r="D24">
            <v>11.581300000000001</v>
          </cell>
          <cell r="E24">
            <v>128077</v>
          </cell>
          <cell r="F24">
            <v>20</v>
          </cell>
          <cell r="G24">
            <v>60</v>
          </cell>
          <cell r="H24">
            <v>14</v>
          </cell>
          <cell r="I24">
            <v>600</v>
          </cell>
          <cell r="J24">
            <v>8400</v>
          </cell>
          <cell r="K24">
            <v>9.148357142857142</v>
          </cell>
          <cell r="L24">
            <v>1</v>
          </cell>
          <cell r="M24">
            <v>3.0000000000000001E-3</v>
          </cell>
          <cell r="N24">
            <v>2</v>
          </cell>
          <cell r="O24">
            <v>25615.4</v>
          </cell>
          <cell r="P24">
            <v>7318.6857142857143</v>
          </cell>
          <cell r="Q24">
            <v>76846.2</v>
          </cell>
          <cell r="R24">
            <v>6916.1579999999994</v>
          </cell>
          <cell r="S24">
            <v>1844.3088</v>
          </cell>
          <cell r="T24">
            <v>16079.152514285714</v>
          </cell>
          <cell r="U24">
            <v>26.798587523809523</v>
          </cell>
        </row>
        <row r="25">
          <cell r="A25" t="str">
            <v>Tractor (200-249 hp)-Track 225</v>
          </cell>
          <cell r="B25" t="str">
            <v>Tractor (200-249 hp)-</v>
          </cell>
          <cell r="C25" t="str">
            <v>Track 225</v>
          </cell>
          <cell r="D25">
            <v>11.581300000000001</v>
          </cell>
          <cell r="E25">
            <v>154527</v>
          </cell>
          <cell r="F25">
            <v>20</v>
          </cell>
          <cell r="G25">
            <v>60</v>
          </cell>
          <cell r="H25">
            <v>14</v>
          </cell>
          <cell r="I25">
            <v>600</v>
          </cell>
          <cell r="J25">
            <v>8400</v>
          </cell>
          <cell r="K25">
            <v>11.037642857142856</v>
          </cell>
          <cell r="L25">
            <v>1</v>
          </cell>
          <cell r="M25">
            <v>3.0000000000000001E-3</v>
          </cell>
          <cell r="N25">
            <v>2</v>
          </cell>
          <cell r="O25">
            <v>30905.4</v>
          </cell>
          <cell r="P25">
            <v>8830.1142857142859</v>
          </cell>
          <cell r="Q25">
            <v>92716.2</v>
          </cell>
          <cell r="R25">
            <v>8344.4579999999987</v>
          </cell>
          <cell r="S25">
            <v>2225.1887999999999</v>
          </cell>
          <cell r="T25">
            <v>19399.761085714286</v>
          </cell>
          <cell r="U25">
            <v>32.332935142857146</v>
          </cell>
        </row>
        <row r="26">
          <cell r="A26" t="str">
            <v>Tractor (250-349 hp)-4WD 300</v>
          </cell>
          <cell r="B26" t="str">
            <v>Tractor (250-349 hp)-</v>
          </cell>
          <cell r="C26" t="str">
            <v>4WD 300</v>
          </cell>
          <cell r="D26">
            <v>15.441800000000001</v>
          </cell>
          <cell r="E26">
            <v>153473</v>
          </cell>
          <cell r="F26">
            <v>20</v>
          </cell>
          <cell r="G26">
            <v>60</v>
          </cell>
          <cell r="H26">
            <v>14</v>
          </cell>
          <cell r="I26">
            <v>600</v>
          </cell>
          <cell r="J26">
            <v>8400</v>
          </cell>
          <cell r="K26">
            <v>10.962357142857144</v>
          </cell>
          <cell r="L26">
            <v>1</v>
          </cell>
          <cell r="M26">
            <v>3.0000000000000001E-3</v>
          </cell>
          <cell r="N26">
            <v>2</v>
          </cell>
          <cell r="O26">
            <v>30694.6</v>
          </cell>
          <cell r="P26">
            <v>8769.8857142857141</v>
          </cell>
          <cell r="Q26">
            <v>92083.8</v>
          </cell>
          <cell r="R26">
            <v>8287.5419999999995</v>
          </cell>
          <cell r="S26">
            <v>2210.0111999999999</v>
          </cell>
          <cell r="T26">
            <v>19267.438914285711</v>
          </cell>
          <cell r="U26">
            <v>32.112398190476185</v>
          </cell>
        </row>
        <row r="27">
          <cell r="A27" t="str">
            <v>Tractor (250-349 hp)-Track 300</v>
          </cell>
          <cell r="B27" t="str">
            <v>Tractor (250-349 hp)-</v>
          </cell>
          <cell r="C27" t="str">
            <v>Track 300</v>
          </cell>
          <cell r="D27">
            <v>15.441800000000001</v>
          </cell>
          <cell r="E27">
            <v>182615</v>
          </cell>
          <cell r="F27">
            <v>20</v>
          </cell>
          <cell r="G27">
            <v>60</v>
          </cell>
          <cell r="H27">
            <v>14</v>
          </cell>
          <cell r="I27">
            <v>600</v>
          </cell>
          <cell r="J27">
            <v>8400</v>
          </cell>
          <cell r="K27">
            <v>13.043928571428571</v>
          </cell>
          <cell r="L27">
            <v>1</v>
          </cell>
          <cell r="M27">
            <v>3.0000000000000001E-3</v>
          </cell>
          <cell r="N27">
            <v>2</v>
          </cell>
          <cell r="O27">
            <v>36523</v>
          </cell>
          <cell r="P27">
            <v>10435.142857142857</v>
          </cell>
          <cell r="Q27">
            <v>109569</v>
          </cell>
          <cell r="R27">
            <v>9861.2099999999991</v>
          </cell>
          <cell r="S27">
            <v>2629.6559999999999</v>
          </cell>
          <cell r="T27">
            <v>22926.008857142857</v>
          </cell>
          <cell r="U27">
            <v>38.210014761904759</v>
          </cell>
        </row>
        <row r="28">
          <cell r="A28" t="str">
            <v>Tractor (350-449 hp)-4WD 400</v>
          </cell>
          <cell r="B28" t="str">
            <v>Tractor (350-449 hp)-</v>
          </cell>
          <cell r="C28" t="str">
            <v>4WD 400</v>
          </cell>
          <cell r="D28">
            <v>20.588999999999999</v>
          </cell>
          <cell r="E28">
            <v>209363</v>
          </cell>
          <cell r="F28">
            <v>20</v>
          </cell>
          <cell r="G28">
            <v>60</v>
          </cell>
          <cell r="H28">
            <v>14</v>
          </cell>
          <cell r="I28">
            <v>600</v>
          </cell>
          <cell r="J28">
            <v>8400</v>
          </cell>
          <cell r="K28">
            <v>14.954499999999999</v>
          </cell>
          <cell r="L28">
            <v>1</v>
          </cell>
          <cell r="M28">
            <v>3.0000000000000001E-3</v>
          </cell>
          <cell r="N28">
            <v>2</v>
          </cell>
          <cell r="O28">
            <v>41872.6</v>
          </cell>
          <cell r="P28">
            <v>11963.6</v>
          </cell>
          <cell r="Q28">
            <v>125617.8</v>
          </cell>
          <cell r="R28">
            <v>11305.601999999999</v>
          </cell>
          <cell r="S28">
            <v>3014.8272000000002</v>
          </cell>
          <cell r="T28">
            <v>26284.029199999997</v>
          </cell>
          <cell r="U28">
            <v>43.806715333333329</v>
          </cell>
        </row>
        <row r="29">
          <cell r="A29" t="str">
            <v>Tractor (350-449 hp)-Track 400</v>
          </cell>
          <cell r="B29" t="str">
            <v>Tractor (350-449 hp)-</v>
          </cell>
          <cell r="C29" t="str">
            <v>Track 400</v>
          </cell>
          <cell r="D29">
            <v>20.588999999999999</v>
          </cell>
          <cell r="E29">
            <v>228017</v>
          </cell>
          <cell r="F29">
            <v>20</v>
          </cell>
          <cell r="G29">
            <v>60</v>
          </cell>
          <cell r="H29">
            <v>14</v>
          </cell>
          <cell r="I29">
            <v>600</v>
          </cell>
          <cell r="J29">
            <v>8400</v>
          </cell>
          <cell r="K29">
            <v>16.286928571428572</v>
          </cell>
          <cell r="L29">
            <v>1</v>
          </cell>
          <cell r="M29">
            <v>3.0000000000000001E-3</v>
          </cell>
          <cell r="N29">
            <v>2</v>
          </cell>
          <cell r="O29">
            <v>45603.4</v>
          </cell>
          <cell r="P29">
            <v>13029.542857142858</v>
          </cell>
          <cell r="Q29">
            <v>136810.20000000001</v>
          </cell>
          <cell r="R29">
            <v>12312.918000000001</v>
          </cell>
          <cell r="S29">
            <v>3283.4448000000002</v>
          </cell>
          <cell r="T29">
            <v>28625.905657142859</v>
          </cell>
          <cell r="U29">
            <v>47.709842761904767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s"/>
    </sheetNames>
    <sheetDataSet>
      <sheetData sheetId="0"/>
      <sheetData sheetId="1">
        <row r="7">
          <cell r="D7">
            <v>0.5</v>
          </cell>
        </row>
      </sheetData>
      <sheetData sheetId="2">
        <row r="11">
          <cell r="F11">
            <v>24.815000000000001</v>
          </cell>
        </row>
        <row r="25">
          <cell r="F25">
            <v>6.53125</v>
          </cell>
        </row>
      </sheetData>
      <sheetData sheetId="3">
        <row r="18">
          <cell r="F18">
            <v>0.45124983107277999</v>
          </cell>
          <cell r="M18">
            <v>3.7323369868144622</v>
          </cell>
          <cell r="R18">
            <v>16.771993169011456</v>
          </cell>
        </row>
        <row r="27">
          <cell r="H27">
            <v>0</v>
          </cell>
          <cell r="J27">
            <v>0</v>
          </cell>
          <cell r="L27">
            <v>0</v>
          </cell>
        </row>
      </sheetData>
      <sheetData sheetId="4">
        <row r="21">
          <cell r="F21">
            <v>0</v>
          </cell>
          <cell r="J21">
            <v>0</v>
          </cell>
          <cell r="R21">
            <v>0</v>
          </cell>
        </row>
      </sheetData>
      <sheetData sheetId="5">
        <row r="14">
          <cell r="A14" t="str">
            <v>Sprayer (300-450 Gal)47'</v>
          </cell>
          <cell r="B14" t="str">
            <v>Sprayer (300-450 Gal)</v>
          </cell>
          <cell r="C14" t="str">
            <v>47'</v>
          </cell>
          <cell r="D14">
            <v>47</v>
          </cell>
          <cell r="E14">
            <v>12</v>
          </cell>
          <cell r="F14">
            <v>0.65</v>
          </cell>
          <cell r="G14">
            <v>2.2504091653027823E-2</v>
          </cell>
          <cell r="H14">
            <v>5.4050000000000002</v>
          </cell>
          <cell r="I14">
            <v>67065</v>
          </cell>
          <cell r="J14">
            <v>30</v>
          </cell>
          <cell r="K14">
            <v>15</v>
          </cell>
          <cell r="L14">
            <v>8</v>
          </cell>
          <cell r="M14">
            <v>350</v>
          </cell>
          <cell r="N14">
            <v>47</v>
          </cell>
          <cell r="O14">
            <v>12</v>
          </cell>
          <cell r="P14">
            <v>65</v>
          </cell>
          <cell r="Q14">
            <v>44.436360000000001</v>
          </cell>
          <cell r="R14">
            <v>1257.46875</v>
          </cell>
          <cell r="S14">
            <v>3.592767857142857</v>
          </cell>
          <cell r="T14">
            <v>20119.5</v>
          </cell>
          <cell r="U14">
            <v>2514.9375</v>
          </cell>
          <cell r="V14">
            <v>43592.25</v>
          </cell>
          <cell r="W14">
            <v>3487.38</v>
          </cell>
          <cell r="X14">
            <v>1046.2139999999999</v>
          </cell>
          <cell r="Y14">
            <v>7048.5315000000001</v>
          </cell>
          <cell r="Z14">
            <v>20.138661428571428</v>
          </cell>
        </row>
        <row r="15">
          <cell r="A15" t="str">
            <v>Sprayer (300-450 Gal)60'</v>
          </cell>
          <cell r="B15" t="str">
            <v>Sprayer (300-450 Gal)</v>
          </cell>
          <cell r="C15" t="str">
            <v>60'</v>
          </cell>
          <cell r="D15">
            <v>60</v>
          </cell>
          <cell r="E15">
            <v>12</v>
          </cell>
          <cell r="F15">
            <v>0.65</v>
          </cell>
          <cell r="G15">
            <v>1.7628205128205128E-2</v>
          </cell>
          <cell r="H15">
            <v>5.6619999999999999</v>
          </cell>
          <cell r="I15">
            <v>77512</v>
          </cell>
          <cell r="J15">
            <v>30</v>
          </cell>
          <cell r="K15">
            <v>15</v>
          </cell>
          <cell r="L15">
            <v>8</v>
          </cell>
          <cell r="M15">
            <v>350</v>
          </cell>
          <cell r="N15">
            <v>60</v>
          </cell>
          <cell r="O15">
            <v>12</v>
          </cell>
          <cell r="P15">
            <v>65</v>
          </cell>
          <cell r="Q15">
            <v>56.727269999999997</v>
          </cell>
          <cell r="R15">
            <v>1453.35</v>
          </cell>
          <cell r="S15">
            <v>4.1524285714285716</v>
          </cell>
          <cell r="T15">
            <v>23253.599999999999</v>
          </cell>
          <cell r="U15">
            <v>2906.7</v>
          </cell>
          <cell r="V15">
            <v>50382.8</v>
          </cell>
          <cell r="W15">
            <v>4030.6240000000003</v>
          </cell>
          <cell r="X15">
            <v>1209.1872000000001</v>
          </cell>
          <cell r="Y15">
            <v>8146.5111999999999</v>
          </cell>
          <cell r="Z15">
            <v>23.275746285714284</v>
          </cell>
        </row>
        <row r="16">
          <cell r="A16" t="str">
            <v>Sprayer (300-450 Gal)80'</v>
          </cell>
          <cell r="B16" t="str">
            <v>Sprayer (300-450 Gal)</v>
          </cell>
          <cell r="C16" t="str">
            <v>80'</v>
          </cell>
          <cell r="D16">
            <v>80</v>
          </cell>
          <cell r="E16">
            <v>12</v>
          </cell>
          <cell r="F16">
            <v>0.65</v>
          </cell>
          <cell r="G16">
            <v>1.3221153846153846E-2</v>
          </cell>
          <cell r="H16">
            <v>5.6619999999999999</v>
          </cell>
          <cell r="I16">
            <v>76429</v>
          </cell>
          <cell r="J16">
            <v>30</v>
          </cell>
          <cell r="K16">
            <v>15</v>
          </cell>
          <cell r="L16">
            <v>8</v>
          </cell>
          <cell r="M16">
            <v>350</v>
          </cell>
          <cell r="N16">
            <v>80</v>
          </cell>
          <cell r="O16">
            <v>12</v>
          </cell>
          <cell r="P16">
            <v>65</v>
          </cell>
          <cell r="Q16">
            <v>75.636359999999996</v>
          </cell>
          <cell r="R16">
            <v>1433.04375</v>
          </cell>
          <cell r="S16">
            <v>4.094410714285714</v>
          </cell>
          <cell r="T16">
            <v>22928.7</v>
          </cell>
          <cell r="U16">
            <v>2866.0875000000001</v>
          </cell>
          <cell r="V16">
            <v>49678.85</v>
          </cell>
          <cell r="W16">
            <v>3974.308</v>
          </cell>
          <cell r="X16">
            <v>1192.2924</v>
          </cell>
          <cell r="Y16">
            <v>8032.6879000000008</v>
          </cell>
          <cell r="Z16">
            <v>22.950536857142861</v>
          </cell>
        </row>
        <row r="17">
          <cell r="A17" t="str">
            <v>Sprayer (600-750 Gal)60'</v>
          </cell>
          <cell r="B17" t="str">
            <v>Sprayer (600-750 Gal)</v>
          </cell>
          <cell r="C17" t="str">
            <v>60'</v>
          </cell>
          <cell r="D17">
            <v>60</v>
          </cell>
          <cell r="E17">
            <v>12</v>
          </cell>
          <cell r="F17">
            <v>0.65</v>
          </cell>
          <cell r="G17">
            <v>1.7628205128205128E-2</v>
          </cell>
          <cell r="H17">
            <v>10.295</v>
          </cell>
          <cell r="I17">
            <v>138905</v>
          </cell>
          <cell r="J17">
            <v>30</v>
          </cell>
          <cell r="K17">
            <v>15</v>
          </cell>
          <cell r="L17">
            <v>8</v>
          </cell>
          <cell r="M17">
            <v>350</v>
          </cell>
          <cell r="N17">
            <v>60</v>
          </cell>
          <cell r="O17">
            <v>12</v>
          </cell>
          <cell r="P17">
            <v>65</v>
          </cell>
          <cell r="Q17">
            <v>56.727269999999997</v>
          </cell>
          <cell r="R17">
            <v>2604.46875</v>
          </cell>
          <cell r="S17">
            <v>7.4413392857142862</v>
          </cell>
          <cell r="T17">
            <v>41671.5</v>
          </cell>
          <cell r="U17">
            <v>5208.9375</v>
          </cell>
          <cell r="V17">
            <v>90288.25</v>
          </cell>
          <cell r="W17">
            <v>7223.06</v>
          </cell>
          <cell r="X17">
            <v>2166.9180000000001</v>
          </cell>
          <cell r="Y17">
            <v>14598.915500000001</v>
          </cell>
          <cell r="Z17">
            <v>41.711187142857149</v>
          </cell>
        </row>
        <row r="18">
          <cell r="A18" t="str">
            <v>Sprayer (600-825 Gal)90'</v>
          </cell>
          <cell r="B18" t="str">
            <v>Sprayer (600-825 Gal)</v>
          </cell>
          <cell r="C18" t="str">
            <v>90'</v>
          </cell>
          <cell r="D18">
            <v>90</v>
          </cell>
          <cell r="E18">
            <v>10</v>
          </cell>
          <cell r="F18">
            <v>0.65</v>
          </cell>
          <cell r="G18">
            <v>1.4102564102564103E-2</v>
          </cell>
          <cell r="H18">
            <v>10.295</v>
          </cell>
          <cell r="I18">
            <v>147891</v>
          </cell>
          <cell r="J18">
            <v>30</v>
          </cell>
          <cell r="K18">
            <v>15</v>
          </cell>
          <cell r="L18">
            <v>8</v>
          </cell>
          <cell r="M18">
            <v>350</v>
          </cell>
          <cell r="N18">
            <v>90</v>
          </cell>
          <cell r="O18">
            <v>10</v>
          </cell>
          <cell r="P18">
            <v>65</v>
          </cell>
          <cell r="Q18">
            <v>70.909090000000006</v>
          </cell>
          <cell r="R18">
            <v>2772.9562500000002</v>
          </cell>
          <cell r="S18">
            <v>7.9227321428571438</v>
          </cell>
          <cell r="T18">
            <v>44367.3</v>
          </cell>
          <cell r="U18">
            <v>5545.9125000000004</v>
          </cell>
          <cell r="V18">
            <v>96129.15</v>
          </cell>
          <cell r="W18">
            <v>7690.3319999999994</v>
          </cell>
          <cell r="X18">
            <v>2307.0996</v>
          </cell>
          <cell r="Y18">
            <v>15543.3441</v>
          </cell>
          <cell r="Z18">
            <v>44.409554571428572</v>
          </cell>
        </row>
        <row r="19">
          <cell r="A19" t="str">
            <v>Sprayer (800-1000Gal)90'</v>
          </cell>
          <cell r="B19" t="str">
            <v>Sprayer (800-1000Gal)</v>
          </cell>
          <cell r="C19" t="str">
            <v>90'</v>
          </cell>
          <cell r="D19">
            <v>90</v>
          </cell>
          <cell r="E19">
            <v>10</v>
          </cell>
          <cell r="F19">
            <v>0.65</v>
          </cell>
          <cell r="G19">
            <v>1.4102564102564103E-2</v>
          </cell>
          <cell r="H19">
            <v>14.154999999999999</v>
          </cell>
          <cell r="I19">
            <v>207081</v>
          </cell>
          <cell r="J19">
            <v>30</v>
          </cell>
          <cell r="K19">
            <v>15</v>
          </cell>
          <cell r="L19">
            <v>8</v>
          </cell>
          <cell r="M19">
            <v>350</v>
          </cell>
          <cell r="N19">
            <v>90</v>
          </cell>
          <cell r="O19">
            <v>10</v>
          </cell>
          <cell r="P19">
            <v>65</v>
          </cell>
          <cell r="Q19">
            <v>70.909090000000006</v>
          </cell>
          <cell r="R19">
            <v>3882.7687500000002</v>
          </cell>
          <cell r="S19">
            <v>11.093625000000001</v>
          </cell>
          <cell r="T19">
            <v>62124.3</v>
          </cell>
          <cell r="U19">
            <v>7765.5375000000004</v>
          </cell>
          <cell r="V19">
            <v>134602.65</v>
          </cell>
          <cell r="W19">
            <v>10768.212</v>
          </cell>
          <cell r="X19">
            <v>3230.4636</v>
          </cell>
          <cell r="Y19">
            <v>21764.213100000001</v>
          </cell>
          <cell r="Z19">
            <v>62.183466000000003</v>
          </cell>
        </row>
      </sheetData>
      <sheetData sheetId="6">
        <row r="6">
          <cell r="A6" t="str">
            <v>Chisel Plow(Folding)16'</v>
          </cell>
          <cell r="B6" t="str">
            <v>Chisel Plow(Folding)</v>
          </cell>
          <cell r="C6" t="str">
            <v>16'</v>
          </cell>
          <cell r="D6">
            <v>16</v>
          </cell>
          <cell r="E6">
            <v>5.25</v>
          </cell>
          <cell r="F6">
            <v>0.85</v>
          </cell>
          <cell r="G6">
            <v>0.11554621848739496</v>
          </cell>
          <cell r="H6">
            <v>10736</v>
          </cell>
          <cell r="I6">
            <v>30</v>
          </cell>
          <cell r="J6">
            <v>65</v>
          </cell>
          <cell r="K6">
            <v>12</v>
          </cell>
          <cell r="L6">
            <v>150</v>
          </cell>
          <cell r="M6">
            <v>0</v>
          </cell>
          <cell r="N6">
            <v>1800</v>
          </cell>
          <cell r="O6">
            <v>1</v>
          </cell>
          <cell r="P6">
            <v>0.28000000000000003</v>
          </cell>
          <cell r="Q6">
            <v>1.4</v>
          </cell>
          <cell r="R6">
            <v>211.11947481078752</v>
          </cell>
          <cell r="S6">
            <v>1.4074631654052501</v>
          </cell>
          <cell r="T6">
            <v>581.5333333333333</v>
          </cell>
          <cell r="U6">
            <v>3.8768888888888888</v>
          </cell>
          <cell r="V6">
            <v>3220.8</v>
          </cell>
          <cell r="W6">
            <v>626.26666666666665</v>
          </cell>
          <cell r="X6">
            <v>6978.4</v>
          </cell>
          <cell r="Y6">
            <v>558.27199999999993</v>
          </cell>
          <cell r="Z6">
            <v>167.48159999999999</v>
          </cell>
          <cell r="AA6">
            <v>1352.0202666666664</v>
          </cell>
          <cell r="AB6">
            <v>9.0134684444444435</v>
          </cell>
        </row>
        <row r="7">
          <cell r="A7" t="str">
            <v>Chisel Plow(Folding)24'</v>
          </cell>
          <cell r="B7" t="str">
            <v>Chisel Plow(Folding)</v>
          </cell>
          <cell r="C7" t="str">
            <v>24'</v>
          </cell>
          <cell r="D7">
            <v>24</v>
          </cell>
          <cell r="E7">
            <v>5.25</v>
          </cell>
          <cell r="F7">
            <v>0.85</v>
          </cell>
          <cell r="G7">
            <v>7.7030812324929962E-2</v>
          </cell>
          <cell r="H7">
            <v>22086</v>
          </cell>
          <cell r="I7">
            <v>30</v>
          </cell>
          <cell r="J7">
            <v>65</v>
          </cell>
          <cell r="K7">
            <v>12</v>
          </cell>
          <cell r="L7">
            <v>150</v>
          </cell>
          <cell r="M7">
            <v>0</v>
          </cell>
          <cell r="N7">
            <v>1800</v>
          </cell>
          <cell r="O7">
            <v>1</v>
          </cell>
          <cell r="P7">
            <v>0.27</v>
          </cell>
          <cell r="Q7">
            <v>1.4</v>
          </cell>
          <cell r="R7">
            <v>418.80185310476907</v>
          </cell>
          <cell r="S7">
            <v>2.7920123540317938</v>
          </cell>
          <cell r="T7">
            <v>1196.325</v>
          </cell>
          <cell r="U7">
            <v>7.9755000000000003</v>
          </cell>
          <cell r="V7">
            <v>6625.8</v>
          </cell>
          <cell r="W7">
            <v>1288.3500000000001</v>
          </cell>
          <cell r="X7">
            <v>14355.9</v>
          </cell>
          <cell r="Y7">
            <v>1148.472</v>
          </cell>
          <cell r="Z7">
            <v>344.54160000000002</v>
          </cell>
          <cell r="AA7">
            <v>2781.3636000000001</v>
          </cell>
          <cell r="AB7">
            <v>18.542424</v>
          </cell>
        </row>
        <row r="8">
          <cell r="A8" t="str">
            <v>Chisel Plow(Folding)32'</v>
          </cell>
          <cell r="B8" t="str">
            <v>Chisel Plow(Folding)</v>
          </cell>
          <cell r="C8" t="str">
            <v>32'</v>
          </cell>
          <cell r="D8">
            <v>32</v>
          </cell>
          <cell r="E8">
            <v>5.25</v>
          </cell>
          <cell r="F8">
            <v>0.85</v>
          </cell>
          <cell r="G8">
            <v>5.7773109243697482E-2</v>
          </cell>
          <cell r="H8">
            <v>26167</v>
          </cell>
          <cell r="I8">
            <v>30</v>
          </cell>
          <cell r="J8">
            <v>65</v>
          </cell>
          <cell r="K8">
            <v>12</v>
          </cell>
          <cell r="L8">
            <v>150</v>
          </cell>
          <cell r="M8">
            <v>0</v>
          </cell>
          <cell r="N8">
            <v>1800</v>
          </cell>
          <cell r="O8">
            <v>1</v>
          </cell>
          <cell r="P8">
            <v>0.19</v>
          </cell>
          <cell r="Q8">
            <v>1.3</v>
          </cell>
          <cell r="R8">
            <v>422.11051629367984</v>
          </cell>
          <cell r="S8">
            <v>2.8140701086245321</v>
          </cell>
          <cell r="T8">
            <v>1417.3791666666666</v>
          </cell>
          <cell r="U8">
            <v>9.4491944444444442</v>
          </cell>
          <cell r="V8">
            <v>7850.1</v>
          </cell>
          <cell r="W8">
            <v>1526.4083333333335</v>
          </cell>
          <cell r="X8">
            <v>17008.55</v>
          </cell>
          <cell r="Y8">
            <v>1360.684</v>
          </cell>
          <cell r="Z8">
            <v>408.20519999999999</v>
          </cell>
          <cell r="AA8">
            <v>3295.2975333333334</v>
          </cell>
          <cell r="AB8">
            <v>21.968650222222223</v>
          </cell>
        </row>
        <row r="9">
          <cell r="A9" t="str">
            <v>Chisel Plow(Folding)42'</v>
          </cell>
          <cell r="B9" t="str">
            <v>Chisel Plow(Folding)</v>
          </cell>
          <cell r="C9" t="str">
            <v>42'</v>
          </cell>
          <cell r="D9">
            <v>42</v>
          </cell>
          <cell r="E9">
            <v>5.25</v>
          </cell>
          <cell r="F9">
            <v>0.85</v>
          </cell>
          <cell r="G9">
            <v>4.4017607042817125E-2</v>
          </cell>
          <cell r="H9">
            <v>31213</v>
          </cell>
          <cell r="I9">
            <v>30</v>
          </cell>
          <cell r="J9">
            <v>65</v>
          </cell>
          <cell r="K9">
            <v>12</v>
          </cell>
          <cell r="L9">
            <v>150</v>
          </cell>
          <cell r="M9">
            <v>0</v>
          </cell>
          <cell r="N9">
            <v>1800</v>
          </cell>
          <cell r="O9">
            <v>1</v>
          </cell>
          <cell r="P9">
            <v>0.27</v>
          </cell>
          <cell r="Q9">
            <v>1.4</v>
          </cell>
          <cell r="R9">
            <v>591.87096988857911</v>
          </cell>
          <cell r="S9">
            <v>3.9458064659238605</v>
          </cell>
          <cell r="T9">
            <v>1690.7041666666667</v>
          </cell>
          <cell r="U9">
            <v>11.27136111111111</v>
          </cell>
          <cell r="V9">
            <v>9363.9</v>
          </cell>
          <cell r="W9">
            <v>1820.7583333333332</v>
          </cell>
          <cell r="X9">
            <v>20288.45</v>
          </cell>
          <cell r="Y9">
            <v>1623.076</v>
          </cell>
          <cell r="Z9">
            <v>486.92280000000005</v>
          </cell>
          <cell r="AA9">
            <v>3930.7571333333335</v>
          </cell>
          <cell r="AB9">
            <v>26.205047555555556</v>
          </cell>
        </row>
        <row r="10">
          <cell r="A10" t="str">
            <v>Chisel Plow(Rigid)15'</v>
          </cell>
          <cell r="B10" t="str">
            <v>Chisel Plow(Rigid)</v>
          </cell>
          <cell r="C10" t="str">
            <v>15'</v>
          </cell>
          <cell r="D10">
            <v>15</v>
          </cell>
          <cell r="E10">
            <v>5.25</v>
          </cell>
          <cell r="F10">
            <v>0.85</v>
          </cell>
          <cell r="G10">
            <v>0.12324929971988796</v>
          </cell>
          <cell r="H10">
            <v>7660</v>
          </cell>
          <cell r="I10">
            <v>30</v>
          </cell>
          <cell r="J10">
            <v>65</v>
          </cell>
          <cell r="K10">
            <v>12</v>
          </cell>
          <cell r="L10">
            <v>150</v>
          </cell>
          <cell r="M10">
            <v>0</v>
          </cell>
          <cell r="N10">
            <v>1800</v>
          </cell>
          <cell r="O10">
            <v>1</v>
          </cell>
          <cell r="P10">
            <v>0.27</v>
          </cell>
          <cell r="Q10">
            <v>1.4</v>
          </cell>
          <cell r="R10">
            <v>145.25138978459347</v>
          </cell>
          <cell r="S10">
            <v>0.96834259856395644</v>
          </cell>
          <cell r="T10">
            <v>414.91666666666669</v>
          </cell>
          <cell r="U10">
            <v>2.7661111111111114</v>
          </cell>
          <cell r="V10">
            <v>2298</v>
          </cell>
          <cell r="W10">
            <v>446.83333333333331</v>
          </cell>
          <cell r="X10">
            <v>4979</v>
          </cell>
          <cell r="Y10">
            <v>398.32</v>
          </cell>
          <cell r="Z10">
            <v>119.49600000000001</v>
          </cell>
          <cell r="AA10">
            <v>964.64933333333329</v>
          </cell>
          <cell r="AB10">
            <v>6.4309955555555556</v>
          </cell>
        </row>
        <row r="11">
          <cell r="A11" t="str">
            <v>Chisel Plow(Rigid)24'</v>
          </cell>
          <cell r="B11" t="str">
            <v>Chisel Plow(Rigid)</v>
          </cell>
          <cell r="C11" t="str">
            <v>24'</v>
          </cell>
          <cell r="D11">
            <v>24</v>
          </cell>
          <cell r="E11">
            <v>5.25</v>
          </cell>
          <cell r="F11">
            <v>0.85</v>
          </cell>
          <cell r="G11">
            <v>7.7030812324929962E-2</v>
          </cell>
          <cell r="H11">
            <v>8803</v>
          </cell>
          <cell r="I11">
            <v>30</v>
          </cell>
          <cell r="J11">
            <v>65</v>
          </cell>
          <cell r="K11">
            <v>12</v>
          </cell>
          <cell r="L11">
            <v>150</v>
          </cell>
          <cell r="M11">
            <v>0</v>
          </cell>
          <cell r="N11">
            <v>1800</v>
          </cell>
          <cell r="O11">
            <v>1</v>
          </cell>
          <cell r="P11">
            <v>0.27</v>
          </cell>
          <cell r="Q11">
            <v>1.4</v>
          </cell>
          <cell r="R11">
            <v>166.92532431772534</v>
          </cell>
          <cell r="S11">
            <v>1.1128354954515023</v>
          </cell>
          <cell r="T11">
            <v>476.82916666666665</v>
          </cell>
          <cell r="U11">
            <v>3.1788611111111109</v>
          </cell>
          <cell r="V11">
            <v>2640.9</v>
          </cell>
          <cell r="W11">
            <v>513.50833333333333</v>
          </cell>
          <cell r="X11">
            <v>5721.95</v>
          </cell>
          <cell r="Y11">
            <v>457.75599999999997</v>
          </cell>
          <cell r="Z11">
            <v>137.32679999999999</v>
          </cell>
          <cell r="AA11">
            <v>1108.5911333333333</v>
          </cell>
          <cell r="AB11">
            <v>7.3906075555555555</v>
          </cell>
        </row>
        <row r="12">
          <cell r="A12" t="str">
            <v>Chisel-Harrow21 shank</v>
          </cell>
          <cell r="B12" t="str">
            <v>Chisel-Harrow</v>
          </cell>
          <cell r="C12" t="str">
            <v>21 shank</v>
          </cell>
          <cell r="D12">
            <v>21</v>
          </cell>
          <cell r="E12">
            <v>5.25</v>
          </cell>
          <cell r="F12">
            <v>0.85</v>
          </cell>
          <cell r="G12">
            <v>8.803521408563425E-2</v>
          </cell>
          <cell r="H12">
            <v>8033</v>
          </cell>
          <cell r="I12">
            <v>30</v>
          </cell>
          <cell r="J12">
            <v>65</v>
          </cell>
          <cell r="K12">
            <v>12</v>
          </cell>
          <cell r="L12">
            <v>150</v>
          </cell>
          <cell r="M12">
            <v>0</v>
          </cell>
          <cell r="N12">
            <v>1800</v>
          </cell>
          <cell r="O12">
            <v>1</v>
          </cell>
          <cell r="P12">
            <v>0.27</v>
          </cell>
          <cell r="Q12">
            <v>1.4</v>
          </cell>
          <cell r="R12">
            <v>152.32433604956128</v>
          </cell>
          <cell r="S12">
            <v>1.0154955736637419</v>
          </cell>
          <cell r="T12">
            <v>435.12083333333334</v>
          </cell>
          <cell r="U12">
            <v>2.9008055555555554</v>
          </cell>
          <cell r="V12">
            <v>2409.9</v>
          </cell>
          <cell r="W12">
            <v>468.5916666666667</v>
          </cell>
          <cell r="X12">
            <v>5221.45</v>
          </cell>
          <cell r="Y12">
            <v>417.71600000000001</v>
          </cell>
          <cell r="Z12">
            <v>125.31480000000001</v>
          </cell>
          <cell r="AA12">
            <v>1011.6224666666667</v>
          </cell>
          <cell r="AB12">
            <v>6.7441497777777784</v>
          </cell>
        </row>
        <row r="13">
          <cell r="A13" t="str">
            <v>Chisel-Harrow27 shank</v>
          </cell>
          <cell r="B13" t="str">
            <v>Chisel-Harrow</v>
          </cell>
          <cell r="C13" t="str">
            <v>27 shank</v>
          </cell>
          <cell r="D13">
            <v>27</v>
          </cell>
          <cell r="E13">
            <v>5.25</v>
          </cell>
          <cell r="F13">
            <v>0.85</v>
          </cell>
          <cell r="G13">
            <v>6.8471833177715533E-2</v>
          </cell>
          <cell r="H13">
            <v>10575</v>
          </cell>
          <cell r="I13">
            <v>30</v>
          </cell>
          <cell r="J13">
            <v>65</v>
          </cell>
          <cell r="K13">
            <v>12</v>
          </cell>
          <cell r="L13">
            <v>150</v>
          </cell>
          <cell r="M13">
            <v>0</v>
          </cell>
          <cell r="N13">
            <v>1800</v>
          </cell>
          <cell r="O13">
            <v>1</v>
          </cell>
          <cell r="P13">
            <v>0.27</v>
          </cell>
          <cell r="Q13">
            <v>1.4</v>
          </cell>
          <cell r="R13">
            <v>200.52655965692895</v>
          </cell>
          <cell r="S13">
            <v>1.3368437310461929</v>
          </cell>
          <cell r="T13">
            <v>572.8125</v>
          </cell>
          <cell r="U13">
            <v>3.8187500000000001</v>
          </cell>
          <cell r="V13">
            <v>3172.5</v>
          </cell>
          <cell r="W13">
            <v>616.875</v>
          </cell>
          <cell r="X13">
            <v>6873.75</v>
          </cell>
          <cell r="Y13">
            <v>549.9</v>
          </cell>
          <cell r="Z13">
            <v>164.97</v>
          </cell>
          <cell r="AA13">
            <v>1331.7449999999999</v>
          </cell>
          <cell r="AB13">
            <v>8.8782999999999994</v>
          </cell>
        </row>
        <row r="14">
          <cell r="A14" t="str">
            <v>Colter-Chisel-Harrow21 shank</v>
          </cell>
          <cell r="B14" t="str">
            <v>Colter-Chisel-Harrow</v>
          </cell>
          <cell r="C14" t="str">
            <v>21 shank</v>
          </cell>
          <cell r="D14">
            <v>21</v>
          </cell>
          <cell r="E14">
            <v>5.25</v>
          </cell>
          <cell r="F14">
            <v>0.85</v>
          </cell>
          <cell r="G14">
            <v>8.803521408563425E-2</v>
          </cell>
          <cell r="H14">
            <v>14365</v>
          </cell>
          <cell r="I14">
            <v>30</v>
          </cell>
          <cell r="J14">
            <v>65</v>
          </cell>
          <cell r="K14">
            <v>12</v>
          </cell>
          <cell r="L14">
            <v>150</v>
          </cell>
          <cell r="M14">
            <v>0</v>
          </cell>
          <cell r="N14">
            <v>1800</v>
          </cell>
          <cell r="O14">
            <v>1</v>
          </cell>
          <cell r="P14">
            <v>0.27</v>
          </cell>
          <cell r="Q14">
            <v>1.4</v>
          </cell>
          <cell r="R14">
            <v>272.39376165217823</v>
          </cell>
          <cell r="S14">
            <v>1.8159584110145215</v>
          </cell>
          <cell r="T14">
            <v>778.10416666666663</v>
          </cell>
          <cell r="U14">
            <v>5.1873611111111106</v>
          </cell>
          <cell r="V14">
            <v>4309.5</v>
          </cell>
          <cell r="W14">
            <v>837.95833333333337</v>
          </cell>
          <cell r="X14">
            <v>9337.25</v>
          </cell>
          <cell r="Y14">
            <v>746.98</v>
          </cell>
          <cell r="Z14">
            <v>224.09399999999999</v>
          </cell>
          <cell r="AA14">
            <v>1809.0323333333336</v>
          </cell>
          <cell r="AB14">
            <v>12.060215555555557</v>
          </cell>
        </row>
        <row r="15">
          <cell r="A15" t="str">
            <v>Colter-Chisel-Harrow27 shank</v>
          </cell>
          <cell r="B15" t="str">
            <v>Colter-Chisel-Harrow</v>
          </cell>
          <cell r="C15" t="str">
            <v>27 shank</v>
          </cell>
          <cell r="D15">
            <v>27</v>
          </cell>
          <cell r="E15">
            <v>5</v>
          </cell>
          <cell r="F15">
            <v>0.85</v>
          </cell>
          <cell r="G15">
            <v>7.1895424836601315E-2</v>
          </cell>
          <cell r="H15">
            <v>18716</v>
          </cell>
          <cell r="I15">
            <v>30</v>
          </cell>
          <cell r="J15">
            <v>65</v>
          </cell>
          <cell r="K15">
            <v>12</v>
          </cell>
          <cell r="L15">
            <v>150</v>
          </cell>
          <cell r="M15">
            <v>0</v>
          </cell>
          <cell r="N15">
            <v>1800</v>
          </cell>
          <cell r="O15">
            <v>1</v>
          </cell>
          <cell r="P15">
            <v>0.27</v>
          </cell>
          <cell r="Q15">
            <v>1.4</v>
          </cell>
          <cell r="R15">
            <v>354.89882652851844</v>
          </cell>
          <cell r="S15">
            <v>2.3659921768567895</v>
          </cell>
          <cell r="T15">
            <v>1013.7833333333333</v>
          </cell>
          <cell r="U15">
            <v>6.7585555555555556</v>
          </cell>
          <cell r="V15">
            <v>5614.8</v>
          </cell>
          <cell r="W15">
            <v>1091.7666666666667</v>
          </cell>
          <cell r="X15">
            <v>12165.4</v>
          </cell>
          <cell r="Y15">
            <v>973.23199999999997</v>
          </cell>
          <cell r="Z15">
            <v>291.96960000000001</v>
          </cell>
          <cell r="AA15">
            <v>2356.9682666666668</v>
          </cell>
          <cell r="AB15">
            <v>15.713121777777779</v>
          </cell>
        </row>
        <row r="16">
          <cell r="A16" t="str">
            <v>Cult &amp; Post10R-30</v>
          </cell>
          <cell r="B16" t="str">
            <v>Cult &amp; Post</v>
          </cell>
          <cell r="C16" t="str">
            <v>10R-30</v>
          </cell>
          <cell r="D16">
            <v>25</v>
          </cell>
          <cell r="E16">
            <v>5</v>
          </cell>
          <cell r="F16">
            <v>0.8</v>
          </cell>
          <cell r="G16">
            <v>8.2500000000000004E-2</v>
          </cell>
          <cell r="H16">
            <v>25170</v>
          </cell>
          <cell r="I16">
            <v>30</v>
          </cell>
          <cell r="J16">
            <v>40</v>
          </cell>
          <cell r="K16">
            <v>10</v>
          </cell>
          <cell r="L16">
            <v>150</v>
          </cell>
          <cell r="M16">
            <v>0</v>
          </cell>
          <cell r="N16">
            <v>1500</v>
          </cell>
          <cell r="O16">
            <v>1</v>
          </cell>
          <cell r="P16">
            <v>0.27</v>
          </cell>
          <cell r="Q16">
            <v>1.4</v>
          </cell>
          <cell r="R16">
            <v>477.28165546713024</v>
          </cell>
          <cell r="S16">
            <v>3.1818777031142016</v>
          </cell>
          <cell r="T16">
            <v>1006.8</v>
          </cell>
          <cell r="U16">
            <v>6.7119999999999997</v>
          </cell>
          <cell r="V16">
            <v>7551</v>
          </cell>
          <cell r="W16">
            <v>1761.9</v>
          </cell>
          <cell r="X16">
            <v>16360.5</v>
          </cell>
          <cell r="Y16">
            <v>1308.8399999999999</v>
          </cell>
          <cell r="Z16">
            <v>392.65199999999999</v>
          </cell>
          <cell r="AA16">
            <v>3463.3919999999998</v>
          </cell>
          <cell r="AB16">
            <v>23.089279999999999</v>
          </cell>
        </row>
        <row r="17">
          <cell r="A17" t="str">
            <v>Cult &amp; Post10R-36</v>
          </cell>
          <cell r="B17" t="str">
            <v>Cult &amp; Post</v>
          </cell>
          <cell r="C17" t="str">
            <v>10R-36</v>
          </cell>
          <cell r="D17">
            <v>30</v>
          </cell>
          <cell r="E17">
            <v>5</v>
          </cell>
          <cell r="F17">
            <v>0.8</v>
          </cell>
          <cell r="G17">
            <v>6.8750000000000006E-2</v>
          </cell>
          <cell r="H17">
            <v>29310</v>
          </cell>
          <cell r="I17">
            <v>30</v>
          </cell>
          <cell r="J17">
            <v>40</v>
          </cell>
          <cell r="K17">
            <v>10</v>
          </cell>
          <cell r="L17">
            <v>150</v>
          </cell>
          <cell r="M17">
            <v>0</v>
          </cell>
          <cell r="N17">
            <v>1500</v>
          </cell>
          <cell r="O17">
            <v>1</v>
          </cell>
          <cell r="P17">
            <v>0.27</v>
          </cell>
          <cell r="Q17">
            <v>1.4</v>
          </cell>
          <cell r="R17">
            <v>555.785670311545</v>
          </cell>
          <cell r="S17">
            <v>3.7052378020769665</v>
          </cell>
          <cell r="T17">
            <v>1172.4000000000001</v>
          </cell>
          <cell r="U17">
            <v>7.8160000000000007</v>
          </cell>
          <cell r="V17">
            <v>8793</v>
          </cell>
          <cell r="W17">
            <v>2051.6999999999998</v>
          </cell>
          <cell r="X17">
            <v>19051.5</v>
          </cell>
          <cell r="Y17">
            <v>1524.1200000000001</v>
          </cell>
          <cell r="Z17">
            <v>457.23599999999999</v>
          </cell>
          <cell r="AA17">
            <v>4033.056</v>
          </cell>
          <cell r="AB17">
            <v>26.887039999999999</v>
          </cell>
        </row>
        <row r="18">
          <cell r="A18" t="str">
            <v>Cult &amp; Post12R-30</v>
          </cell>
          <cell r="B18" t="str">
            <v>Cult &amp; Post</v>
          </cell>
          <cell r="C18" t="str">
            <v>12R-30</v>
          </cell>
          <cell r="D18">
            <v>30</v>
          </cell>
          <cell r="E18">
            <v>5</v>
          </cell>
          <cell r="F18">
            <v>0.8</v>
          </cell>
          <cell r="G18">
            <v>6.8750000000000006E-2</v>
          </cell>
          <cell r="H18">
            <v>29310</v>
          </cell>
          <cell r="I18">
            <v>30</v>
          </cell>
          <cell r="J18">
            <v>40</v>
          </cell>
          <cell r="K18">
            <v>10</v>
          </cell>
          <cell r="L18">
            <v>150</v>
          </cell>
          <cell r="M18">
            <v>0</v>
          </cell>
          <cell r="N18">
            <v>1500</v>
          </cell>
          <cell r="O18">
            <v>1</v>
          </cell>
          <cell r="P18">
            <v>0.27</v>
          </cell>
          <cell r="Q18">
            <v>1.4</v>
          </cell>
          <cell r="R18">
            <v>555.785670311545</v>
          </cell>
          <cell r="S18">
            <v>3.7052378020769665</v>
          </cell>
          <cell r="T18">
            <v>1172.4000000000001</v>
          </cell>
          <cell r="U18">
            <v>7.8160000000000007</v>
          </cell>
          <cell r="V18">
            <v>8793</v>
          </cell>
          <cell r="W18">
            <v>2051.6999999999998</v>
          </cell>
          <cell r="X18">
            <v>19051.5</v>
          </cell>
          <cell r="Y18">
            <v>1524.1200000000001</v>
          </cell>
          <cell r="Z18">
            <v>457.23599999999999</v>
          </cell>
          <cell r="AA18">
            <v>4033.056</v>
          </cell>
          <cell r="AB18">
            <v>26.887039999999999</v>
          </cell>
        </row>
        <row r="19">
          <cell r="A19" t="str">
            <v>Cult &amp; Post12R-36</v>
          </cell>
          <cell r="B19" t="str">
            <v>Cult &amp; Post</v>
          </cell>
          <cell r="C19" t="str">
            <v>12R-36</v>
          </cell>
          <cell r="D19">
            <v>36</v>
          </cell>
          <cell r="E19">
            <v>5</v>
          </cell>
          <cell r="F19">
            <v>0.8</v>
          </cell>
          <cell r="G19">
            <v>5.7291666666666671E-2</v>
          </cell>
          <cell r="H19">
            <v>31338</v>
          </cell>
          <cell r="I19">
            <v>30</v>
          </cell>
          <cell r="J19">
            <v>40</v>
          </cell>
          <cell r="K19">
            <v>10</v>
          </cell>
          <cell r="L19">
            <v>150</v>
          </cell>
          <cell r="M19">
            <v>0</v>
          </cell>
          <cell r="N19">
            <v>1500</v>
          </cell>
          <cell r="O19">
            <v>1</v>
          </cell>
          <cell r="P19">
            <v>0.27</v>
          </cell>
          <cell r="Q19">
            <v>1.4</v>
          </cell>
          <cell r="R19">
            <v>594.24126019185246</v>
          </cell>
          <cell r="S19">
            <v>3.9616084012790163</v>
          </cell>
          <cell r="T19">
            <v>1253.52</v>
          </cell>
          <cell r="U19">
            <v>8.3567999999999998</v>
          </cell>
          <cell r="V19">
            <v>9401.4</v>
          </cell>
          <cell r="W19">
            <v>2193.66</v>
          </cell>
          <cell r="X19">
            <v>20369.7</v>
          </cell>
          <cell r="Y19">
            <v>1629.576</v>
          </cell>
          <cell r="Z19">
            <v>488.87280000000004</v>
          </cell>
          <cell r="AA19">
            <v>4312.1088</v>
          </cell>
          <cell r="AB19">
            <v>28.747392000000001</v>
          </cell>
        </row>
        <row r="20">
          <cell r="A20" t="str">
            <v>Cult &amp; Post4R-36</v>
          </cell>
          <cell r="B20" t="str">
            <v>Cult &amp; Post</v>
          </cell>
          <cell r="C20" t="str">
            <v>4R-36</v>
          </cell>
          <cell r="D20">
            <v>12</v>
          </cell>
          <cell r="E20">
            <v>5</v>
          </cell>
          <cell r="F20">
            <v>0.8</v>
          </cell>
          <cell r="G20">
            <v>0.171875</v>
          </cell>
          <cell r="H20">
            <v>13307</v>
          </cell>
          <cell r="I20">
            <v>30</v>
          </cell>
          <cell r="J20">
            <v>40</v>
          </cell>
          <cell r="K20">
            <v>10</v>
          </cell>
          <cell r="L20">
            <v>150</v>
          </cell>
          <cell r="M20">
            <v>0</v>
          </cell>
          <cell r="N20">
            <v>1500</v>
          </cell>
          <cell r="O20">
            <v>1</v>
          </cell>
          <cell r="P20">
            <v>0.27</v>
          </cell>
          <cell r="Q20">
            <v>1.4</v>
          </cell>
          <cell r="R20">
            <v>252.33162452527222</v>
          </cell>
          <cell r="S20">
            <v>1.6822108301684815</v>
          </cell>
          <cell r="T20">
            <v>532.28</v>
          </cell>
          <cell r="U20">
            <v>3.5485333333333333</v>
          </cell>
          <cell r="V20">
            <v>3992.1</v>
          </cell>
          <cell r="W20">
            <v>931.49</v>
          </cell>
          <cell r="X20">
            <v>8649.5499999999993</v>
          </cell>
          <cell r="Y20">
            <v>691.96399999999994</v>
          </cell>
          <cell r="Z20">
            <v>207.58919999999998</v>
          </cell>
          <cell r="AA20">
            <v>1831.0432000000001</v>
          </cell>
          <cell r="AB20">
            <v>12.206954666666666</v>
          </cell>
        </row>
        <row r="21">
          <cell r="A21" t="str">
            <v>Cult &amp; Post6R-30</v>
          </cell>
          <cell r="B21" t="str">
            <v>Cult &amp; Post</v>
          </cell>
          <cell r="C21" t="str">
            <v>6R-30</v>
          </cell>
          <cell r="D21">
            <v>15</v>
          </cell>
          <cell r="E21">
            <v>5</v>
          </cell>
          <cell r="F21">
            <v>0.8</v>
          </cell>
          <cell r="G21">
            <v>0.13750000000000001</v>
          </cell>
          <cell r="H21">
            <v>17362</v>
          </cell>
          <cell r="I21">
            <v>30</v>
          </cell>
          <cell r="J21">
            <v>40</v>
          </cell>
          <cell r="K21">
            <v>10</v>
          </cell>
          <cell r="L21">
            <v>150</v>
          </cell>
          <cell r="M21">
            <v>0</v>
          </cell>
          <cell r="N21">
            <v>1500</v>
          </cell>
          <cell r="O21">
            <v>1</v>
          </cell>
          <cell r="P21">
            <v>0.27</v>
          </cell>
          <cell r="Q21">
            <v>1.4</v>
          </cell>
          <cell r="R21">
            <v>329.2238419634611</v>
          </cell>
          <cell r="S21">
            <v>2.1948256130897406</v>
          </cell>
          <cell r="T21">
            <v>694.48</v>
          </cell>
          <cell r="U21">
            <v>4.6298666666666666</v>
          </cell>
          <cell r="V21">
            <v>5208.6000000000004</v>
          </cell>
          <cell r="W21">
            <v>1215.3399999999999</v>
          </cell>
          <cell r="X21">
            <v>11285.3</v>
          </cell>
          <cell r="Y21">
            <v>902.82399999999996</v>
          </cell>
          <cell r="Z21">
            <v>270.84719999999999</v>
          </cell>
          <cell r="AA21">
            <v>2389.0111999999999</v>
          </cell>
          <cell r="AB21">
            <v>15.926741333333332</v>
          </cell>
        </row>
        <row r="22">
          <cell r="A22" t="str">
            <v>Cult &amp; Post6R-36</v>
          </cell>
          <cell r="B22" t="str">
            <v>Cult &amp; Post</v>
          </cell>
          <cell r="C22" t="str">
            <v>6R-36</v>
          </cell>
          <cell r="D22">
            <v>18</v>
          </cell>
          <cell r="E22">
            <v>5</v>
          </cell>
          <cell r="F22">
            <v>0.8</v>
          </cell>
          <cell r="G22">
            <v>0.11458333333333334</v>
          </cell>
          <cell r="H22">
            <v>17735</v>
          </cell>
          <cell r="I22">
            <v>30</v>
          </cell>
          <cell r="J22">
            <v>40</v>
          </cell>
          <cell r="K22">
            <v>10</v>
          </cell>
          <cell r="L22">
            <v>150</v>
          </cell>
          <cell r="M22">
            <v>0</v>
          </cell>
          <cell r="N22">
            <v>1500</v>
          </cell>
          <cell r="O22">
            <v>1</v>
          </cell>
          <cell r="P22">
            <v>0.27</v>
          </cell>
          <cell r="Q22">
            <v>1.4</v>
          </cell>
          <cell r="R22">
            <v>336.29678822842891</v>
          </cell>
          <cell r="S22">
            <v>2.241978588189526</v>
          </cell>
          <cell r="T22">
            <v>709.4</v>
          </cell>
          <cell r="U22">
            <v>4.7293333333333329</v>
          </cell>
          <cell r="V22">
            <v>5320.5</v>
          </cell>
          <cell r="W22">
            <v>1241.45</v>
          </cell>
          <cell r="X22">
            <v>11527.75</v>
          </cell>
          <cell r="Y22">
            <v>922.22</v>
          </cell>
          <cell r="Z22">
            <v>276.666</v>
          </cell>
          <cell r="AA22">
            <v>2440.3360000000002</v>
          </cell>
          <cell r="AB22">
            <v>16.26890666666667</v>
          </cell>
        </row>
        <row r="23">
          <cell r="A23" t="str">
            <v>Cult &amp; Post8R-30</v>
          </cell>
          <cell r="B23" t="str">
            <v>Cult &amp; Post</v>
          </cell>
          <cell r="C23" t="str">
            <v>8R-30</v>
          </cell>
          <cell r="D23">
            <v>20</v>
          </cell>
          <cell r="E23">
            <v>5</v>
          </cell>
          <cell r="F23">
            <v>0.8</v>
          </cell>
          <cell r="G23">
            <v>0.10312499999999999</v>
          </cell>
          <cell r="H23">
            <v>20627</v>
          </cell>
          <cell r="I23">
            <v>30</v>
          </cell>
          <cell r="J23">
            <v>40</v>
          </cell>
          <cell r="K23">
            <v>10</v>
          </cell>
          <cell r="L23">
            <v>150</v>
          </cell>
          <cell r="M23">
            <v>0</v>
          </cell>
          <cell r="N23">
            <v>1500</v>
          </cell>
          <cell r="O23">
            <v>1</v>
          </cell>
          <cell r="P23">
            <v>0.27</v>
          </cell>
          <cell r="Q23">
            <v>1.4</v>
          </cell>
          <cell r="R23">
            <v>391.13582468496202</v>
          </cell>
          <cell r="S23">
            <v>2.6075721645664136</v>
          </cell>
          <cell r="T23">
            <v>825.07999999999993</v>
          </cell>
          <cell r="U23">
            <v>5.5005333333333333</v>
          </cell>
          <cell r="V23">
            <v>6188.1</v>
          </cell>
          <cell r="W23">
            <v>1443.8899999999999</v>
          </cell>
          <cell r="X23">
            <v>13407.55</v>
          </cell>
          <cell r="Y23">
            <v>1072.604</v>
          </cell>
          <cell r="Z23">
            <v>321.78120000000001</v>
          </cell>
          <cell r="AA23">
            <v>2838.2752</v>
          </cell>
          <cell r="AB23">
            <v>18.921834666666665</v>
          </cell>
        </row>
        <row r="24">
          <cell r="A24" t="str">
            <v>Cult &amp; Post8R-36</v>
          </cell>
          <cell r="B24" t="str">
            <v>Cult &amp; Post</v>
          </cell>
          <cell r="C24" t="str">
            <v>8R-36</v>
          </cell>
          <cell r="D24">
            <v>24</v>
          </cell>
          <cell r="E24">
            <v>5</v>
          </cell>
          <cell r="F24">
            <v>0.8</v>
          </cell>
          <cell r="G24">
            <v>8.59375E-2</v>
          </cell>
          <cell r="H24">
            <v>22021</v>
          </cell>
          <cell r="I24">
            <v>30</v>
          </cell>
          <cell r="J24">
            <v>40</v>
          </cell>
          <cell r="K24">
            <v>10</v>
          </cell>
          <cell r="L24">
            <v>150</v>
          </cell>
          <cell r="M24">
            <v>0</v>
          </cell>
          <cell r="N24">
            <v>1500</v>
          </cell>
          <cell r="O24">
            <v>1</v>
          </cell>
          <cell r="P24">
            <v>0.27</v>
          </cell>
          <cell r="Q24">
            <v>1.4</v>
          </cell>
          <cell r="R24">
            <v>417.56930214706694</v>
          </cell>
          <cell r="S24">
            <v>2.7837953476471129</v>
          </cell>
          <cell r="T24">
            <v>880.83999999999992</v>
          </cell>
          <cell r="U24">
            <v>5.8722666666666665</v>
          </cell>
          <cell r="V24">
            <v>6606.3</v>
          </cell>
          <cell r="W24">
            <v>1541.47</v>
          </cell>
          <cell r="X24">
            <v>14313.65</v>
          </cell>
          <cell r="Y24">
            <v>1145.0920000000001</v>
          </cell>
          <cell r="Z24">
            <v>343.52760000000001</v>
          </cell>
          <cell r="AA24">
            <v>3030.0896000000002</v>
          </cell>
          <cell r="AB24">
            <v>20.200597333333334</v>
          </cell>
        </row>
        <row r="25">
          <cell r="A25" t="str">
            <v>Cult &amp; Post8R-40 2x1</v>
          </cell>
          <cell r="B25" t="str">
            <v>Cult &amp; Post</v>
          </cell>
          <cell r="C25" t="str">
            <v>8R-40 2x1</v>
          </cell>
          <cell r="D25">
            <v>40</v>
          </cell>
          <cell r="E25">
            <v>5</v>
          </cell>
          <cell r="F25">
            <v>0.8</v>
          </cell>
          <cell r="G25">
            <v>5.1562499999999997E-2</v>
          </cell>
          <cell r="H25">
            <v>31338</v>
          </cell>
          <cell r="I25">
            <v>30</v>
          </cell>
          <cell r="J25">
            <v>40</v>
          </cell>
          <cell r="K25">
            <v>10</v>
          </cell>
          <cell r="L25">
            <v>150</v>
          </cell>
          <cell r="M25">
            <v>0</v>
          </cell>
          <cell r="N25">
            <v>1500</v>
          </cell>
          <cell r="O25">
            <v>1</v>
          </cell>
          <cell r="P25">
            <v>0.27</v>
          </cell>
          <cell r="Q25">
            <v>1.4</v>
          </cell>
          <cell r="R25">
            <v>594.24126019185246</v>
          </cell>
          <cell r="S25">
            <v>3.9616084012790163</v>
          </cell>
          <cell r="T25">
            <v>1253.52</v>
          </cell>
          <cell r="U25">
            <v>8.3567999999999998</v>
          </cell>
          <cell r="V25">
            <v>9401.4</v>
          </cell>
          <cell r="W25">
            <v>2193.66</v>
          </cell>
          <cell r="X25">
            <v>20369.7</v>
          </cell>
          <cell r="Y25">
            <v>1629.576</v>
          </cell>
          <cell r="Z25">
            <v>488.87280000000004</v>
          </cell>
          <cell r="AA25">
            <v>4312.1088</v>
          </cell>
          <cell r="AB25">
            <v>28.747392000000001</v>
          </cell>
        </row>
        <row r="26">
          <cell r="A26" t="str">
            <v>Cultipacker12'</v>
          </cell>
          <cell r="B26" t="str">
            <v>Cultipacker</v>
          </cell>
          <cell r="C26" t="str">
            <v>12'</v>
          </cell>
          <cell r="D26">
            <v>12</v>
          </cell>
          <cell r="E26">
            <v>6.5</v>
          </cell>
          <cell r="F26">
            <v>0.85</v>
          </cell>
          <cell r="G26">
            <v>0.12443438914027148</v>
          </cell>
          <cell r="H26">
            <v>3666</v>
          </cell>
          <cell r="I26">
            <v>25</v>
          </cell>
          <cell r="J26">
            <v>85</v>
          </cell>
          <cell r="K26">
            <v>12</v>
          </cell>
          <cell r="L26">
            <v>300</v>
          </cell>
          <cell r="M26">
            <v>0</v>
          </cell>
          <cell r="N26">
            <v>3600</v>
          </cell>
          <cell r="O26">
            <v>1</v>
          </cell>
          <cell r="P26">
            <v>0.27</v>
          </cell>
          <cell r="Q26">
            <v>1.4</v>
          </cell>
          <cell r="R26">
            <v>183.45349137259069</v>
          </cell>
          <cell r="S26">
            <v>0.61151163790863561</v>
          </cell>
          <cell r="T26">
            <v>259.67500000000001</v>
          </cell>
          <cell r="U26">
            <v>0.86558333333333337</v>
          </cell>
          <cell r="V26">
            <v>916.5</v>
          </cell>
          <cell r="W26">
            <v>229.125</v>
          </cell>
          <cell r="X26">
            <v>2291.25</v>
          </cell>
          <cell r="Y26">
            <v>183.3</v>
          </cell>
          <cell r="Z26">
            <v>54.99</v>
          </cell>
          <cell r="AA26">
            <v>467.41500000000002</v>
          </cell>
          <cell r="AB26">
            <v>1.5580500000000002</v>
          </cell>
        </row>
        <row r="27">
          <cell r="A27" t="str">
            <v>Cultipacker20'</v>
          </cell>
          <cell r="B27" t="str">
            <v>Cultipacker</v>
          </cell>
          <cell r="C27" t="str">
            <v>20'</v>
          </cell>
          <cell r="D27">
            <v>20</v>
          </cell>
          <cell r="E27">
            <v>6.5</v>
          </cell>
          <cell r="F27">
            <v>0.85</v>
          </cell>
          <cell r="G27">
            <v>7.4660633484162894E-2</v>
          </cell>
          <cell r="H27">
            <v>11414</v>
          </cell>
          <cell r="I27">
            <v>25</v>
          </cell>
          <cell r="J27">
            <v>85</v>
          </cell>
          <cell r="K27">
            <v>12</v>
          </cell>
          <cell r="L27">
            <v>300</v>
          </cell>
          <cell r="M27">
            <v>0</v>
          </cell>
          <cell r="N27">
            <v>3600</v>
          </cell>
          <cell r="O27">
            <v>1</v>
          </cell>
          <cell r="P27">
            <v>0.27</v>
          </cell>
          <cell r="Q27">
            <v>1.4</v>
          </cell>
          <cell r="R27">
            <v>571.17789157849165</v>
          </cell>
          <cell r="S27">
            <v>1.9039263052616389</v>
          </cell>
          <cell r="T27">
            <v>808.49166666666667</v>
          </cell>
          <cell r="U27">
            <v>2.6949722222222223</v>
          </cell>
          <cell r="V27">
            <v>2853.5</v>
          </cell>
          <cell r="W27">
            <v>713.375</v>
          </cell>
          <cell r="X27">
            <v>7133.75</v>
          </cell>
          <cell r="Y27">
            <v>570.70000000000005</v>
          </cell>
          <cell r="Z27">
            <v>171.21</v>
          </cell>
          <cell r="AA27">
            <v>1455.2850000000001</v>
          </cell>
          <cell r="AB27">
            <v>4.8509500000000001</v>
          </cell>
        </row>
        <row r="28">
          <cell r="A28" t="str">
            <v>Cultivate10R-30</v>
          </cell>
          <cell r="B28" t="str">
            <v>Cultivate</v>
          </cell>
          <cell r="C28" t="str">
            <v>10R-30</v>
          </cell>
          <cell r="D28">
            <v>25</v>
          </cell>
          <cell r="E28">
            <v>5</v>
          </cell>
          <cell r="F28">
            <v>0.8</v>
          </cell>
          <cell r="G28">
            <v>8.2500000000000004E-2</v>
          </cell>
          <cell r="H28">
            <v>19800</v>
          </cell>
          <cell r="I28">
            <v>30</v>
          </cell>
          <cell r="J28">
            <v>40</v>
          </cell>
          <cell r="K28">
            <v>10</v>
          </cell>
          <cell r="L28">
            <v>150</v>
          </cell>
          <cell r="M28">
            <v>0</v>
          </cell>
          <cell r="N28">
            <v>1500</v>
          </cell>
          <cell r="O28">
            <v>1</v>
          </cell>
          <cell r="P28">
            <v>0.27</v>
          </cell>
          <cell r="Q28">
            <v>1.4</v>
          </cell>
          <cell r="R28">
            <v>375.45398403850527</v>
          </cell>
          <cell r="S28">
            <v>2.5030265602567017</v>
          </cell>
          <cell r="T28">
            <v>792</v>
          </cell>
          <cell r="U28">
            <v>5.28</v>
          </cell>
          <cell r="V28">
            <v>5940</v>
          </cell>
          <cell r="W28">
            <v>1386</v>
          </cell>
          <cell r="X28">
            <v>12870</v>
          </cell>
          <cell r="Y28">
            <v>1029.5999999999999</v>
          </cell>
          <cell r="Z28">
            <v>308.88</v>
          </cell>
          <cell r="AA28">
            <v>2724.48</v>
          </cell>
          <cell r="AB28">
            <v>18.1632</v>
          </cell>
        </row>
        <row r="29">
          <cell r="A29" t="str">
            <v>Cultivate10R-36</v>
          </cell>
          <cell r="B29" t="str">
            <v>Cultivate</v>
          </cell>
          <cell r="C29" t="str">
            <v>10R-36</v>
          </cell>
          <cell r="D29">
            <v>30</v>
          </cell>
          <cell r="E29">
            <v>5</v>
          </cell>
          <cell r="F29">
            <v>0.8</v>
          </cell>
          <cell r="G29">
            <v>6.8750000000000006E-2</v>
          </cell>
          <cell r="H29">
            <v>23941</v>
          </cell>
          <cell r="I29">
            <v>30</v>
          </cell>
          <cell r="J29">
            <v>40</v>
          </cell>
          <cell r="K29">
            <v>10</v>
          </cell>
          <cell r="L29">
            <v>150</v>
          </cell>
          <cell r="M29">
            <v>0</v>
          </cell>
          <cell r="N29">
            <v>1500</v>
          </cell>
          <cell r="O29">
            <v>1</v>
          </cell>
          <cell r="P29">
            <v>0.27</v>
          </cell>
          <cell r="Q29">
            <v>1.4</v>
          </cell>
          <cell r="R29">
            <v>453.97696120534624</v>
          </cell>
          <cell r="S29">
            <v>3.0265130747023083</v>
          </cell>
          <cell r="T29">
            <v>957.64</v>
          </cell>
          <cell r="U29">
            <v>6.384266666666667</v>
          </cell>
          <cell r="V29">
            <v>7182.3</v>
          </cell>
          <cell r="W29">
            <v>1675.8700000000001</v>
          </cell>
          <cell r="X29">
            <v>15561.65</v>
          </cell>
          <cell r="Y29">
            <v>1244.932</v>
          </cell>
          <cell r="Z29">
            <v>373.4796</v>
          </cell>
          <cell r="AA29">
            <v>3294.2816000000003</v>
          </cell>
          <cell r="AB29">
            <v>21.961877333333334</v>
          </cell>
        </row>
        <row r="30">
          <cell r="A30" t="str">
            <v>Cultivate12R-36</v>
          </cell>
          <cell r="B30" t="str">
            <v>Cultivate</v>
          </cell>
          <cell r="C30" t="str">
            <v>12R-36</v>
          </cell>
          <cell r="D30">
            <v>36</v>
          </cell>
          <cell r="E30">
            <v>5</v>
          </cell>
          <cell r="F30">
            <v>0.8</v>
          </cell>
          <cell r="G30">
            <v>5.7291666666666671E-2</v>
          </cell>
          <cell r="H30">
            <v>25766</v>
          </cell>
          <cell r="I30">
            <v>30</v>
          </cell>
          <cell r="J30">
            <v>40</v>
          </cell>
          <cell r="K30">
            <v>10</v>
          </cell>
          <cell r="L30">
            <v>150</v>
          </cell>
          <cell r="M30">
            <v>0</v>
          </cell>
          <cell r="N30">
            <v>1500</v>
          </cell>
          <cell r="O30">
            <v>1</v>
          </cell>
          <cell r="P30">
            <v>0.27</v>
          </cell>
          <cell r="Q30">
            <v>1.4</v>
          </cell>
          <cell r="R30">
            <v>488.58319963313778</v>
          </cell>
          <cell r="S30">
            <v>3.2572213308875853</v>
          </cell>
          <cell r="T30">
            <v>1030.6399999999999</v>
          </cell>
          <cell r="U30">
            <v>6.8709333333333324</v>
          </cell>
          <cell r="V30">
            <v>7729.8</v>
          </cell>
          <cell r="W30">
            <v>1803.6200000000001</v>
          </cell>
          <cell r="X30">
            <v>16747.900000000001</v>
          </cell>
          <cell r="Y30">
            <v>1339.8320000000001</v>
          </cell>
          <cell r="Z30">
            <v>401.94960000000003</v>
          </cell>
          <cell r="AA30">
            <v>3545.4016000000001</v>
          </cell>
          <cell r="AB30">
            <v>23.636010666666667</v>
          </cell>
        </row>
        <row r="31">
          <cell r="A31" t="str">
            <v>Cultivate4R-36</v>
          </cell>
          <cell r="B31" t="str">
            <v>Cultivate</v>
          </cell>
          <cell r="C31" t="str">
            <v>4R-36</v>
          </cell>
          <cell r="D31">
            <v>12</v>
          </cell>
          <cell r="E31">
            <v>5</v>
          </cell>
          <cell r="F31">
            <v>0.8</v>
          </cell>
          <cell r="G31">
            <v>0.171875</v>
          </cell>
          <cell r="H31">
            <v>7938</v>
          </cell>
          <cell r="I31">
            <v>30</v>
          </cell>
          <cell r="J31">
            <v>40</v>
          </cell>
          <cell r="K31">
            <v>10</v>
          </cell>
          <cell r="L31">
            <v>150</v>
          </cell>
          <cell r="M31">
            <v>0</v>
          </cell>
          <cell r="N31">
            <v>1500</v>
          </cell>
          <cell r="O31">
            <v>1</v>
          </cell>
          <cell r="P31">
            <v>0.27</v>
          </cell>
          <cell r="Q31">
            <v>1.4</v>
          </cell>
          <cell r="R31">
            <v>150.52291541907348</v>
          </cell>
          <cell r="S31">
            <v>1.0034861027938233</v>
          </cell>
          <cell r="T31">
            <v>317.52</v>
          </cell>
          <cell r="U31">
            <v>2.1168</v>
          </cell>
          <cell r="V31">
            <v>2381.4</v>
          </cell>
          <cell r="W31">
            <v>555.66000000000008</v>
          </cell>
          <cell r="X31">
            <v>5159.7</v>
          </cell>
          <cell r="Y31">
            <v>412.77600000000001</v>
          </cell>
          <cell r="Z31">
            <v>123.83279999999999</v>
          </cell>
          <cell r="AA31">
            <v>1092.2688000000001</v>
          </cell>
          <cell r="AB31">
            <v>7.2817920000000003</v>
          </cell>
        </row>
        <row r="32">
          <cell r="A32" t="str">
            <v>Cultivate6R-30</v>
          </cell>
          <cell r="B32" t="str">
            <v>Cultivate</v>
          </cell>
          <cell r="C32" t="str">
            <v>6R-30</v>
          </cell>
          <cell r="D32">
            <v>15</v>
          </cell>
          <cell r="E32">
            <v>5</v>
          </cell>
          <cell r="F32">
            <v>0.8</v>
          </cell>
          <cell r="G32">
            <v>0.13750000000000001</v>
          </cell>
          <cell r="H32">
            <v>11992</v>
          </cell>
          <cell r="I32">
            <v>30</v>
          </cell>
          <cell r="J32">
            <v>40</v>
          </cell>
          <cell r="K32">
            <v>10</v>
          </cell>
          <cell r="L32">
            <v>150</v>
          </cell>
          <cell r="M32">
            <v>0</v>
          </cell>
          <cell r="N32">
            <v>1500</v>
          </cell>
          <cell r="O32">
            <v>1</v>
          </cell>
          <cell r="P32">
            <v>0.27</v>
          </cell>
          <cell r="Q32">
            <v>1.4</v>
          </cell>
          <cell r="R32">
            <v>227.39617053483613</v>
          </cell>
          <cell r="S32">
            <v>1.5159744702322409</v>
          </cell>
          <cell r="T32">
            <v>479.68</v>
          </cell>
          <cell r="U32">
            <v>3.1978666666666666</v>
          </cell>
          <cell r="V32">
            <v>3597.6</v>
          </cell>
          <cell r="W32">
            <v>839.43999999999994</v>
          </cell>
          <cell r="X32">
            <v>7794.8</v>
          </cell>
          <cell r="Y32">
            <v>623.58400000000006</v>
          </cell>
          <cell r="Z32">
            <v>187.0752</v>
          </cell>
          <cell r="AA32">
            <v>1650.0992000000001</v>
          </cell>
          <cell r="AB32">
            <v>11.000661333333333</v>
          </cell>
        </row>
        <row r="33">
          <cell r="A33" t="str">
            <v>Cultivate6R-36</v>
          </cell>
          <cell r="B33" t="str">
            <v>Cultivate</v>
          </cell>
          <cell r="C33" t="str">
            <v>6R-36</v>
          </cell>
          <cell r="D33">
            <v>18</v>
          </cell>
          <cell r="E33">
            <v>5</v>
          </cell>
          <cell r="F33">
            <v>0.8</v>
          </cell>
          <cell r="G33">
            <v>0.11458333333333334</v>
          </cell>
          <cell r="H33">
            <v>12366</v>
          </cell>
          <cell r="I33">
            <v>30</v>
          </cell>
          <cell r="J33">
            <v>40</v>
          </cell>
          <cell r="K33">
            <v>10</v>
          </cell>
          <cell r="L33">
            <v>150</v>
          </cell>
          <cell r="M33">
            <v>0</v>
          </cell>
          <cell r="N33">
            <v>1500</v>
          </cell>
          <cell r="O33">
            <v>1</v>
          </cell>
          <cell r="P33">
            <v>0.27</v>
          </cell>
          <cell r="Q33">
            <v>1.4</v>
          </cell>
          <cell r="R33">
            <v>234.48807912223012</v>
          </cell>
          <cell r="S33">
            <v>1.5632538608148674</v>
          </cell>
          <cell r="T33">
            <v>494.64</v>
          </cell>
          <cell r="U33">
            <v>3.2976000000000001</v>
          </cell>
          <cell r="V33">
            <v>3709.8</v>
          </cell>
          <cell r="W33">
            <v>865.62000000000012</v>
          </cell>
          <cell r="X33">
            <v>8037.9</v>
          </cell>
          <cell r="Y33">
            <v>643.03200000000004</v>
          </cell>
          <cell r="Z33">
            <v>192.90959999999998</v>
          </cell>
          <cell r="AA33">
            <v>1701.5616</v>
          </cell>
          <cell r="AB33">
            <v>11.343743999999999</v>
          </cell>
        </row>
        <row r="34">
          <cell r="A34" t="str">
            <v>Cultivate8R-30</v>
          </cell>
          <cell r="B34" t="str">
            <v>Cultivate</v>
          </cell>
          <cell r="C34" t="str">
            <v>8R-30</v>
          </cell>
          <cell r="D34">
            <v>20</v>
          </cell>
          <cell r="E34">
            <v>5</v>
          </cell>
          <cell r="F34">
            <v>0.8</v>
          </cell>
          <cell r="G34">
            <v>0.10312499999999999</v>
          </cell>
          <cell r="H34">
            <v>12258</v>
          </cell>
          <cell r="I34">
            <v>30</v>
          </cell>
          <cell r="J34">
            <v>40</v>
          </cell>
          <cell r="K34">
            <v>10</v>
          </cell>
          <cell r="L34">
            <v>150</v>
          </cell>
          <cell r="M34">
            <v>0</v>
          </cell>
          <cell r="N34">
            <v>1500</v>
          </cell>
          <cell r="O34">
            <v>1</v>
          </cell>
          <cell r="P34">
            <v>0.27</v>
          </cell>
          <cell r="Q34">
            <v>1.4</v>
          </cell>
          <cell r="R34">
            <v>232.44014830020191</v>
          </cell>
          <cell r="S34">
            <v>1.5496009886680127</v>
          </cell>
          <cell r="T34">
            <v>490.32</v>
          </cell>
          <cell r="U34">
            <v>3.2688000000000001</v>
          </cell>
          <cell r="V34">
            <v>3677.4</v>
          </cell>
          <cell r="W34">
            <v>858.06000000000006</v>
          </cell>
          <cell r="X34">
            <v>7967.7</v>
          </cell>
          <cell r="Y34">
            <v>637.41600000000005</v>
          </cell>
          <cell r="Z34">
            <v>191.22479999999999</v>
          </cell>
          <cell r="AA34">
            <v>1686.7008000000001</v>
          </cell>
          <cell r="AB34">
            <v>11.244672000000001</v>
          </cell>
        </row>
        <row r="35">
          <cell r="A35" t="str">
            <v>Cultivate8R-36</v>
          </cell>
          <cell r="B35" t="str">
            <v>Cultivate</v>
          </cell>
          <cell r="C35" t="str">
            <v>8R-36</v>
          </cell>
          <cell r="D35">
            <v>24</v>
          </cell>
          <cell r="E35">
            <v>5</v>
          </cell>
          <cell r="F35">
            <v>0.8</v>
          </cell>
          <cell r="G35">
            <v>8.59375E-2</v>
          </cell>
          <cell r="H35">
            <v>16651</v>
          </cell>
          <cell r="I35">
            <v>30</v>
          </cell>
          <cell r="J35">
            <v>40</v>
          </cell>
          <cell r="K35">
            <v>10</v>
          </cell>
          <cell r="L35">
            <v>150</v>
          </cell>
          <cell r="M35">
            <v>0</v>
          </cell>
          <cell r="N35">
            <v>1500</v>
          </cell>
          <cell r="O35">
            <v>1</v>
          </cell>
          <cell r="P35">
            <v>0.27</v>
          </cell>
          <cell r="Q35">
            <v>1.4</v>
          </cell>
          <cell r="R35">
            <v>315.74163071844202</v>
          </cell>
          <cell r="S35">
            <v>2.1049442047896134</v>
          </cell>
          <cell r="T35">
            <v>666.04</v>
          </cell>
          <cell r="U35">
            <v>4.4402666666666661</v>
          </cell>
          <cell r="V35">
            <v>4995.3</v>
          </cell>
          <cell r="W35">
            <v>1165.5700000000002</v>
          </cell>
          <cell r="X35">
            <v>10823.15</v>
          </cell>
          <cell r="Y35">
            <v>865.85199999999998</v>
          </cell>
          <cell r="Z35">
            <v>259.75560000000002</v>
          </cell>
          <cell r="AA35">
            <v>2291.1776</v>
          </cell>
          <cell r="AB35">
            <v>15.274517333333334</v>
          </cell>
        </row>
        <row r="36">
          <cell r="A36" t="str">
            <v>Cultivate8R-40 2x1</v>
          </cell>
          <cell r="B36" t="str">
            <v>Cultivate</v>
          </cell>
          <cell r="C36" t="str">
            <v>8R-40 2x1</v>
          </cell>
          <cell r="D36">
            <v>40</v>
          </cell>
          <cell r="E36">
            <v>5</v>
          </cell>
          <cell r="F36">
            <v>0.8</v>
          </cell>
          <cell r="G36">
            <v>5.1562499999999997E-2</v>
          </cell>
          <cell r="H36">
            <v>25766</v>
          </cell>
          <cell r="I36">
            <v>30</v>
          </cell>
          <cell r="J36">
            <v>40</v>
          </cell>
          <cell r="K36">
            <v>10</v>
          </cell>
          <cell r="L36">
            <v>150</v>
          </cell>
          <cell r="M36">
            <v>0</v>
          </cell>
          <cell r="N36">
            <v>1500</v>
          </cell>
          <cell r="O36">
            <v>1</v>
          </cell>
          <cell r="P36">
            <v>0.27</v>
          </cell>
          <cell r="Q36">
            <v>1.4</v>
          </cell>
          <cell r="R36">
            <v>488.58319963313778</v>
          </cell>
          <cell r="S36">
            <v>3.2572213308875853</v>
          </cell>
          <cell r="T36">
            <v>1030.6399999999999</v>
          </cell>
          <cell r="U36">
            <v>6.8709333333333324</v>
          </cell>
          <cell r="V36">
            <v>7729.8</v>
          </cell>
          <cell r="W36">
            <v>1803.6200000000001</v>
          </cell>
          <cell r="X36">
            <v>16747.900000000001</v>
          </cell>
          <cell r="Y36">
            <v>1339.8320000000001</v>
          </cell>
          <cell r="Z36">
            <v>401.94960000000003</v>
          </cell>
          <cell r="AA36">
            <v>3545.4016000000001</v>
          </cell>
          <cell r="AB36">
            <v>23.636010666666667</v>
          </cell>
        </row>
        <row r="37">
          <cell r="A37" t="str">
            <v>Disk &amp; Incorporate14'</v>
          </cell>
          <cell r="B37" t="str">
            <v>Disk &amp; Incorporate</v>
          </cell>
          <cell r="C37" t="str">
            <v>14'</v>
          </cell>
          <cell r="D37">
            <v>14</v>
          </cell>
          <cell r="E37">
            <v>5</v>
          </cell>
          <cell r="F37">
            <v>0.8</v>
          </cell>
          <cell r="G37">
            <v>0.14732142857142858</v>
          </cell>
          <cell r="H37">
            <v>16285</v>
          </cell>
          <cell r="I37">
            <v>30</v>
          </cell>
          <cell r="J37">
            <v>60</v>
          </cell>
          <cell r="K37">
            <v>10</v>
          </cell>
          <cell r="L37">
            <v>200</v>
          </cell>
          <cell r="M37">
            <v>0</v>
          </cell>
          <cell r="N37">
            <v>2000</v>
          </cell>
          <cell r="O37">
            <v>1</v>
          </cell>
          <cell r="P37">
            <v>0.27</v>
          </cell>
          <cell r="Q37">
            <v>1.4</v>
          </cell>
          <cell r="R37">
            <v>461.94845718292589</v>
          </cell>
          <cell r="S37">
            <v>2.3097422859146293</v>
          </cell>
          <cell r="T37">
            <v>977.1</v>
          </cell>
          <cell r="U37">
            <v>4.8855000000000004</v>
          </cell>
          <cell r="V37">
            <v>4885.5</v>
          </cell>
          <cell r="W37">
            <v>1139.95</v>
          </cell>
          <cell r="X37">
            <v>10585.25</v>
          </cell>
          <cell r="Y37">
            <v>846.82</v>
          </cell>
          <cell r="Z37">
            <v>254.04599999999999</v>
          </cell>
          <cell r="AA37">
            <v>2240.8159999999998</v>
          </cell>
          <cell r="AB37">
            <v>11.204079999999999</v>
          </cell>
        </row>
        <row r="38">
          <cell r="A38" t="str">
            <v>Disk &amp; Incorporate24'</v>
          </cell>
          <cell r="B38" t="str">
            <v>Disk &amp; Incorporate</v>
          </cell>
          <cell r="C38" t="str">
            <v>24'</v>
          </cell>
          <cell r="D38">
            <v>24</v>
          </cell>
          <cell r="E38">
            <v>5</v>
          </cell>
          <cell r="F38">
            <v>0.8</v>
          </cell>
          <cell r="G38">
            <v>8.59375E-2</v>
          </cell>
          <cell r="H38">
            <v>31068</v>
          </cell>
          <cell r="I38">
            <v>30</v>
          </cell>
          <cell r="J38">
            <v>60</v>
          </cell>
          <cell r="K38">
            <v>10</v>
          </cell>
          <cell r="L38">
            <v>200</v>
          </cell>
          <cell r="M38">
            <v>0</v>
          </cell>
          <cell r="N38">
            <v>2000</v>
          </cell>
          <cell r="O38">
            <v>1</v>
          </cell>
          <cell r="P38">
            <v>0.27</v>
          </cell>
          <cell r="Q38">
            <v>1.4</v>
          </cell>
          <cell r="R38">
            <v>881.29043093393557</v>
          </cell>
          <cell r="S38">
            <v>4.4064521546696778</v>
          </cell>
          <cell r="T38">
            <v>1864.08</v>
          </cell>
          <cell r="U38">
            <v>9.3203999999999994</v>
          </cell>
          <cell r="V38">
            <v>9320.4</v>
          </cell>
          <cell r="W38">
            <v>2174.7599999999998</v>
          </cell>
          <cell r="X38">
            <v>20194.2</v>
          </cell>
          <cell r="Y38">
            <v>1615.5360000000001</v>
          </cell>
          <cell r="Z38">
            <v>484.66080000000005</v>
          </cell>
          <cell r="AA38">
            <v>4274.9567999999999</v>
          </cell>
          <cell r="AB38">
            <v>21.374783999999998</v>
          </cell>
        </row>
        <row r="39">
          <cell r="A39" t="str">
            <v>Disk &amp; Incorporate32'</v>
          </cell>
          <cell r="B39" t="str">
            <v>Disk &amp; Incorporate</v>
          </cell>
          <cell r="C39" t="str">
            <v>32'</v>
          </cell>
          <cell r="D39">
            <v>32</v>
          </cell>
          <cell r="E39">
            <v>5</v>
          </cell>
          <cell r="F39">
            <v>0.8</v>
          </cell>
          <cell r="G39">
            <v>6.4453125E-2</v>
          </cell>
          <cell r="H39">
            <v>37716</v>
          </cell>
          <cell r="I39">
            <v>30</v>
          </cell>
          <cell r="J39">
            <v>60</v>
          </cell>
          <cell r="K39">
            <v>10</v>
          </cell>
          <cell r="L39">
            <v>200</v>
          </cell>
          <cell r="M39">
            <v>0</v>
          </cell>
          <cell r="N39">
            <v>2000</v>
          </cell>
          <cell r="O39">
            <v>1</v>
          </cell>
          <cell r="P39">
            <v>0.27</v>
          </cell>
          <cell r="Q39">
            <v>1.4</v>
          </cell>
          <cell r="R39">
            <v>1069.8709248456391</v>
          </cell>
          <cell r="S39">
            <v>5.3493546242281953</v>
          </cell>
          <cell r="T39">
            <v>2262.96</v>
          </cell>
          <cell r="U39">
            <v>11.3148</v>
          </cell>
          <cell r="V39">
            <v>11314.8</v>
          </cell>
          <cell r="W39">
            <v>2640.12</v>
          </cell>
          <cell r="X39">
            <v>24515.4</v>
          </cell>
          <cell r="Y39">
            <v>1961.2320000000002</v>
          </cell>
          <cell r="Z39">
            <v>588.36959999999999</v>
          </cell>
          <cell r="AA39">
            <v>5189.7215999999999</v>
          </cell>
          <cell r="AB39">
            <v>25.948608</v>
          </cell>
        </row>
        <row r="40">
          <cell r="A40" t="str">
            <v>Disk &amp; Incorporate42'</v>
          </cell>
          <cell r="B40" t="str">
            <v>Disk &amp; Incorporate</v>
          </cell>
          <cell r="C40" t="str">
            <v>42'</v>
          </cell>
          <cell r="D40">
            <v>42</v>
          </cell>
          <cell r="E40">
            <v>5</v>
          </cell>
          <cell r="F40">
            <v>0.8</v>
          </cell>
          <cell r="G40">
            <v>4.9107142857142856E-2</v>
          </cell>
          <cell r="H40">
            <v>43268</v>
          </cell>
          <cell r="I40">
            <v>30</v>
          </cell>
          <cell r="J40">
            <v>60</v>
          </cell>
          <cell r="K40">
            <v>10</v>
          </cell>
          <cell r="L40">
            <v>200</v>
          </cell>
          <cell r="M40">
            <v>0</v>
          </cell>
          <cell r="N40">
            <v>2000</v>
          </cell>
          <cell r="O40">
            <v>1</v>
          </cell>
          <cell r="P40">
            <v>0.27</v>
          </cell>
          <cell r="Q40">
            <v>1.4</v>
          </cell>
          <cell r="R40">
            <v>1227.3617344421759</v>
          </cell>
          <cell r="S40">
            <v>6.1368086722108792</v>
          </cell>
          <cell r="T40">
            <v>2596.08</v>
          </cell>
          <cell r="U40">
            <v>12.980399999999999</v>
          </cell>
          <cell r="V40">
            <v>12980.4</v>
          </cell>
          <cell r="W40">
            <v>3028.7599999999998</v>
          </cell>
          <cell r="X40">
            <v>28124.2</v>
          </cell>
          <cell r="Y40">
            <v>2249.9360000000001</v>
          </cell>
          <cell r="Z40">
            <v>674.98080000000004</v>
          </cell>
          <cell r="AA40">
            <v>5953.6767999999993</v>
          </cell>
          <cell r="AB40">
            <v>29.768383999999998</v>
          </cell>
        </row>
        <row r="41">
          <cell r="A41" t="str">
            <v>Disk Bed (Hipper)10R-30</v>
          </cell>
          <cell r="B41" t="str">
            <v>Disk Bed (Hipper)</v>
          </cell>
          <cell r="C41" t="str">
            <v>10R-30</v>
          </cell>
          <cell r="D41">
            <v>25</v>
          </cell>
          <cell r="E41">
            <v>5.5</v>
          </cell>
          <cell r="F41">
            <v>0.8</v>
          </cell>
          <cell r="G41">
            <v>7.4999999999999997E-2</v>
          </cell>
          <cell r="H41">
            <v>15252</v>
          </cell>
          <cell r="I41">
            <v>30</v>
          </cell>
          <cell r="J41">
            <v>40</v>
          </cell>
          <cell r="K41">
            <v>10</v>
          </cell>
          <cell r="L41">
            <v>160</v>
          </cell>
          <cell r="M41">
            <v>0</v>
          </cell>
          <cell r="N41">
            <v>1600</v>
          </cell>
          <cell r="O41">
            <v>1</v>
          </cell>
          <cell r="P41">
            <v>0.27</v>
          </cell>
          <cell r="Q41">
            <v>1.4</v>
          </cell>
          <cell r="R41">
            <v>316.56182170322518</v>
          </cell>
          <cell r="S41">
            <v>1.9785113856451573</v>
          </cell>
          <cell r="T41">
            <v>610.08000000000004</v>
          </cell>
          <cell r="U41">
            <v>3.8130000000000002</v>
          </cell>
          <cell r="V41">
            <v>4575.6000000000004</v>
          </cell>
          <cell r="W41">
            <v>1067.6399999999999</v>
          </cell>
          <cell r="X41">
            <v>9913.7999999999993</v>
          </cell>
          <cell r="Y41">
            <v>793.10399999999993</v>
          </cell>
          <cell r="Z41">
            <v>237.93119999999999</v>
          </cell>
          <cell r="AA41">
            <v>2098.6751999999997</v>
          </cell>
          <cell r="AB41">
            <v>13.116719999999997</v>
          </cell>
        </row>
        <row r="42">
          <cell r="A42" t="str">
            <v>Disk Bed (Hipper)10R-36</v>
          </cell>
          <cell r="B42" t="str">
            <v>Disk Bed (Hipper)</v>
          </cell>
          <cell r="C42" t="str">
            <v>10R-36</v>
          </cell>
          <cell r="D42">
            <v>30</v>
          </cell>
          <cell r="E42">
            <v>5.5</v>
          </cell>
          <cell r="F42">
            <v>0.8</v>
          </cell>
          <cell r="G42">
            <v>6.25E-2</v>
          </cell>
          <cell r="H42">
            <v>16898</v>
          </cell>
          <cell r="I42">
            <v>30</v>
          </cell>
          <cell r="J42">
            <v>40</v>
          </cell>
          <cell r="K42">
            <v>10</v>
          </cell>
          <cell r="L42">
            <v>160</v>
          </cell>
          <cell r="M42">
            <v>0</v>
          </cell>
          <cell r="N42">
            <v>1600</v>
          </cell>
          <cell r="O42">
            <v>1</v>
          </cell>
          <cell r="P42">
            <v>0.27</v>
          </cell>
          <cell r="Q42">
            <v>1.4</v>
          </cell>
          <cell r="R42">
            <v>350.72525984402694</v>
          </cell>
          <cell r="S42">
            <v>2.1920328740251684</v>
          </cell>
          <cell r="T42">
            <v>675.92</v>
          </cell>
          <cell r="U42">
            <v>4.2244999999999999</v>
          </cell>
          <cell r="V42">
            <v>5069.3999999999996</v>
          </cell>
          <cell r="W42">
            <v>1182.8600000000001</v>
          </cell>
          <cell r="X42">
            <v>10983.7</v>
          </cell>
          <cell r="Y42">
            <v>878.69600000000003</v>
          </cell>
          <cell r="Z42">
            <v>263.60880000000003</v>
          </cell>
          <cell r="AA42">
            <v>2325.1648000000005</v>
          </cell>
          <cell r="AB42">
            <v>14.532280000000004</v>
          </cell>
        </row>
        <row r="43">
          <cell r="A43" t="str">
            <v>Disk Bed (Hipper)12R-30</v>
          </cell>
          <cell r="B43" t="str">
            <v>Disk Bed (Hipper)</v>
          </cell>
          <cell r="C43" t="str">
            <v>12R-30</v>
          </cell>
          <cell r="D43">
            <v>30</v>
          </cell>
          <cell r="E43">
            <v>5.5</v>
          </cell>
          <cell r="F43">
            <v>0.8</v>
          </cell>
          <cell r="G43">
            <v>6.25E-2</v>
          </cell>
          <cell r="H43">
            <v>17854</v>
          </cell>
          <cell r="I43">
            <v>30</v>
          </cell>
          <cell r="J43">
            <v>40</v>
          </cell>
          <cell r="K43">
            <v>10</v>
          </cell>
          <cell r="L43">
            <v>160</v>
          </cell>
          <cell r="M43">
            <v>0</v>
          </cell>
          <cell r="N43">
            <v>1600</v>
          </cell>
          <cell r="O43">
            <v>1</v>
          </cell>
          <cell r="P43">
            <v>0.27</v>
          </cell>
          <cell r="Q43">
            <v>1.4</v>
          </cell>
          <cell r="R43">
            <v>370.5674511335813</v>
          </cell>
          <cell r="S43">
            <v>2.3160465695848833</v>
          </cell>
          <cell r="T43">
            <v>714.16000000000008</v>
          </cell>
          <cell r="U43">
            <v>4.4635000000000007</v>
          </cell>
          <cell r="V43">
            <v>5356.2</v>
          </cell>
          <cell r="W43">
            <v>1249.78</v>
          </cell>
          <cell r="X43">
            <v>11605.1</v>
          </cell>
          <cell r="Y43">
            <v>928.40800000000002</v>
          </cell>
          <cell r="Z43">
            <v>278.5224</v>
          </cell>
          <cell r="AA43">
            <v>2456.7103999999999</v>
          </cell>
          <cell r="AB43">
            <v>15.35444</v>
          </cell>
        </row>
        <row r="44">
          <cell r="A44" t="str">
            <v>Disk Bed (Hipper)12R-36</v>
          </cell>
          <cell r="B44" t="str">
            <v>Disk Bed (Hipper)</v>
          </cell>
          <cell r="C44" t="str">
            <v>12R-36</v>
          </cell>
          <cell r="D44">
            <v>36</v>
          </cell>
          <cell r="E44">
            <v>5.5</v>
          </cell>
          <cell r="F44">
            <v>0.8</v>
          </cell>
          <cell r="G44">
            <v>5.2083333333333336E-2</v>
          </cell>
          <cell r="H44">
            <v>23602</v>
          </cell>
          <cell r="I44">
            <v>30</v>
          </cell>
          <cell r="J44">
            <v>40</v>
          </cell>
          <cell r="K44">
            <v>10</v>
          </cell>
          <cell r="L44">
            <v>160</v>
          </cell>
          <cell r="M44">
            <v>0</v>
          </cell>
          <cell r="N44">
            <v>1600</v>
          </cell>
          <cell r="O44">
            <v>1</v>
          </cell>
          <cell r="P44">
            <v>0.27</v>
          </cell>
          <cell r="Q44">
            <v>1.4</v>
          </cell>
          <cell r="R44">
            <v>489.86966403353802</v>
          </cell>
          <cell r="S44">
            <v>3.0616854002096128</v>
          </cell>
          <cell r="T44">
            <v>944.07999999999993</v>
          </cell>
          <cell r="U44">
            <v>5.9004999999999992</v>
          </cell>
          <cell r="V44">
            <v>7080.6</v>
          </cell>
          <cell r="W44">
            <v>1652.14</v>
          </cell>
          <cell r="X44">
            <v>15341.3</v>
          </cell>
          <cell r="Y44">
            <v>1227.3039999999999</v>
          </cell>
          <cell r="Z44">
            <v>368.19119999999998</v>
          </cell>
          <cell r="AA44">
            <v>3247.6351999999997</v>
          </cell>
          <cell r="AB44">
            <v>20.297719999999998</v>
          </cell>
        </row>
        <row r="45">
          <cell r="A45" t="str">
            <v>Disk Bed (Hipper)4R-36</v>
          </cell>
          <cell r="B45" t="str">
            <v>Disk Bed (Hipper)</v>
          </cell>
          <cell r="C45" t="str">
            <v>4R-36</v>
          </cell>
          <cell r="D45">
            <v>12</v>
          </cell>
          <cell r="E45">
            <v>5.5</v>
          </cell>
          <cell r="F45">
            <v>0.8</v>
          </cell>
          <cell r="G45">
            <v>0.15625</v>
          </cell>
          <cell r="H45">
            <v>6958</v>
          </cell>
          <cell r="I45">
            <v>30</v>
          </cell>
          <cell r="J45">
            <v>40</v>
          </cell>
          <cell r="K45">
            <v>10</v>
          </cell>
          <cell r="L45">
            <v>160</v>
          </cell>
          <cell r="M45">
            <v>0</v>
          </cell>
          <cell r="N45">
            <v>1600</v>
          </cell>
          <cell r="O45">
            <v>1</v>
          </cell>
          <cell r="P45">
            <v>0.27</v>
          </cell>
          <cell r="Q45">
            <v>1.4</v>
          </cell>
          <cell r="R45">
            <v>144.41628346518758</v>
          </cell>
          <cell r="S45">
            <v>0.90260177165742239</v>
          </cell>
          <cell r="T45">
            <v>278.32</v>
          </cell>
          <cell r="U45">
            <v>1.7395</v>
          </cell>
          <cell r="V45">
            <v>2087.4</v>
          </cell>
          <cell r="W45">
            <v>487.06000000000006</v>
          </cell>
          <cell r="X45">
            <v>4522.7</v>
          </cell>
          <cell r="Y45">
            <v>361.81599999999997</v>
          </cell>
          <cell r="Z45">
            <v>108.5448</v>
          </cell>
          <cell r="AA45">
            <v>957.4208000000001</v>
          </cell>
          <cell r="AB45">
            <v>5.983880000000001</v>
          </cell>
        </row>
        <row r="46">
          <cell r="A46" t="str">
            <v>Disk Bed (Hipper)6R-30</v>
          </cell>
          <cell r="B46" t="str">
            <v>Disk Bed (Hipper)</v>
          </cell>
          <cell r="C46" t="str">
            <v>6R-30</v>
          </cell>
          <cell r="D46">
            <v>15</v>
          </cell>
          <cell r="E46">
            <v>5.5</v>
          </cell>
          <cell r="F46">
            <v>0.8</v>
          </cell>
          <cell r="G46">
            <v>0.125</v>
          </cell>
          <cell r="H46">
            <v>9459</v>
          </cell>
          <cell r="I46">
            <v>30</v>
          </cell>
          <cell r="J46">
            <v>40</v>
          </cell>
          <cell r="K46">
            <v>10</v>
          </cell>
          <cell r="L46">
            <v>160</v>
          </cell>
          <cell r="M46">
            <v>0</v>
          </cell>
          <cell r="N46">
            <v>1600</v>
          </cell>
          <cell r="O46">
            <v>1</v>
          </cell>
          <cell r="P46">
            <v>0.27</v>
          </cell>
          <cell r="Q46">
            <v>1.4</v>
          </cell>
          <cell r="R46">
            <v>196.32561444340462</v>
          </cell>
          <cell r="S46">
            <v>1.2270350902712788</v>
          </cell>
          <cell r="T46">
            <v>378.36</v>
          </cell>
          <cell r="U46">
            <v>2.3647499999999999</v>
          </cell>
          <cell r="V46">
            <v>2837.7</v>
          </cell>
          <cell r="W46">
            <v>662.13</v>
          </cell>
          <cell r="X46">
            <v>6148.35</v>
          </cell>
          <cell r="Y46">
            <v>491.86800000000005</v>
          </cell>
          <cell r="Z46">
            <v>147.56040000000002</v>
          </cell>
          <cell r="AA46">
            <v>1301.5583999999999</v>
          </cell>
          <cell r="AB46">
            <v>8.134739999999999</v>
          </cell>
        </row>
        <row r="47">
          <cell r="A47" t="str">
            <v>Disk Bed (Hipper)6R-36</v>
          </cell>
          <cell r="B47" t="str">
            <v>Disk Bed (Hipper)</v>
          </cell>
          <cell r="C47" t="str">
            <v>6R-36</v>
          </cell>
          <cell r="D47">
            <v>18</v>
          </cell>
          <cell r="E47">
            <v>5.5</v>
          </cell>
          <cell r="F47">
            <v>0.8</v>
          </cell>
          <cell r="G47">
            <v>0.10416666666666667</v>
          </cell>
          <cell r="H47">
            <v>10455</v>
          </cell>
          <cell r="I47">
            <v>30</v>
          </cell>
          <cell r="J47">
            <v>40</v>
          </cell>
          <cell r="K47">
            <v>10</v>
          </cell>
          <cell r="L47">
            <v>160</v>
          </cell>
          <cell r="M47">
            <v>0</v>
          </cell>
          <cell r="N47">
            <v>1600</v>
          </cell>
          <cell r="O47">
            <v>1</v>
          </cell>
          <cell r="P47">
            <v>0.27</v>
          </cell>
          <cell r="Q47">
            <v>1.4</v>
          </cell>
          <cell r="R47">
            <v>216.99802294172696</v>
          </cell>
          <cell r="S47">
            <v>1.3562376433857934</v>
          </cell>
          <cell r="T47">
            <v>418.2</v>
          </cell>
          <cell r="U47">
            <v>2.61375</v>
          </cell>
          <cell r="V47">
            <v>3136.5</v>
          </cell>
          <cell r="W47">
            <v>731.85</v>
          </cell>
          <cell r="X47">
            <v>6795.75</v>
          </cell>
          <cell r="Y47">
            <v>543.66</v>
          </cell>
          <cell r="Z47">
            <v>163.09800000000001</v>
          </cell>
          <cell r="AA47">
            <v>1438.6080000000002</v>
          </cell>
          <cell r="AB47">
            <v>8.9913000000000007</v>
          </cell>
        </row>
        <row r="48">
          <cell r="A48" t="str">
            <v>Disk Bed (Hipper)8R-30</v>
          </cell>
          <cell r="B48" t="str">
            <v>Disk Bed (Hipper)</v>
          </cell>
          <cell r="C48" t="str">
            <v>8R-30</v>
          </cell>
          <cell r="D48">
            <v>20</v>
          </cell>
          <cell r="E48">
            <v>5.5</v>
          </cell>
          <cell r="F48">
            <v>0.8</v>
          </cell>
          <cell r="G48">
            <v>9.375E-2</v>
          </cell>
          <cell r="H48">
            <v>12195</v>
          </cell>
          <cell r="I48">
            <v>30</v>
          </cell>
          <cell r="J48">
            <v>40</v>
          </cell>
          <cell r="K48">
            <v>10</v>
          </cell>
          <cell r="L48">
            <v>160</v>
          </cell>
          <cell r="M48">
            <v>0</v>
          </cell>
          <cell r="N48">
            <v>1600</v>
          </cell>
          <cell r="O48">
            <v>1</v>
          </cell>
          <cell r="P48">
            <v>0.27</v>
          </cell>
          <cell r="Q48">
            <v>1.4</v>
          </cell>
          <cell r="R48">
            <v>253.11247152313345</v>
          </cell>
          <cell r="S48">
            <v>1.5819529470195841</v>
          </cell>
          <cell r="T48">
            <v>487.8</v>
          </cell>
          <cell r="U48">
            <v>3.0487500000000001</v>
          </cell>
          <cell r="V48">
            <v>3658.5</v>
          </cell>
          <cell r="W48">
            <v>853.65</v>
          </cell>
          <cell r="X48">
            <v>7926.75</v>
          </cell>
          <cell r="Y48">
            <v>634.14</v>
          </cell>
          <cell r="Z48">
            <v>190.24199999999999</v>
          </cell>
          <cell r="AA48">
            <v>1678.0319999999999</v>
          </cell>
          <cell r="AB48">
            <v>10.4877</v>
          </cell>
        </row>
        <row r="49">
          <cell r="A49" t="str">
            <v>Disk Bed (Hipper)8R-40 2x1</v>
          </cell>
          <cell r="B49" t="str">
            <v>Disk Bed (Hipper)</v>
          </cell>
          <cell r="C49" t="str">
            <v>8R-40 2x1</v>
          </cell>
          <cell r="D49">
            <v>40</v>
          </cell>
          <cell r="E49">
            <v>5.5</v>
          </cell>
          <cell r="F49">
            <v>0.8</v>
          </cell>
          <cell r="G49">
            <v>4.6875E-2</v>
          </cell>
          <cell r="H49">
            <v>23602</v>
          </cell>
          <cell r="I49">
            <v>30</v>
          </cell>
          <cell r="J49">
            <v>40</v>
          </cell>
          <cell r="K49">
            <v>10</v>
          </cell>
          <cell r="L49">
            <v>160</v>
          </cell>
          <cell r="M49">
            <v>0</v>
          </cell>
          <cell r="N49">
            <v>1600</v>
          </cell>
          <cell r="O49">
            <v>1</v>
          </cell>
          <cell r="P49">
            <v>0.27</v>
          </cell>
          <cell r="Q49">
            <v>1.4</v>
          </cell>
          <cell r="R49">
            <v>489.86966403353802</v>
          </cell>
          <cell r="S49">
            <v>3.0616854002096128</v>
          </cell>
          <cell r="T49">
            <v>944.07999999999993</v>
          </cell>
          <cell r="U49">
            <v>5.9004999999999992</v>
          </cell>
          <cell r="V49">
            <v>7080.6</v>
          </cell>
          <cell r="W49">
            <v>1652.14</v>
          </cell>
          <cell r="X49">
            <v>15341.3</v>
          </cell>
          <cell r="Y49">
            <v>1227.3039999999999</v>
          </cell>
          <cell r="Z49">
            <v>368.19119999999998</v>
          </cell>
          <cell r="AA49">
            <v>3247.6351999999997</v>
          </cell>
          <cell r="AB49">
            <v>20.297719999999998</v>
          </cell>
        </row>
        <row r="50">
          <cell r="A50" t="str">
            <v>Disk Bed (Hipper)Fld8R-36</v>
          </cell>
          <cell r="B50" t="str">
            <v>Disk Bed (Hipper)Fld</v>
          </cell>
          <cell r="C50" t="str">
            <v>8R-36</v>
          </cell>
          <cell r="D50">
            <v>24</v>
          </cell>
          <cell r="E50">
            <v>5.5</v>
          </cell>
          <cell r="F50">
            <v>0.8</v>
          </cell>
          <cell r="G50">
            <v>7.8125E-2</v>
          </cell>
          <cell r="H50">
            <v>15522</v>
          </cell>
          <cell r="I50">
            <v>30</v>
          </cell>
          <cell r="J50">
            <v>40</v>
          </cell>
          <cell r="K50">
            <v>10</v>
          </cell>
          <cell r="L50">
            <v>160</v>
          </cell>
          <cell r="M50">
            <v>0</v>
          </cell>
          <cell r="N50">
            <v>1600</v>
          </cell>
          <cell r="O50">
            <v>1</v>
          </cell>
          <cell r="P50">
            <v>0.27</v>
          </cell>
          <cell r="Q50">
            <v>1.4</v>
          </cell>
          <cell r="R50">
            <v>322.16578786240899</v>
          </cell>
          <cell r="S50">
            <v>2.0135361741400564</v>
          </cell>
          <cell r="T50">
            <v>620.88</v>
          </cell>
          <cell r="U50">
            <v>3.8805000000000001</v>
          </cell>
          <cell r="V50">
            <v>4656.6000000000004</v>
          </cell>
          <cell r="W50">
            <v>1086.54</v>
          </cell>
          <cell r="X50">
            <v>10089.299999999999</v>
          </cell>
          <cell r="Y50">
            <v>807.14400000000001</v>
          </cell>
          <cell r="Z50">
            <v>242.14319999999998</v>
          </cell>
          <cell r="AA50">
            <v>2135.8271999999997</v>
          </cell>
          <cell r="AB50">
            <v>13.348919999999998</v>
          </cell>
        </row>
        <row r="51">
          <cell r="A51" t="str">
            <v>Disk Bed (Hipper)Rdg8R-36</v>
          </cell>
          <cell r="B51" t="str">
            <v>Disk Bed (Hipper)Rdg</v>
          </cell>
          <cell r="C51" t="str">
            <v>8R-36</v>
          </cell>
          <cell r="D51">
            <v>24</v>
          </cell>
          <cell r="E51">
            <v>5.5</v>
          </cell>
          <cell r="F51">
            <v>0.8</v>
          </cell>
          <cell r="G51">
            <v>7.8125E-2</v>
          </cell>
          <cell r="H51">
            <v>13449</v>
          </cell>
          <cell r="I51">
            <v>30</v>
          </cell>
          <cell r="J51">
            <v>40</v>
          </cell>
          <cell r="K51">
            <v>10</v>
          </cell>
          <cell r="L51">
            <v>160</v>
          </cell>
          <cell r="M51">
            <v>0</v>
          </cell>
          <cell r="N51">
            <v>1600</v>
          </cell>
          <cell r="O51">
            <v>1</v>
          </cell>
          <cell r="P51">
            <v>0.27</v>
          </cell>
          <cell r="Q51">
            <v>1.4</v>
          </cell>
          <cell r="R51">
            <v>279.13978101800916</v>
          </cell>
          <cell r="S51">
            <v>1.7446236313625572</v>
          </cell>
          <cell r="T51">
            <v>537.96</v>
          </cell>
          <cell r="U51">
            <v>3.3622500000000004</v>
          </cell>
          <cell r="V51">
            <v>4034.7</v>
          </cell>
          <cell r="W51">
            <v>941.43</v>
          </cell>
          <cell r="X51">
            <v>8741.85</v>
          </cell>
          <cell r="Y51">
            <v>699.34800000000007</v>
          </cell>
          <cell r="Z51">
            <v>209.80440000000002</v>
          </cell>
          <cell r="AA51">
            <v>1850.5824</v>
          </cell>
          <cell r="AB51">
            <v>11.566140000000001</v>
          </cell>
        </row>
        <row r="52">
          <cell r="A52" t="str">
            <v>Disk Bed w/roller12R-30</v>
          </cell>
          <cell r="B52" t="str">
            <v>Disk Bed w/roller</v>
          </cell>
          <cell r="C52" t="str">
            <v>12R-30</v>
          </cell>
          <cell r="D52">
            <v>30</v>
          </cell>
          <cell r="E52">
            <v>5.5</v>
          </cell>
          <cell r="F52">
            <v>0.8</v>
          </cell>
          <cell r="G52">
            <v>6.25E-2</v>
          </cell>
          <cell r="H52">
            <v>24672</v>
          </cell>
          <cell r="I52">
            <v>30</v>
          </cell>
          <cell r="J52">
            <v>40</v>
          </cell>
          <cell r="K52">
            <v>10</v>
          </cell>
          <cell r="L52">
            <v>160</v>
          </cell>
          <cell r="M52">
            <v>0</v>
          </cell>
          <cell r="N52">
            <v>1600</v>
          </cell>
          <cell r="O52">
            <v>1</v>
          </cell>
          <cell r="P52">
            <v>0.27</v>
          </cell>
          <cell r="Q52">
            <v>1.4</v>
          </cell>
          <cell r="R52">
            <v>512.07797436808107</v>
          </cell>
          <cell r="S52">
            <v>3.2004873398005067</v>
          </cell>
          <cell r="T52">
            <v>986.87999999999988</v>
          </cell>
          <cell r="U52">
            <v>6.1679999999999993</v>
          </cell>
          <cell r="V52">
            <v>7401.6</v>
          </cell>
          <cell r="W52">
            <v>1727.0400000000002</v>
          </cell>
          <cell r="X52">
            <v>16036.8</v>
          </cell>
          <cell r="Y52">
            <v>1282.944</v>
          </cell>
          <cell r="Z52">
            <v>384.88319999999999</v>
          </cell>
          <cell r="AA52">
            <v>3394.8672000000001</v>
          </cell>
          <cell r="AB52">
            <v>21.217919999999999</v>
          </cell>
        </row>
        <row r="53">
          <cell r="A53" t="str">
            <v>Disk Bed w/roller8R-30</v>
          </cell>
          <cell r="B53" t="str">
            <v>Disk Bed w/roller</v>
          </cell>
          <cell r="C53" t="str">
            <v>8R-30</v>
          </cell>
          <cell r="D53">
            <v>20</v>
          </cell>
          <cell r="E53">
            <v>5.5</v>
          </cell>
          <cell r="F53">
            <v>0.8</v>
          </cell>
          <cell r="G53">
            <v>9.375E-2</v>
          </cell>
          <cell r="H53">
            <v>14262</v>
          </cell>
          <cell r="I53">
            <v>30</v>
          </cell>
          <cell r="J53">
            <v>40</v>
          </cell>
          <cell r="K53">
            <v>10</v>
          </cell>
          <cell r="L53">
            <v>160</v>
          </cell>
          <cell r="M53">
            <v>0</v>
          </cell>
          <cell r="N53">
            <v>1600</v>
          </cell>
          <cell r="O53">
            <v>1</v>
          </cell>
          <cell r="P53">
            <v>0.27</v>
          </cell>
          <cell r="Q53">
            <v>1.4</v>
          </cell>
          <cell r="R53">
            <v>296.01394578621807</v>
          </cell>
          <cell r="S53">
            <v>1.850087161163863</v>
          </cell>
          <cell r="T53">
            <v>570.48</v>
          </cell>
          <cell r="U53">
            <v>3.5655000000000001</v>
          </cell>
          <cell r="V53">
            <v>4278.6000000000004</v>
          </cell>
          <cell r="W53">
            <v>998.33999999999992</v>
          </cell>
          <cell r="X53">
            <v>9270.2999999999993</v>
          </cell>
          <cell r="Y53">
            <v>741.62399999999991</v>
          </cell>
          <cell r="Z53">
            <v>222.48719999999997</v>
          </cell>
          <cell r="AA53">
            <v>1962.4511999999997</v>
          </cell>
          <cell r="AB53">
            <v>12.265319999999999</v>
          </cell>
        </row>
        <row r="54">
          <cell r="A54" t="str">
            <v>Disk Harrow14'</v>
          </cell>
          <cell r="B54" t="str">
            <v>Disk Harrow</v>
          </cell>
          <cell r="C54" t="str">
            <v>14'</v>
          </cell>
          <cell r="D54">
            <v>14</v>
          </cell>
          <cell r="E54">
            <v>5.25</v>
          </cell>
          <cell r="F54">
            <v>0.8</v>
          </cell>
          <cell r="G54">
            <v>0.14030612244897961</v>
          </cell>
          <cell r="H54">
            <v>10915</v>
          </cell>
          <cell r="I54">
            <v>30</v>
          </cell>
          <cell r="J54">
            <v>50</v>
          </cell>
          <cell r="K54">
            <v>10</v>
          </cell>
          <cell r="L54">
            <v>180</v>
          </cell>
          <cell r="M54">
            <v>0</v>
          </cell>
          <cell r="N54">
            <v>1800</v>
          </cell>
          <cell r="O54">
            <v>1</v>
          </cell>
          <cell r="P54">
            <v>0.27</v>
          </cell>
          <cell r="Q54">
            <v>1.4</v>
          </cell>
          <cell r="R54">
            <v>267.15850920170766</v>
          </cell>
          <cell r="S54">
            <v>1.4842139400094869</v>
          </cell>
          <cell r="T54">
            <v>545.75</v>
          </cell>
          <cell r="U54">
            <v>3.0319444444444446</v>
          </cell>
          <cell r="V54">
            <v>3274.5</v>
          </cell>
          <cell r="W54">
            <v>764.05</v>
          </cell>
          <cell r="X54">
            <v>7094.75</v>
          </cell>
          <cell r="Y54">
            <v>567.58000000000004</v>
          </cell>
          <cell r="Z54">
            <v>170.274</v>
          </cell>
          <cell r="AA54">
            <v>1501.904</v>
          </cell>
          <cell r="AB54">
            <v>8.3439111111111117</v>
          </cell>
        </row>
        <row r="55">
          <cell r="A55" t="str">
            <v>Disk Harrow24'</v>
          </cell>
          <cell r="B55" t="str">
            <v>Disk Harrow</v>
          </cell>
          <cell r="C55" t="str">
            <v>24'</v>
          </cell>
          <cell r="D55">
            <v>24</v>
          </cell>
          <cell r="E55">
            <v>5.25</v>
          </cell>
          <cell r="F55">
            <v>0.8</v>
          </cell>
          <cell r="G55">
            <v>8.1845238095238096E-2</v>
          </cell>
          <cell r="H55">
            <v>25699</v>
          </cell>
          <cell r="I55">
            <v>30</v>
          </cell>
          <cell r="J55">
            <v>50</v>
          </cell>
          <cell r="K55">
            <v>10</v>
          </cell>
          <cell r="L55">
            <v>180</v>
          </cell>
          <cell r="M55">
            <v>0</v>
          </cell>
          <cell r="N55">
            <v>1800</v>
          </cell>
          <cell r="O55">
            <v>1</v>
          </cell>
          <cell r="P55">
            <v>0.27</v>
          </cell>
          <cell r="Q55">
            <v>1.4</v>
          </cell>
          <cell r="R55">
            <v>629.01571488544994</v>
          </cell>
          <cell r="S55">
            <v>3.4945317493636106</v>
          </cell>
          <cell r="T55">
            <v>1284.95</v>
          </cell>
          <cell r="U55">
            <v>7.1386111111111115</v>
          </cell>
          <cell r="V55">
            <v>7709.7</v>
          </cell>
          <cell r="W55">
            <v>1798.9299999999998</v>
          </cell>
          <cell r="X55">
            <v>16704.349999999999</v>
          </cell>
          <cell r="Y55">
            <v>1336.348</v>
          </cell>
          <cell r="Z55">
            <v>400.90439999999995</v>
          </cell>
          <cell r="AA55">
            <v>3536.1823999999997</v>
          </cell>
          <cell r="AB55">
            <v>19.645457777777775</v>
          </cell>
        </row>
        <row r="56">
          <cell r="A56" t="str">
            <v>Disk Harrow28'</v>
          </cell>
          <cell r="B56" t="str">
            <v>Disk Harrow</v>
          </cell>
          <cell r="C56" t="str">
            <v>28'</v>
          </cell>
          <cell r="D56">
            <v>28</v>
          </cell>
          <cell r="E56">
            <v>5.25</v>
          </cell>
          <cell r="F56">
            <v>0.8</v>
          </cell>
          <cell r="G56">
            <v>7.0153061224489804E-2</v>
          </cell>
          <cell r="H56">
            <v>29386</v>
          </cell>
          <cell r="I56">
            <v>30</v>
          </cell>
          <cell r="J56">
            <v>50</v>
          </cell>
          <cell r="K56">
            <v>10</v>
          </cell>
          <cell r="L56">
            <v>180</v>
          </cell>
          <cell r="M56">
            <v>0</v>
          </cell>
          <cell r="N56">
            <v>1800</v>
          </cell>
          <cell r="O56">
            <v>1</v>
          </cell>
          <cell r="P56">
            <v>0.27</v>
          </cell>
          <cell r="Q56">
            <v>1.4</v>
          </cell>
          <cell r="R56">
            <v>719.25972985812018</v>
          </cell>
          <cell r="S56">
            <v>3.9958873881006678</v>
          </cell>
          <cell r="T56">
            <v>1469.3</v>
          </cell>
          <cell r="U56">
            <v>8.1627777777777784</v>
          </cell>
          <cell r="V56">
            <v>8815.7999999999993</v>
          </cell>
          <cell r="W56">
            <v>2057.02</v>
          </cell>
          <cell r="X56">
            <v>19100.900000000001</v>
          </cell>
          <cell r="Y56">
            <v>1528.0720000000001</v>
          </cell>
          <cell r="Z56">
            <v>458.42160000000007</v>
          </cell>
          <cell r="AA56">
            <v>4043.5136000000002</v>
          </cell>
          <cell r="AB56">
            <v>22.463964444444446</v>
          </cell>
        </row>
        <row r="57">
          <cell r="A57" t="str">
            <v>Disk Harrow32'</v>
          </cell>
          <cell r="B57" t="str">
            <v>Disk Harrow</v>
          </cell>
          <cell r="C57" t="str">
            <v>32'</v>
          </cell>
          <cell r="D57">
            <v>32</v>
          </cell>
          <cell r="E57">
            <v>5.25</v>
          </cell>
          <cell r="F57">
            <v>0.8</v>
          </cell>
          <cell r="G57">
            <v>6.1383928571428575E-2</v>
          </cell>
          <cell r="H57">
            <v>32347</v>
          </cell>
          <cell r="I57">
            <v>30</v>
          </cell>
          <cell r="J57">
            <v>50</v>
          </cell>
          <cell r="K57">
            <v>10</v>
          </cell>
          <cell r="L57">
            <v>180</v>
          </cell>
          <cell r="M57">
            <v>0</v>
          </cell>
          <cell r="N57">
            <v>1800</v>
          </cell>
          <cell r="O57">
            <v>1</v>
          </cell>
          <cell r="P57">
            <v>0.27</v>
          </cell>
          <cell r="Q57">
            <v>1.4</v>
          </cell>
          <cell r="R57">
            <v>791.7339713373924</v>
          </cell>
          <cell r="S57">
            <v>4.3985220629855135</v>
          </cell>
          <cell r="T57">
            <v>1617.35</v>
          </cell>
          <cell r="U57">
            <v>8.9852777777777781</v>
          </cell>
          <cell r="V57">
            <v>9704.1</v>
          </cell>
          <cell r="W57">
            <v>2264.29</v>
          </cell>
          <cell r="X57">
            <v>21025.55</v>
          </cell>
          <cell r="Y57">
            <v>1682.0439999999999</v>
          </cell>
          <cell r="Z57">
            <v>504.61320000000001</v>
          </cell>
          <cell r="AA57">
            <v>4450.9471999999996</v>
          </cell>
          <cell r="AB57">
            <v>24.727484444444443</v>
          </cell>
        </row>
        <row r="58">
          <cell r="A58" t="str">
            <v>Disk Harrow42'</v>
          </cell>
          <cell r="B58" t="str">
            <v>Disk Harrow</v>
          </cell>
          <cell r="C58" t="str">
            <v>42'</v>
          </cell>
          <cell r="D58">
            <v>42</v>
          </cell>
          <cell r="E58">
            <v>5.25</v>
          </cell>
          <cell r="F58">
            <v>0.8</v>
          </cell>
          <cell r="G58">
            <v>4.6768707482993194E-2</v>
          </cell>
          <cell r="H58">
            <v>46301</v>
          </cell>
          <cell r="I58">
            <v>30</v>
          </cell>
          <cell r="J58">
            <v>50</v>
          </cell>
          <cell r="K58">
            <v>10</v>
          </cell>
          <cell r="L58">
            <v>180</v>
          </cell>
          <cell r="M58">
            <v>0</v>
          </cell>
          <cell r="N58">
            <v>1800</v>
          </cell>
          <cell r="O58">
            <v>1</v>
          </cell>
          <cell r="P58">
            <v>0.27</v>
          </cell>
          <cell r="Q58">
            <v>1.4</v>
          </cell>
          <cell r="R58">
            <v>1133.2758712366713</v>
          </cell>
          <cell r="S58">
            <v>6.2959770624259512</v>
          </cell>
          <cell r="T58">
            <v>2315.0500000000002</v>
          </cell>
          <cell r="U58">
            <v>12.861388888888889</v>
          </cell>
          <cell r="V58">
            <v>13890.3</v>
          </cell>
          <cell r="W58">
            <v>3241.07</v>
          </cell>
          <cell r="X58">
            <v>30095.65</v>
          </cell>
          <cell r="Y58">
            <v>2407.652</v>
          </cell>
          <cell r="Z58">
            <v>722.29560000000004</v>
          </cell>
          <cell r="AA58">
            <v>6371.0176000000001</v>
          </cell>
          <cell r="AB58">
            <v>35.394542222222221</v>
          </cell>
        </row>
        <row r="59">
          <cell r="A59" t="str">
            <v>Fert Appl (Liquid)10R-30</v>
          </cell>
          <cell r="B59" t="str">
            <v>Fert Appl (Liquid)</v>
          </cell>
          <cell r="C59" t="str">
            <v>10R-30</v>
          </cell>
          <cell r="D59">
            <v>25</v>
          </cell>
          <cell r="E59">
            <v>6</v>
          </cell>
          <cell r="F59">
            <v>0.7</v>
          </cell>
          <cell r="G59">
            <v>7.857142857142857E-2</v>
          </cell>
          <cell r="H59">
            <v>14057</v>
          </cell>
          <cell r="I59">
            <v>40</v>
          </cell>
          <cell r="J59">
            <v>80</v>
          </cell>
          <cell r="K59">
            <v>8</v>
          </cell>
          <cell r="L59">
            <v>150</v>
          </cell>
          <cell r="M59">
            <v>0</v>
          </cell>
          <cell r="N59">
            <v>1200</v>
          </cell>
          <cell r="O59">
            <v>1</v>
          </cell>
          <cell r="P59">
            <v>0.27</v>
          </cell>
          <cell r="Q59">
            <v>1.4</v>
          </cell>
          <cell r="R59">
            <v>266.5533663449126</v>
          </cell>
          <cell r="S59">
            <v>1.7770224422994174</v>
          </cell>
          <cell r="T59">
            <v>1405.7</v>
          </cell>
          <cell r="U59">
            <v>9.3713333333333342</v>
          </cell>
          <cell r="V59">
            <v>5622.8</v>
          </cell>
          <cell r="W59">
            <v>1054.2750000000001</v>
          </cell>
          <cell r="X59">
            <v>9839.9</v>
          </cell>
          <cell r="Y59">
            <v>787.19200000000001</v>
          </cell>
          <cell r="Z59">
            <v>236.1576</v>
          </cell>
          <cell r="AA59">
            <v>2077.6246000000001</v>
          </cell>
          <cell r="AB59">
            <v>13.850830666666667</v>
          </cell>
        </row>
        <row r="60">
          <cell r="A60" t="str">
            <v>Fert Appl (Liquid)10R-36</v>
          </cell>
          <cell r="B60" t="str">
            <v>Fert Appl (Liquid)</v>
          </cell>
          <cell r="C60" t="str">
            <v>10R-36</v>
          </cell>
          <cell r="D60">
            <v>30</v>
          </cell>
          <cell r="E60">
            <v>6</v>
          </cell>
          <cell r="F60">
            <v>0.7</v>
          </cell>
          <cell r="G60">
            <v>6.5476190476190479E-2</v>
          </cell>
          <cell r="H60">
            <v>15426</v>
          </cell>
          <cell r="I60">
            <v>40</v>
          </cell>
          <cell r="J60">
            <v>80</v>
          </cell>
          <cell r="K60">
            <v>8</v>
          </cell>
          <cell r="L60">
            <v>150</v>
          </cell>
          <cell r="M60">
            <v>0</v>
          </cell>
          <cell r="N60">
            <v>1200</v>
          </cell>
          <cell r="O60">
            <v>1</v>
          </cell>
          <cell r="P60">
            <v>0.27</v>
          </cell>
          <cell r="Q60">
            <v>1.4</v>
          </cell>
          <cell r="R60">
            <v>292.51278574636279</v>
          </cell>
          <cell r="S60">
            <v>1.9500852383090852</v>
          </cell>
          <cell r="T60">
            <v>1542.6</v>
          </cell>
          <cell r="U60">
            <v>10.283999999999999</v>
          </cell>
          <cell r="V60">
            <v>6170.4</v>
          </cell>
          <cell r="W60">
            <v>1156.95</v>
          </cell>
          <cell r="X60">
            <v>10798.2</v>
          </cell>
          <cell r="Y60">
            <v>863.85600000000011</v>
          </cell>
          <cell r="Z60">
            <v>259.15680000000003</v>
          </cell>
          <cell r="AA60">
            <v>2279.9628000000002</v>
          </cell>
          <cell r="AB60">
            <v>15.199752000000002</v>
          </cell>
        </row>
        <row r="61">
          <cell r="A61" t="str">
            <v>Fert Appl (Liquid)12R-30</v>
          </cell>
          <cell r="B61" t="str">
            <v>Fert Appl (Liquid)</v>
          </cell>
          <cell r="C61" t="str">
            <v>12R-30</v>
          </cell>
          <cell r="D61">
            <v>25</v>
          </cell>
          <cell r="E61">
            <v>6</v>
          </cell>
          <cell r="F61">
            <v>0.7</v>
          </cell>
          <cell r="G61">
            <v>7.857142857142857E-2</v>
          </cell>
          <cell r="H61">
            <v>15343</v>
          </cell>
          <cell r="I61">
            <v>40</v>
          </cell>
          <cell r="J61">
            <v>80</v>
          </cell>
          <cell r="K61">
            <v>8</v>
          </cell>
          <cell r="L61">
            <v>150</v>
          </cell>
          <cell r="M61">
            <v>0</v>
          </cell>
          <cell r="N61">
            <v>1200</v>
          </cell>
          <cell r="O61">
            <v>1</v>
          </cell>
          <cell r="P61">
            <v>0.27</v>
          </cell>
          <cell r="Q61">
            <v>1.4</v>
          </cell>
          <cell r="R61">
            <v>290.93891298498926</v>
          </cell>
          <cell r="S61">
            <v>1.9395927532332617</v>
          </cell>
          <cell r="T61">
            <v>1534.3</v>
          </cell>
          <cell r="U61">
            <v>10.228666666666667</v>
          </cell>
          <cell r="V61">
            <v>6137.2</v>
          </cell>
          <cell r="W61">
            <v>1150.7249999999999</v>
          </cell>
          <cell r="X61">
            <v>10740.1</v>
          </cell>
          <cell r="Y61">
            <v>859.20800000000008</v>
          </cell>
          <cell r="Z61">
            <v>257.76240000000001</v>
          </cell>
          <cell r="AA61">
            <v>2267.6954000000001</v>
          </cell>
          <cell r="AB61">
            <v>15.117969333333333</v>
          </cell>
        </row>
        <row r="62">
          <cell r="A62" t="str">
            <v>Fert Appl (Liquid)12R-36</v>
          </cell>
          <cell r="B62" t="str">
            <v>Fert Appl (Liquid)</v>
          </cell>
          <cell r="C62" t="str">
            <v>12R-36</v>
          </cell>
          <cell r="D62">
            <v>36</v>
          </cell>
          <cell r="E62">
            <v>6</v>
          </cell>
          <cell r="F62">
            <v>0.7</v>
          </cell>
          <cell r="G62">
            <v>5.4563492063492064E-2</v>
          </cell>
          <cell r="H62">
            <v>16651</v>
          </cell>
          <cell r="I62">
            <v>40</v>
          </cell>
          <cell r="J62">
            <v>80</v>
          </cell>
          <cell r="K62">
            <v>8</v>
          </cell>
          <cell r="L62">
            <v>150</v>
          </cell>
          <cell r="M62">
            <v>0</v>
          </cell>
          <cell r="N62">
            <v>1200</v>
          </cell>
          <cell r="O62">
            <v>1</v>
          </cell>
          <cell r="P62">
            <v>0.27</v>
          </cell>
          <cell r="Q62">
            <v>1.4</v>
          </cell>
          <cell r="R62">
            <v>315.74163071844202</v>
          </cell>
          <cell r="S62">
            <v>2.1049442047896134</v>
          </cell>
          <cell r="T62">
            <v>1665.1</v>
          </cell>
          <cell r="U62">
            <v>11.100666666666665</v>
          </cell>
          <cell r="V62">
            <v>6660.4</v>
          </cell>
          <cell r="W62">
            <v>1248.825</v>
          </cell>
          <cell r="X62">
            <v>11655.7</v>
          </cell>
          <cell r="Y62">
            <v>932.45600000000013</v>
          </cell>
          <cell r="Z62">
            <v>279.73680000000002</v>
          </cell>
          <cell r="AA62">
            <v>2461.0178000000005</v>
          </cell>
          <cell r="AB62">
            <v>16.406785333333335</v>
          </cell>
        </row>
        <row r="63">
          <cell r="A63" t="str">
            <v>Fert Appl (Liquid)4R-36</v>
          </cell>
          <cell r="B63" t="str">
            <v>Fert Appl (Liquid)</v>
          </cell>
          <cell r="C63" t="str">
            <v>4R-36</v>
          </cell>
          <cell r="D63">
            <v>12</v>
          </cell>
          <cell r="E63">
            <v>6</v>
          </cell>
          <cell r="F63">
            <v>0.7</v>
          </cell>
          <cell r="G63">
            <v>0.16369047619047619</v>
          </cell>
          <cell r="H63">
            <v>11665</v>
          </cell>
          <cell r="I63">
            <v>40</v>
          </cell>
          <cell r="J63">
            <v>80</v>
          </cell>
          <cell r="K63">
            <v>8</v>
          </cell>
          <cell r="L63">
            <v>150</v>
          </cell>
          <cell r="M63">
            <v>0</v>
          </cell>
          <cell r="N63">
            <v>1200</v>
          </cell>
          <cell r="O63">
            <v>1</v>
          </cell>
          <cell r="P63">
            <v>0.27</v>
          </cell>
          <cell r="Q63">
            <v>1.4</v>
          </cell>
          <cell r="R63">
            <v>221.19549110147295</v>
          </cell>
          <cell r="S63">
            <v>1.4746366073431529</v>
          </cell>
          <cell r="T63">
            <v>1166.5</v>
          </cell>
          <cell r="U63">
            <v>7.7766666666666664</v>
          </cell>
          <cell r="V63">
            <v>4666</v>
          </cell>
          <cell r="W63">
            <v>874.875</v>
          </cell>
          <cell r="X63">
            <v>8165.5</v>
          </cell>
          <cell r="Y63">
            <v>653.24</v>
          </cell>
          <cell r="Z63">
            <v>195.97200000000001</v>
          </cell>
          <cell r="AA63">
            <v>1724.087</v>
          </cell>
          <cell r="AB63">
            <v>11.493913333333333</v>
          </cell>
        </row>
        <row r="64">
          <cell r="A64" t="str">
            <v>Fert Appl (Liquid)6R-30</v>
          </cell>
          <cell r="B64" t="str">
            <v>Fert Appl (Liquid)</v>
          </cell>
          <cell r="C64" t="str">
            <v>6R-30</v>
          </cell>
          <cell r="D64">
            <v>15</v>
          </cell>
          <cell r="E64">
            <v>6</v>
          </cell>
          <cell r="F64">
            <v>0.7</v>
          </cell>
          <cell r="G64">
            <v>0.13095238095238096</v>
          </cell>
          <cell r="H64">
            <v>13595</v>
          </cell>
          <cell r="I64">
            <v>40</v>
          </cell>
          <cell r="J64">
            <v>80</v>
          </cell>
          <cell r="K64">
            <v>8</v>
          </cell>
          <cell r="L64">
            <v>150</v>
          </cell>
          <cell r="M64">
            <v>0</v>
          </cell>
          <cell r="N64">
            <v>1200</v>
          </cell>
          <cell r="O64">
            <v>1</v>
          </cell>
          <cell r="P64">
            <v>0.27</v>
          </cell>
          <cell r="Q64">
            <v>1.4</v>
          </cell>
          <cell r="R64">
            <v>257.79277338401408</v>
          </cell>
          <cell r="S64">
            <v>1.7186184892267606</v>
          </cell>
          <cell r="T64">
            <v>1359.5</v>
          </cell>
          <cell r="U64">
            <v>9.0633333333333326</v>
          </cell>
          <cell r="V64">
            <v>5438</v>
          </cell>
          <cell r="W64">
            <v>1019.625</v>
          </cell>
          <cell r="X64">
            <v>9516.5</v>
          </cell>
          <cell r="Y64">
            <v>761.32</v>
          </cell>
          <cell r="Z64">
            <v>228.39600000000002</v>
          </cell>
          <cell r="AA64">
            <v>2009.3410000000001</v>
          </cell>
          <cell r="AB64">
            <v>13.395606666666668</v>
          </cell>
        </row>
        <row r="65">
          <cell r="A65" t="str">
            <v>Fert Appl (Liquid)6R-36</v>
          </cell>
          <cell r="B65" t="str">
            <v>Fert Appl (Liquid)</v>
          </cell>
          <cell r="C65" t="str">
            <v>6R-36</v>
          </cell>
          <cell r="D65">
            <v>18</v>
          </cell>
          <cell r="E65">
            <v>6</v>
          </cell>
          <cell r="F65">
            <v>0.7</v>
          </cell>
          <cell r="G65">
            <v>0.10912698412698413</v>
          </cell>
          <cell r="H65">
            <v>12006</v>
          </cell>
          <cell r="I65">
            <v>40</v>
          </cell>
          <cell r="J65">
            <v>80</v>
          </cell>
          <cell r="K65">
            <v>8</v>
          </cell>
          <cell r="L65">
            <v>150</v>
          </cell>
          <cell r="M65">
            <v>0</v>
          </cell>
          <cell r="N65">
            <v>1200</v>
          </cell>
          <cell r="O65">
            <v>1</v>
          </cell>
          <cell r="P65">
            <v>0.27</v>
          </cell>
          <cell r="Q65">
            <v>1.4</v>
          </cell>
          <cell r="R65">
            <v>227.66164304880277</v>
          </cell>
          <cell r="S65">
            <v>1.5177442869920186</v>
          </cell>
          <cell r="T65">
            <v>1200.5999999999999</v>
          </cell>
          <cell r="U65">
            <v>8.0039999999999996</v>
          </cell>
          <cell r="V65">
            <v>4802.3999999999996</v>
          </cell>
          <cell r="W65">
            <v>900.45</v>
          </cell>
          <cell r="X65">
            <v>8404.2000000000007</v>
          </cell>
          <cell r="Y65">
            <v>672.33600000000013</v>
          </cell>
          <cell r="Z65">
            <v>201.70080000000002</v>
          </cell>
          <cell r="AA65">
            <v>1774.4868000000001</v>
          </cell>
          <cell r="AB65">
            <v>11.829912</v>
          </cell>
        </row>
        <row r="66">
          <cell r="A66" t="str">
            <v>Fert Appl (Liquid)8R-30</v>
          </cell>
          <cell r="B66" t="str">
            <v>Fert Appl (Liquid)</v>
          </cell>
          <cell r="C66" t="str">
            <v>8R-30</v>
          </cell>
          <cell r="D66">
            <v>20</v>
          </cell>
          <cell r="E66">
            <v>6</v>
          </cell>
          <cell r="F66">
            <v>0.7</v>
          </cell>
          <cell r="G66">
            <v>9.8214285714285712E-2</v>
          </cell>
          <cell r="H66">
            <v>13372</v>
          </cell>
          <cell r="I66">
            <v>40</v>
          </cell>
          <cell r="J66">
            <v>80</v>
          </cell>
          <cell r="K66">
            <v>8</v>
          </cell>
          <cell r="L66">
            <v>150</v>
          </cell>
          <cell r="M66">
            <v>0</v>
          </cell>
          <cell r="N66">
            <v>1200</v>
          </cell>
          <cell r="O66">
            <v>1</v>
          </cell>
          <cell r="P66">
            <v>0.27</v>
          </cell>
          <cell r="Q66">
            <v>1.4</v>
          </cell>
          <cell r="R66">
            <v>253.56417548297438</v>
          </cell>
          <cell r="S66">
            <v>1.6904278365531624</v>
          </cell>
          <cell r="T66">
            <v>1337.2</v>
          </cell>
          <cell r="U66">
            <v>8.9146666666666672</v>
          </cell>
          <cell r="V66">
            <v>5348.8</v>
          </cell>
          <cell r="W66">
            <v>1002.9</v>
          </cell>
          <cell r="X66">
            <v>9360.4</v>
          </cell>
          <cell r="Y66">
            <v>748.83199999999999</v>
          </cell>
          <cell r="Z66">
            <v>224.64959999999999</v>
          </cell>
          <cell r="AA66">
            <v>1976.3815999999999</v>
          </cell>
          <cell r="AB66">
            <v>13.175877333333332</v>
          </cell>
        </row>
        <row r="67">
          <cell r="A67" t="str">
            <v>Fert Appl (Liquid)8R-36</v>
          </cell>
          <cell r="B67" t="str">
            <v>Fert Appl (Liquid)</v>
          </cell>
          <cell r="C67" t="str">
            <v>8R-36</v>
          </cell>
          <cell r="D67">
            <v>24</v>
          </cell>
          <cell r="E67">
            <v>6</v>
          </cell>
          <cell r="F67">
            <v>0.7</v>
          </cell>
          <cell r="G67">
            <v>8.1845238095238096E-2</v>
          </cell>
          <cell r="H67">
            <v>13483</v>
          </cell>
          <cell r="I67">
            <v>40</v>
          </cell>
          <cell r="J67">
            <v>80</v>
          </cell>
          <cell r="K67">
            <v>8</v>
          </cell>
          <cell r="L67">
            <v>150</v>
          </cell>
          <cell r="M67">
            <v>0</v>
          </cell>
          <cell r="N67">
            <v>1200</v>
          </cell>
          <cell r="O67">
            <v>1</v>
          </cell>
          <cell r="P67">
            <v>0.27</v>
          </cell>
          <cell r="Q67">
            <v>1.4</v>
          </cell>
          <cell r="R67">
            <v>255.66899327228117</v>
          </cell>
          <cell r="S67">
            <v>1.7044599551485411</v>
          </cell>
          <cell r="T67">
            <v>1348.3</v>
          </cell>
          <cell r="U67">
            <v>8.988666666666667</v>
          </cell>
          <cell r="V67">
            <v>5393.2</v>
          </cell>
          <cell r="W67">
            <v>1011.225</v>
          </cell>
          <cell r="X67">
            <v>9438.1</v>
          </cell>
          <cell r="Y67">
            <v>755.048</v>
          </cell>
          <cell r="Z67">
            <v>226.51440000000002</v>
          </cell>
          <cell r="AA67">
            <v>1992.7874000000002</v>
          </cell>
          <cell r="AB67">
            <v>13.285249333333335</v>
          </cell>
        </row>
        <row r="68">
          <cell r="A68" t="str">
            <v>Fert Appl (Liquid)8R-40 2x1</v>
          </cell>
          <cell r="B68" t="str">
            <v>Fert Appl (Liquid)</v>
          </cell>
          <cell r="C68" t="str">
            <v>8R-40 2x1</v>
          </cell>
          <cell r="D68">
            <v>40</v>
          </cell>
          <cell r="E68">
            <v>6</v>
          </cell>
          <cell r="F68">
            <v>0.7</v>
          </cell>
          <cell r="G68">
            <v>4.9107142857142856E-2</v>
          </cell>
          <cell r="H68">
            <v>16651</v>
          </cell>
          <cell r="I68">
            <v>40</v>
          </cell>
          <cell r="J68">
            <v>80</v>
          </cell>
          <cell r="K68">
            <v>8</v>
          </cell>
          <cell r="L68">
            <v>150</v>
          </cell>
          <cell r="M68">
            <v>0</v>
          </cell>
          <cell r="N68">
            <v>1200</v>
          </cell>
          <cell r="O68">
            <v>1</v>
          </cell>
          <cell r="P68">
            <v>0.27</v>
          </cell>
          <cell r="Q68">
            <v>1.4</v>
          </cell>
          <cell r="R68">
            <v>315.74163071844202</v>
          </cell>
          <cell r="S68">
            <v>2.1049442047896134</v>
          </cell>
          <cell r="T68">
            <v>1665.1</v>
          </cell>
          <cell r="U68">
            <v>11.100666666666665</v>
          </cell>
          <cell r="V68">
            <v>6660.4</v>
          </cell>
          <cell r="W68">
            <v>1248.825</v>
          </cell>
          <cell r="X68">
            <v>11655.7</v>
          </cell>
          <cell r="Y68">
            <v>932.45600000000013</v>
          </cell>
          <cell r="Z68">
            <v>279.73680000000002</v>
          </cell>
          <cell r="AA68">
            <v>2461.0178000000005</v>
          </cell>
          <cell r="AB68">
            <v>16.406785333333335</v>
          </cell>
        </row>
        <row r="69">
          <cell r="A69" t="str">
            <v>Field Cult &amp; Inc12'</v>
          </cell>
          <cell r="B69" t="str">
            <v>Field Cult &amp; Inc</v>
          </cell>
          <cell r="C69" t="str">
            <v>12'</v>
          </cell>
          <cell r="D69">
            <v>12</v>
          </cell>
          <cell r="E69">
            <v>6.5</v>
          </cell>
          <cell r="F69">
            <v>0.85</v>
          </cell>
          <cell r="G69">
            <v>0.12443438914027148</v>
          </cell>
          <cell r="H69">
            <v>11903</v>
          </cell>
          <cell r="I69">
            <v>30</v>
          </cell>
          <cell r="J69">
            <v>25</v>
          </cell>
          <cell r="K69">
            <v>10</v>
          </cell>
          <cell r="L69">
            <v>100</v>
          </cell>
          <cell r="M69">
            <v>0</v>
          </cell>
          <cell r="N69">
            <v>1000</v>
          </cell>
          <cell r="O69">
            <v>1</v>
          </cell>
          <cell r="P69">
            <v>0.27</v>
          </cell>
          <cell r="Q69">
            <v>1.4</v>
          </cell>
          <cell r="R69">
            <v>127.94408057965359</v>
          </cell>
          <cell r="S69">
            <v>1.2794408057965359</v>
          </cell>
          <cell r="T69">
            <v>297.57499999999999</v>
          </cell>
          <cell r="U69">
            <v>2.9757499999999997</v>
          </cell>
          <cell r="V69">
            <v>3570.9</v>
          </cell>
          <cell r="W69">
            <v>833.21</v>
          </cell>
          <cell r="X69">
            <v>7736.95</v>
          </cell>
          <cell r="Y69">
            <v>618.95600000000002</v>
          </cell>
          <cell r="Z69">
            <v>185.68680000000001</v>
          </cell>
          <cell r="AA69">
            <v>1637.8528000000001</v>
          </cell>
          <cell r="AB69">
            <v>16.378528000000003</v>
          </cell>
        </row>
        <row r="70">
          <cell r="A70" t="str">
            <v>Field Cult &amp; Inc24'</v>
          </cell>
          <cell r="B70" t="str">
            <v>Field Cult &amp; Inc</v>
          </cell>
          <cell r="C70" t="str">
            <v>24'</v>
          </cell>
          <cell r="D70">
            <v>24</v>
          </cell>
          <cell r="E70">
            <v>6.5</v>
          </cell>
          <cell r="F70">
            <v>0.85</v>
          </cell>
          <cell r="G70">
            <v>6.2217194570135741E-2</v>
          </cell>
          <cell r="H70">
            <v>23242</v>
          </cell>
          <cell r="I70">
            <v>30</v>
          </cell>
          <cell r="J70">
            <v>25</v>
          </cell>
          <cell r="K70">
            <v>10</v>
          </cell>
          <cell r="L70">
            <v>100</v>
          </cell>
          <cell r="M70">
            <v>0</v>
          </cell>
          <cell r="N70">
            <v>1000</v>
          </cell>
          <cell r="O70">
            <v>1</v>
          </cell>
          <cell r="P70">
            <v>0.27</v>
          </cell>
          <cell r="Q70">
            <v>1.4</v>
          </cell>
          <cell r="R70">
            <v>249.82578516611849</v>
          </cell>
          <cell r="S70">
            <v>2.4982578516611849</v>
          </cell>
          <cell r="T70">
            <v>581.04999999999995</v>
          </cell>
          <cell r="U70">
            <v>5.8104999999999993</v>
          </cell>
          <cell r="V70">
            <v>6972.6</v>
          </cell>
          <cell r="W70">
            <v>1626.94</v>
          </cell>
          <cell r="X70">
            <v>15107.3</v>
          </cell>
          <cell r="Y70">
            <v>1208.5840000000001</v>
          </cell>
          <cell r="Z70">
            <v>362.5752</v>
          </cell>
          <cell r="AA70">
            <v>3198.0992000000001</v>
          </cell>
          <cell r="AB70">
            <v>31.980992000000001</v>
          </cell>
        </row>
        <row r="71">
          <cell r="A71" t="str">
            <v>Field Cult &amp; Inc32'</v>
          </cell>
          <cell r="B71" t="str">
            <v>Field Cult &amp; Inc</v>
          </cell>
          <cell r="C71" t="str">
            <v>32'</v>
          </cell>
          <cell r="D71">
            <v>32</v>
          </cell>
          <cell r="E71">
            <v>6.5</v>
          </cell>
          <cell r="F71">
            <v>0.85</v>
          </cell>
          <cell r="G71">
            <v>4.6662895927601811E-2</v>
          </cell>
          <cell r="H71">
            <v>31960</v>
          </cell>
          <cell r="I71">
            <v>30</v>
          </cell>
          <cell r="J71">
            <v>25</v>
          </cell>
          <cell r="K71">
            <v>10</v>
          </cell>
          <cell r="L71">
            <v>100</v>
          </cell>
          <cell r="M71">
            <v>0</v>
          </cell>
          <cell r="N71">
            <v>1000</v>
          </cell>
          <cell r="O71">
            <v>1</v>
          </cell>
          <cell r="P71">
            <v>0.27</v>
          </cell>
          <cell r="Q71">
            <v>1.4</v>
          </cell>
          <cell r="R71">
            <v>343.53463961402406</v>
          </cell>
          <cell r="S71">
            <v>3.4353463961402406</v>
          </cell>
          <cell r="T71">
            <v>799</v>
          </cell>
          <cell r="U71">
            <v>7.99</v>
          </cell>
          <cell r="V71">
            <v>9588</v>
          </cell>
          <cell r="W71">
            <v>2237.1999999999998</v>
          </cell>
          <cell r="X71">
            <v>20774</v>
          </cell>
          <cell r="Y71">
            <v>1661.92</v>
          </cell>
          <cell r="Z71">
            <v>498.57600000000002</v>
          </cell>
          <cell r="AA71">
            <v>4397.6959999999999</v>
          </cell>
          <cell r="AB71">
            <v>43.976959999999998</v>
          </cell>
        </row>
        <row r="72">
          <cell r="A72" t="str">
            <v>Field Cult &amp; Inc42'</v>
          </cell>
          <cell r="B72" t="str">
            <v>Field Cult &amp; Inc</v>
          </cell>
          <cell r="C72" t="str">
            <v>42'</v>
          </cell>
          <cell r="D72">
            <v>42</v>
          </cell>
          <cell r="E72">
            <v>6.5</v>
          </cell>
          <cell r="F72">
            <v>0.85</v>
          </cell>
          <cell r="G72">
            <v>3.555268261150614E-2</v>
          </cell>
          <cell r="H72">
            <v>40908</v>
          </cell>
          <cell r="I72">
            <v>30</v>
          </cell>
          <cell r="J72">
            <v>25</v>
          </cell>
          <cell r="K72">
            <v>10</v>
          </cell>
          <cell r="L72">
            <v>100</v>
          </cell>
          <cell r="M72">
            <v>0</v>
          </cell>
          <cell r="N72">
            <v>1000</v>
          </cell>
          <cell r="O72">
            <v>1</v>
          </cell>
          <cell r="P72">
            <v>0.27</v>
          </cell>
          <cell r="Q72">
            <v>1.4</v>
          </cell>
          <cell r="R72">
            <v>439.71573959106684</v>
          </cell>
          <cell r="S72">
            <v>4.3971573959106687</v>
          </cell>
          <cell r="T72">
            <v>1022.7</v>
          </cell>
          <cell r="U72">
            <v>10.227</v>
          </cell>
          <cell r="V72">
            <v>12272.4</v>
          </cell>
          <cell r="W72">
            <v>2863.56</v>
          </cell>
          <cell r="X72">
            <v>26590.2</v>
          </cell>
          <cell r="Y72">
            <v>2127.2159999999999</v>
          </cell>
          <cell r="Z72">
            <v>638.16480000000001</v>
          </cell>
          <cell r="AA72">
            <v>5628.9408000000003</v>
          </cell>
          <cell r="AB72">
            <v>56.289408000000002</v>
          </cell>
        </row>
        <row r="73">
          <cell r="A73" t="str">
            <v>Field Cultivate12'</v>
          </cell>
          <cell r="B73" t="str">
            <v>Field Cultivate</v>
          </cell>
          <cell r="C73" t="str">
            <v>12'</v>
          </cell>
          <cell r="D73">
            <v>12</v>
          </cell>
          <cell r="E73">
            <v>6.5</v>
          </cell>
          <cell r="F73">
            <v>0.85</v>
          </cell>
          <cell r="G73">
            <v>0.12443438914027148</v>
          </cell>
          <cell r="H73">
            <v>6534</v>
          </cell>
          <cell r="I73">
            <v>30</v>
          </cell>
          <cell r="J73">
            <v>25</v>
          </cell>
          <cell r="K73">
            <v>10</v>
          </cell>
          <cell r="L73">
            <v>100</v>
          </cell>
          <cell r="M73">
            <v>0</v>
          </cell>
          <cell r="N73">
            <v>1000</v>
          </cell>
          <cell r="O73">
            <v>1</v>
          </cell>
          <cell r="P73">
            <v>0.27</v>
          </cell>
          <cell r="Q73">
            <v>1.4</v>
          </cell>
          <cell r="R73">
            <v>70.233270814706927</v>
          </cell>
          <cell r="S73">
            <v>0.70233270814706927</v>
          </cell>
          <cell r="T73">
            <v>163.35</v>
          </cell>
          <cell r="U73">
            <v>1.6335</v>
          </cell>
          <cell r="V73">
            <v>1960.2</v>
          </cell>
          <cell r="W73">
            <v>457.38</v>
          </cell>
          <cell r="X73">
            <v>4247.1000000000004</v>
          </cell>
          <cell r="Y73">
            <v>339.76800000000003</v>
          </cell>
          <cell r="Z73">
            <v>101.93040000000001</v>
          </cell>
          <cell r="AA73">
            <v>899.0784000000001</v>
          </cell>
          <cell r="AB73">
            <v>8.9907840000000014</v>
          </cell>
        </row>
        <row r="74">
          <cell r="A74" t="str">
            <v>Field Cultivate24'</v>
          </cell>
          <cell r="B74" t="str">
            <v>Field Cultivate</v>
          </cell>
          <cell r="C74" t="str">
            <v>24'</v>
          </cell>
          <cell r="D74">
            <v>24</v>
          </cell>
          <cell r="E74">
            <v>6.5</v>
          </cell>
          <cell r="F74">
            <v>0.85</v>
          </cell>
          <cell r="G74">
            <v>6.2217194570135741E-2</v>
          </cell>
          <cell r="H74">
            <v>17873</v>
          </cell>
          <cell r="I74">
            <v>30</v>
          </cell>
          <cell r="J74">
            <v>25</v>
          </cell>
          <cell r="K74">
            <v>10</v>
          </cell>
          <cell r="L74">
            <v>100</v>
          </cell>
          <cell r="M74">
            <v>0</v>
          </cell>
          <cell r="N74">
            <v>1000</v>
          </cell>
          <cell r="O74">
            <v>1</v>
          </cell>
          <cell r="P74">
            <v>0.27</v>
          </cell>
          <cell r="Q74">
            <v>1.4</v>
          </cell>
          <cell r="R74">
            <v>192.11497540117185</v>
          </cell>
          <cell r="S74">
            <v>1.9211497540117184</v>
          </cell>
          <cell r="T74">
            <v>446.82499999999999</v>
          </cell>
          <cell r="U74">
            <v>4.4682500000000003</v>
          </cell>
          <cell r="V74">
            <v>5361.9</v>
          </cell>
          <cell r="W74">
            <v>1251.1100000000001</v>
          </cell>
          <cell r="X74">
            <v>11617.45</v>
          </cell>
          <cell r="Y74">
            <v>929.39600000000007</v>
          </cell>
          <cell r="Z74">
            <v>278.81880000000001</v>
          </cell>
          <cell r="AA74">
            <v>2459.3248000000003</v>
          </cell>
          <cell r="AB74">
            <v>24.593248000000003</v>
          </cell>
        </row>
        <row r="75">
          <cell r="A75" t="str">
            <v>Field Cultivate32'</v>
          </cell>
          <cell r="B75" t="str">
            <v>Field Cultivate</v>
          </cell>
          <cell r="C75" t="str">
            <v>32'</v>
          </cell>
          <cell r="D75">
            <v>32</v>
          </cell>
          <cell r="E75">
            <v>6.5</v>
          </cell>
          <cell r="F75">
            <v>0.85</v>
          </cell>
          <cell r="G75">
            <v>4.6662895927601811E-2</v>
          </cell>
          <cell r="H75">
            <v>26591</v>
          </cell>
          <cell r="I75">
            <v>30</v>
          </cell>
          <cell r="J75">
            <v>25</v>
          </cell>
          <cell r="K75">
            <v>10</v>
          </cell>
          <cell r="L75">
            <v>100</v>
          </cell>
          <cell r="M75">
            <v>0</v>
          </cell>
          <cell r="N75">
            <v>1000</v>
          </cell>
          <cell r="O75">
            <v>1</v>
          </cell>
          <cell r="P75">
            <v>0.27</v>
          </cell>
          <cell r="Q75">
            <v>1.4</v>
          </cell>
          <cell r="R75">
            <v>285.82382984907741</v>
          </cell>
          <cell r="S75">
            <v>2.8582382984907739</v>
          </cell>
          <cell r="T75">
            <v>664.77499999999998</v>
          </cell>
          <cell r="U75">
            <v>6.6477499999999994</v>
          </cell>
          <cell r="V75">
            <v>7977.3</v>
          </cell>
          <cell r="W75">
            <v>1861.3700000000001</v>
          </cell>
          <cell r="X75">
            <v>17284.150000000001</v>
          </cell>
          <cell r="Y75">
            <v>1382.7320000000002</v>
          </cell>
          <cell r="Z75">
            <v>414.81960000000004</v>
          </cell>
          <cell r="AA75">
            <v>3658.9216000000006</v>
          </cell>
          <cell r="AB75">
            <v>36.589216000000008</v>
          </cell>
        </row>
        <row r="76">
          <cell r="A76" t="str">
            <v>Field Cultivate42'</v>
          </cell>
          <cell r="B76" t="str">
            <v>Field Cultivate</v>
          </cell>
          <cell r="C76" t="str">
            <v>42'</v>
          </cell>
          <cell r="D76">
            <v>42</v>
          </cell>
          <cell r="E76">
            <v>6.5</v>
          </cell>
          <cell r="F76">
            <v>0.85</v>
          </cell>
          <cell r="G76">
            <v>3.555268261150614E-2</v>
          </cell>
          <cell r="H76">
            <v>35335</v>
          </cell>
          <cell r="I76">
            <v>30</v>
          </cell>
          <cell r="J76">
            <v>25</v>
          </cell>
          <cell r="K76">
            <v>10</v>
          </cell>
          <cell r="L76">
            <v>100</v>
          </cell>
          <cell r="M76">
            <v>0</v>
          </cell>
          <cell r="N76">
            <v>1000</v>
          </cell>
          <cell r="O76">
            <v>1</v>
          </cell>
          <cell r="P76">
            <v>0.27</v>
          </cell>
          <cell r="Q76">
            <v>1.4</v>
          </cell>
          <cell r="R76">
            <v>379.81215553071155</v>
          </cell>
          <cell r="S76">
            <v>3.7981215553071155</v>
          </cell>
          <cell r="T76">
            <v>883.375</v>
          </cell>
          <cell r="U76">
            <v>8.8337500000000002</v>
          </cell>
          <cell r="V76">
            <v>10600.5</v>
          </cell>
          <cell r="W76">
            <v>2473.4499999999998</v>
          </cell>
          <cell r="X76">
            <v>22967.75</v>
          </cell>
          <cell r="Y76">
            <v>1837.42</v>
          </cell>
          <cell r="Z76">
            <v>551.226</v>
          </cell>
          <cell r="AA76">
            <v>4862.0959999999995</v>
          </cell>
          <cell r="AB76">
            <v>48.620959999999997</v>
          </cell>
        </row>
        <row r="77">
          <cell r="A77" t="str">
            <v>Field Cultivate50'</v>
          </cell>
          <cell r="B77" t="str">
            <v>Field Cultivate</v>
          </cell>
          <cell r="C77" t="str">
            <v>50'</v>
          </cell>
          <cell r="D77">
            <v>50</v>
          </cell>
          <cell r="E77">
            <v>6.5</v>
          </cell>
          <cell r="F77">
            <v>0.85</v>
          </cell>
          <cell r="G77">
            <v>2.986425339366516E-2</v>
          </cell>
          <cell r="H77">
            <v>40929</v>
          </cell>
          <cell r="I77">
            <v>30</v>
          </cell>
          <cell r="J77">
            <v>25</v>
          </cell>
          <cell r="K77">
            <v>10</v>
          </cell>
          <cell r="L77">
            <v>100</v>
          </cell>
          <cell r="M77">
            <v>0</v>
          </cell>
          <cell r="N77">
            <v>1000</v>
          </cell>
          <cell r="O77">
            <v>1</v>
          </cell>
          <cell r="P77">
            <v>0.27</v>
          </cell>
          <cell r="Q77">
            <v>1.4</v>
          </cell>
          <cell r="R77">
            <v>439.94146635677066</v>
          </cell>
          <cell r="S77">
            <v>4.3994146635677067</v>
          </cell>
          <cell r="T77">
            <v>1023.225</v>
          </cell>
          <cell r="U77">
            <v>10.232250000000001</v>
          </cell>
          <cell r="V77">
            <v>12278.7</v>
          </cell>
          <cell r="W77">
            <v>2865.0299999999997</v>
          </cell>
          <cell r="X77">
            <v>26603.85</v>
          </cell>
          <cell r="Y77">
            <v>2128.308</v>
          </cell>
          <cell r="Z77">
            <v>638.49239999999998</v>
          </cell>
          <cell r="AA77">
            <v>5631.8303999999998</v>
          </cell>
          <cell r="AB77">
            <v>56.318303999999998</v>
          </cell>
        </row>
        <row r="78">
          <cell r="A78" t="str">
            <v>Grain Drill &amp; Pre12'</v>
          </cell>
          <cell r="B78" t="str">
            <v>Grain Drill &amp; Pre</v>
          </cell>
          <cell r="C78" t="str">
            <v>12'</v>
          </cell>
          <cell r="D78">
            <v>12</v>
          </cell>
          <cell r="E78">
            <v>6.25</v>
          </cell>
          <cell r="F78">
            <v>0.7</v>
          </cell>
          <cell r="G78">
            <v>0.15714285714285714</v>
          </cell>
          <cell r="H78">
            <v>19526</v>
          </cell>
          <cell r="I78">
            <v>45</v>
          </cell>
          <cell r="J78">
            <v>45</v>
          </cell>
          <cell r="K78">
            <v>8</v>
          </cell>
          <cell r="L78">
            <v>150</v>
          </cell>
          <cell r="M78">
            <v>0</v>
          </cell>
          <cell r="N78">
            <v>1200</v>
          </cell>
          <cell r="O78">
            <v>1</v>
          </cell>
          <cell r="P78">
            <v>0.27</v>
          </cell>
          <cell r="Q78">
            <v>1.4</v>
          </cell>
          <cell r="R78">
            <v>370.25830769373005</v>
          </cell>
          <cell r="S78">
            <v>2.4683887179582005</v>
          </cell>
          <cell r="T78">
            <v>1098.3375000000001</v>
          </cell>
          <cell r="U78">
            <v>7.3222500000000004</v>
          </cell>
          <cell r="V78">
            <v>8786.7000000000007</v>
          </cell>
          <cell r="W78">
            <v>1342.4124999999999</v>
          </cell>
          <cell r="X78">
            <v>14156.35</v>
          </cell>
          <cell r="Y78">
            <v>1132.508</v>
          </cell>
          <cell r="Z78">
            <v>339.75240000000002</v>
          </cell>
          <cell r="AA78">
            <v>2814.6729</v>
          </cell>
          <cell r="AB78">
            <v>18.764486000000002</v>
          </cell>
        </row>
        <row r="79">
          <cell r="A79" t="str">
            <v>Grain Drill &amp; Pre15'</v>
          </cell>
          <cell r="B79" t="str">
            <v>Grain Drill &amp; Pre</v>
          </cell>
          <cell r="C79" t="str">
            <v>15'</v>
          </cell>
          <cell r="D79">
            <v>15</v>
          </cell>
          <cell r="E79">
            <v>6.25</v>
          </cell>
          <cell r="F79">
            <v>0.7</v>
          </cell>
          <cell r="G79">
            <v>0.12571428571428572</v>
          </cell>
          <cell r="H79">
            <v>29836</v>
          </cell>
          <cell r="I79">
            <v>45</v>
          </cell>
          <cell r="J79">
            <v>45</v>
          </cell>
          <cell r="K79">
            <v>8</v>
          </cell>
          <cell r="L79">
            <v>150</v>
          </cell>
          <cell r="M79">
            <v>0</v>
          </cell>
          <cell r="N79">
            <v>1200</v>
          </cell>
          <cell r="O79">
            <v>1</v>
          </cell>
          <cell r="P79">
            <v>0.27</v>
          </cell>
          <cell r="Q79">
            <v>1.4</v>
          </cell>
          <cell r="R79">
            <v>565.75985190771939</v>
          </cell>
          <cell r="S79">
            <v>3.7717323460514627</v>
          </cell>
          <cell r="T79">
            <v>1678.2750000000001</v>
          </cell>
          <cell r="U79">
            <v>11.188500000000001</v>
          </cell>
          <cell r="V79">
            <v>13426.2</v>
          </cell>
          <cell r="W79">
            <v>2051.2249999999999</v>
          </cell>
          <cell r="X79">
            <v>21631.1</v>
          </cell>
          <cell r="Y79">
            <v>1730.4879999999998</v>
          </cell>
          <cell r="Z79">
            <v>519.14639999999997</v>
          </cell>
          <cell r="AA79">
            <v>4300.8593999999994</v>
          </cell>
          <cell r="AB79">
            <v>28.672395999999996</v>
          </cell>
        </row>
        <row r="80">
          <cell r="A80" t="str">
            <v>Grain Drill &amp; Pre20'</v>
          </cell>
          <cell r="B80" t="str">
            <v>Grain Drill &amp; Pre</v>
          </cell>
          <cell r="C80" t="str">
            <v>20'</v>
          </cell>
          <cell r="D80">
            <v>20</v>
          </cell>
          <cell r="E80">
            <v>6.25</v>
          </cell>
          <cell r="F80">
            <v>0.7</v>
          </cell>
          <cell r="G80">
            <v>9.4285714285714292E-2</v>
          </cell>
          <cell r="H80">
            <v>36913</v>
          </cell>
          <cell r="I80">
            <v>45</v>
          </cell>
          <cell r="J80">
            <v>45</v>
          </cell>
          <cell r="K80">
            <v>8</v>
          </cell>
          <cell r="L80">
            <v>150</v>
          </cell>
          <cell r="M80">
            <v>0</v>
          </cell>
          <cell r="N80">
            <v>1200</v>
          </cell>
          <cell r="O80">
            <v>1</v>
          </cell>
          <cell r="P80">
            <v>0.27</v>
          </cell>
          <cell r="Q80">
            <v>1.4</v>
          </cell>
          <cell r="R80">
            <v>699.9562077178457</v>
          </cell>
          <cell r="S80">
            <v>4.6663747181189716</v>
          </cell>
          <cell r="T80">
            <v>2076.3562499999998</v>
          </cell>
          <cell r="U80">
            <v>13.842374999999999</v>
          </cell>
          <cell r="V80">
            <v>16610.849999999999</v>
          </cell>
          <cell r="W80">
            <v>2537.7687500000002</v>
          </cell>
          <cell r="X80">
            <v>26761.924999999999</v>
          </cell>
          <cell r="Y80">
            <v>2140.9540000000002</v>
          </cell>
          <cell r="Z80">
            <v>642.28620000000001</v>
          </cell>
          <cell r="AA80">
            <v>5321.0089500000004</v>
          </cell>
          <cell r="AB80">
            <v>35.473393000000002</v>
          </cell>
        </row>
        <row r="81">
          <cell r="A81" t="str">
            <v>Grain Drill &amp; Pre24'</v>
          </cell>
          <cell r="B81" t="str">
            <v>Grain Drill &amp; Pre</v>
          </cell>
          <cell r="C81" t="str">
            <v>24'</v>
          </cell>
          <cell r="D81">
            <v>24</v>
          </cell>
          <cell r="E81">
            <v>6.25</v>
          </cell>
          <cell r="F81">
            <v>0.7</v>
          </cell>
          <cell r="G81">
            <v>7.857142857142857E-2</v>
          </cell>
          <cell r="H81">
            <v>41418</v>
          </cell>
          <cell r="I81">
            <v>45</v>
          </cell>
          <cell r="J81">
            <v>45</v>
          </cell>
          <cell r="K81">
            <v>8</v>
          </cell>
          <cell r="L81">
            <v>150</v>
          </cell>
          <cell r="M81">
            <v>0</v>
          </cell>
          <cell r="N81">
            <v>1200</v>
          </cell>
          <cell r="O81">
            <v>1</v>
          </cell>
          <cell r="P81">
            <v>0.27</v>
          </cell>
          <cell r="Q81">
            <v>1.4</v>
          </cell>
          <cell r="R81">
            <v>785.38147024781881</v>
          </cell>
          <cell r="S81">
            <v>5.2358764683187919</v>
          </cell>
          <cell r="T81">
            <v>2329.7624999999998</v>
          </cell>
          <cell r="U81">
            <v>15.531749999999999</v>
          </cell>
          <cell r="V81">
            <v>18638.099999999999</v>
          </cell>
          <cell r="W81">
            <v>2847.4875000000002</v>
          </cell>
          <cell r="X81">
            <v>30028.05</v>
          </cell>
          <cell r="Y81">
            <v>2402.2440000000001</v>
          </cell>
          <cell r="Z81">
            <v>720.67319999999995</v>
          </cell>
          <cell r="AA81">
            <v>5970.4047</v>
          </cell>
          <cell r="AB81">
            <v>39.802697999999999</v>
          </cell>
        </row>
        <row r="82">
          <cell r="A82" t="str">
            <v>Grain Drill &amp; Pre30'</v>
          </cell>
          <cell r="B82" t="str">
            <v>Grain Drill &amp; Pre</v>
          </cell>
          <cell r="C82" t="str">
            <v>30'</v>
          </cell>
          <cell r="D82">
            <v>30</v>
          </cell>
          <cell r="E82">
            <v>6.25</v>
          </cell>
          <cell r="F82">
            <v>0.7</v>
          </cell>
          <cell r="G82">
            <v>6.2857142857142861E-2</v>
          </cell>
          <cell r="H82">
            <v>48097</v>
          </cell>
          <cell r="I82">
            <v>45</v>
          </cell>
          <cell r="J82">
            <v>45</v>
          </cell>
          <cell r="K82">
            <v>8</v>
          </cell>
          <cell r="L82">
            <v>150</v>
          </cell>
          <cell r="M82">
            <v>0</v>
          </cell>
          <cell r="N82">
            <v>1200</v>
          </cell>
          <cell r="O82">
            <v>1</v>
          </cell>
          <cell r="P82">
            <v>0.27</v>
          </cell>
          <cell r="Q82">
            <v>1.4</v>
          </cell>
          <cell r="R82">
            <v>912.03082173232269</v>
          </cell>
          <cell r="S82">
            <v>6.0802054782154844</v>
          </cell>
          <cell r="T82">
            <v>2705.4562500000002</v>
          </cell>
          <cell r="U82">
            <v>18.036375</v>
          </cell>
          <cell r="V82">
            <v>21643.65</v>
          </cell>
          <cell r="W82">
            <v>3306.6687499999998</v>
          </cell>
          <cell r="X82">
            <v>34870.324999999997</v>
          </cell>
          <cell r="Y82">
            <v>2789.6259999999997</v>
          </cell>
          <cell r="Z82">
            <v>836.88779999999997</v>
          </cell>
          <cell r="AA82">
            <v>6933.1825499999995</v>
          </cell>
          <cell r="AB82">
            <v>46.221216999999996</v>
          </cell>
        </row>
        <row r="83">
          <cell r="A83" t="str">
            <v>Grain Drill12'</v>
          </cell>
          <cell r="B83" t="str">
            <v>Grain Drill</v>
          </cell>
          <cell r="C83" t="str">
            <v>12'</v>
          </cell>
          <cell r="D83">
            <v>12</v>
          </cell>
          <cell r="E83">
            <v>6.25</v>
          </cell>
          <cell r="F83">
            <v>0.7</v>
          </cell>
          <cell r="G83">
            <v>0.15714285714285714</v>
          </cell>
          <cell r="H83">
            <v>14157</v>
          </cell>
          <cell r="I83">
            <v>45</v>
          </cell>
          <cell r="J83">
            <v>45</v>
          </cell>
          <cell r="K83">
            <v>8</v>
          </cell>
          <cell r="L83">
            <v>150</v>
          </cell>
          <cell r="M83">
            <v>0</v>
          </cell>
          <cell r="N83">
            <v>1200</v>
          </cell>
          <cell r="O83">
            <v>1</v>
          </cell>
          <cell r="P83">
            <v>0.27</v>
          </cell>
          <cell r="Q83">
            <v>1.4</v>
          </cell>
          <cell r="R83">
            <v>268.44959858753128</v>
          </cell>
          <cell r="S83">
            <v>1.7896639905835419</v>
          </cell>
          <cell r="T83">
            <v>796.33124999999995</v>
          </cell>
          <cell r="U83">
            <v>5.3088749999999996</v>
          </cell>
          <cell r="V83">
            <v>6370.65</v>
          </cell>
          <cell r="W83">
            <v>973.29375000000005</v>
          </cell>
          <cell r="X83">
            <v>10263.825000000001</v>
          </cell>
          <cell r="Y83">
            <v>821.10600000000011</v>
          </cell>
          <cell r="Z83">
            <v>246.33180000000002</v>
          </cell>
          <cell r="AA83">
            <v>2040.7315500000002</v>
          </cell>
          <cell r="AB83">
            <v>13.604877000000002</v>
          </cell>
        </row>
        <row r="84">
          <cell r="A84" t="str">
            <v>Grain Drill15'</v>
          </cell>
          <cell r="B84" t="str">
            <v>Grain Drill</v>
          </cell>
          <cell r="C84" t="str">
            <v>15'</v>
          </cell>
          <cell r="D84">
            <v>15</v>
          </cell>
          <cell r="E84">
            <v>6.25</v>
          </cell>
          <cell r="F84">
            <v>0.7</v>
          </cell>
          <cell r="G84">
            <v>0.12571428571428572</v>
          </cell>
          <cell r="H84">
            <v>24467</v>
          </cell>
          <cell r="I84">
            <v>45</v>
          </cell>
          <cell r="J84">
            <v>45</v>
          </cell>
          <cell r="K84">
            <v>8</v>
          </cell>
          <cell r="L84">
            <v>150</v>
          </cell>
          <cell r="M84">
            <v>0</v>
          </cell>
          <cell r="N84">
            <v>1200</v>
          </cell>
          <cell r="O84">
            <v>1</v>
          </cell>
          <cell r="P84">
            <v>0.27</v>
          </cell>
          <cell r="Q84">
            <v>1.4</v>
          </cell>
          <cell r="R84">
            <v>463.95114280152063</v>
          </cell>
          <cell r="S84">
            <v>3.0930076186768041</v>
          </cell>
          <cell r="T84">
            <v>1376.26875</v>
          </cell>
          <cell r="U84">
            <v>9.1751249999999995</v>
          </cell>
          <cell r="V84">
            <v>11010.15</v>
          </cell>
          <cell r="W84">
            <v>1682.10625</v>
          </cell>
          <cell r="X84">
            <v>17738.575000000001</v>
          </cell>
          <cell r="Y84">
            <v>1419.086</v>
          </cell>
          <cell r="Z84">
            <v>425.72580000000005</v>
          </cell>
          <cell r="AA84">
            <v>3526.9180500000002</v>
          </cell>
          <cell r="AB84">
            <v>23.512787000000003</v>
          </cell>
        </row>
        <row r="85">
          <cell r="A85" t="str">
            <v>Grain Drill20'</v>
          </cell>
          <cell r="B85" t="str">
            <v>Grain Drill</v>
          </cell>
          <cell r="C85" t="str">
            <v>20'</v>
          </cell>
          <cell r="D85">
            <v>20</v>
          </cell>
          <cell r="E85">
            <v>6.25</v>
          </cell>
          <cell r="F85">
            <v>0.7</v>
          </cell>
          <cell r="G85">
            <v>9.4285714285714292E-2</v>
          </cell>
          <cell r="H85">
            <v>31543</v>
          </cell>
          <cell r="I85">
            <v>45</v>
          </cell>
          <cell r="J85">
            <v>45</v>
          </cell>
          <cell r="K85">
            <v>8</v>
          </cell>
          <cell r="L85">
            <v>150</v>
          </cell>
          <cell r="M85">
            <v>0</v>
          </cell>
          <cell r="N85">
            <v>1200</v>
          </cell>
          <cell r="O85">
            <v>1</v>
          </cell>
          <cell r="P85">
            <v>0.27</v>
          </cell>
          <cell r="Q85">
            <v>1.4</v>
          </cell>
          <cell r="R85">
            <v>598.12853628922085</v>
          </cell>
          <cell r="S85">
            <v>3.9875235752614722</v>
          </cell>
          <cell r="T85">
            <v>1774.29375</v>
          </cell>
          <cell r="U85">
            <v>11.828625000000001</v>
          </cell>
          <cell r="V85">
            <v>14194.35</v>
          </cell>
          <cell r="W85">
            <v>2168.5812500000002</v>
          </cell>
          <cell r="X85">
            <v>22868.674999999999</v>
          </cell>
          <cell r="Y85">
            <v>1829.4939999999999</v>
          </cell>
          <cell r="Z85">
            <v>548.84820000000002</v>
          </cell>
          <cell r="AA85">
            <v>4546.9234500000002</v>
          </cell>
          <cell r="AB85">
            <v>30.312823000000002</v>
          </cell>
        </row>
        <row r="86">
          <cell r="A86" t="str">
            <v>Grain Drill24'</v>
          </cell>
          <cell r="B86" t="str">
            <v>Grain Drill</v>
          </cell>
          <cell r="C86" t="str">
            <v>24'</v>
          </cell>
          <cell r="D86">
            <v>24</v>
          </cell>
          <cell r="E86">
            <v>6.25</v>
          </cell>
          <cell r="F86">
            <v>0.7</v>
          </cell>
          <cell r="G86">
            <v>7.857142857142857E-2</v>
          </cell>
          <cell r="H86">
            <v>36048</v>
          </cell>
          <cell r="I86">
            <v>45</v>
          </cell>
          <cell r="J86">
            <v>45</v>
          </cell>
          <cell r="K86">
            <v>8</v>
          </cell>
          <cell r="L86">
            <v>150</v>
          </cell>
          <cell r="M86">
            <v>0</v>
          </cell>
          <cell r="N86">
            <v>1200</v>
          </cell>
          <cell r="O86">
            <v>1</v>
          </cell>
          <cell r="P86">
            <v>0.27</v>
          </cell>
          <cell r="Q86">
            <v>1.4</v>
          </cell>
          <cell r="R86">
            <v>683.55379881919396</v>
          </cell>
          <cell r="S86">
            <v>4.5570253254612929</v>
          </cell>
          <cell r="T86">
            <v>2027.7</v>
          </cell>
          <cell r="U86">
            <v>13.518000000000001</v>
          </cell>
          <cell r="V86">
            <v>16221.6</v>
          </cell>
          <cell r="W86">
            <v>2478.3000000000002</v>
          </cell>
          <cell r="X86">
            <v>26134.799999999999</v>
          </cell>
          <cell r="Y86">
            <v>2090.7840000000001</v>
          </cell>
          <cell r="Z86">
            <v>627.23519999999996</v>
          </cell>
          <cell r="AA86">
            <v>5196.3191999999999</v>
          </cell>
          <cell r="AB86">
            <v>34.642128</v>
          </cell>
        </row>
        <row r="87">
          <cell r="A87" t="str">
            <v>Grain Drill30'</v>
          </cell>
          <cell r="B87" t="str">
            <v>Grain Drill</v>
          </cell>
          <cell r="C87" t="str">
            <v>30'</v>
          </cell>
          <cell r="D87">
            <v>30</v>
          </cell>
          <cell r="E87">
            <v>6.25</v>
          </cell>
          <cell r="F87">
            <v>0.7</v>
          </cell>
          <cell r="G87">
            <v>6.2857142857142861E-2</v>
          </cell>
          <cell r="H87">
            <v>42727</v>
          </cell>
          <cell r="I87">
            <v>45</v>
          </cell>
          <cell r="J87">
            <v>45</v>
          </cell>
          <cell r="K87">
            <v>8</v>
          </cell>
          <cell r="L87">
            <v>150</v>
          </cell>
          <cell r="M87">
            <v>0</v>
          </cell>
          <cell r="N87">
            <v>1200</v>
          </cell>
          <cell r="O87">
            <v>1</v>
          </cell>
          <cell r="P87">
            <v>0.27</v>
          </cell>
          <cell r="Q87">
            <v>1.4</v>
          </cell>
          <cell r="R87">
            <v>810.20315030369784</v>
          </cell>
          <cell r="S87">
            <v>5.4013543353579854</v>
          </cell>
          <cell r="T87">
            <v>2403.3937500000002</v>
          </cell>
          <cell r="U87">
            <v>16.022625000000001</v>
          </cell>
          <cell r="V87">
            <v>19227.150000000001</v>
          </cell>
          <cell r="W87">
            <v>2937.4812499999998</v>
          </cell>
          <cell r="X87">
            <v>30977.075000000001</v>
          </cell>
          <cell r="Y87">
            <v>2478.1660000000002</v>
          </cell>
          <cell r="Z87">
            <v>743.44979999999998</v>
          </cell>
          <cell r="AA87">
            <v>6159.0970500000003</v>
          </cell>
          <cell r="AB87">
            <v>41.060647000000003</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191.88</v>
          </cell>
          <cell r="Z88">
            <v>57.564</v>
          </cell>
          <cell r="AA88">
            <v>507.74400000000003</v>
          </cell>
          <cell r="AB88">
            <v>2.5387200000000001</v>
          </cell>
        </row>
        <row r="89">
          <cell r="A89" t="str">
            <v>Harrow21'</v>
          </cell>
          <cell r="B89" t="str">
            <v>Harrow</v>
          </cell>
          <cell r="C89" t="str">
            <v>21'</v>
          </cell>
          <cell r="D89">
            <v>21</v>
          </cell>
          <cell r="E89">
            <v>6.25</v>
          </cell>
          <cell r="F89">
            <v>0.85</v>
          </cell>
          <cell r="G89">
            <v>7.3949579831932774E-2</v>
          </cell>
          <cell r="H89">
            <v>4590</v>
          </cell>
          <cell r="I89">
            <v>30</v>
          </cell>
          <cell r="J89">
            <v>70</v>
          </cell>
          <cell r="K89">
            <v>10</v>
          </cell>
          <cell r="L89">
            <v>200</v>
          </cell>
          <cell r="M89">
            <v>0</v>
          </cell>
          <cell r="N89">
            <v>2000</v>
          </cell>
          <cell r="O89">
            <v>1</v>
          </cell>
          <cell r="P89">
            <v>0.27</v>
          </cell>
          <cell r="Q89">
            <v>1.4</v>
          </cell>
          <cell r="R89">
            <v>130.20223631990359</v>
          </cell>
          <cell r="S89">
            <v>0.65101118159951799</v>
          </cell>
          <cell r="T89">
            <v>321.3</v>
          </cell>
          <cell r="U89">
            <v>1.6065</v>
          </cell>
          <cell r="V89">
            <v>1377</v>
          </cell>
          <cell r="W89">
            <v>321.3</v>
          </cell>
          <cell r="X89">
            <v>2983.5</v>
          </cell>
          <cell r="Y89">
            <v>238.68</v>
          </cell>
          <cell r="Z89">
            <v>71.603999999999999</v>
          </cell>
          <cell r="AA89">
            <v>631.58400000000006</v>
          </cell>
          <cell r="AB89">
            <v>3.1579200000000003</v>
          </cell>
        </row>
        <row r="90">
          <cell r="A90" t="str">
            <v>Harrow40'</v>
          </cell>
          <cell r="B90" t="str">
            <v>Harrow</v>
          </cell>
          <cell r="C90" t="str">
            <v>40'</v>
          </cell>
          <cell r="D90">
            <v>40</v>
          </cell>
          <cell r="E90">
            <v>6.25</v>
          </cell>
          <cell r="F90">
            <v>0.85</v>
          </cell>
          <cell r="G90">
            <v>3.8823529411764708E-2</v>
          </cell>
          <cell r="H90">
            <v>10620</v>
          </cell>
          <cell r="I90">
            <v>30</v>
          </cell>
          <cell r="J90">
            <v>70</v>
          </cell>
          <cell r="K90">
            <v>10</v>
          </cell>
          <cell r="L90">
            <v>200</v>
          </cell>
          <cell r="M90">
            <v>0</v>
          </cell>
          <cell r="N90">
            <v>2000</v>
          </cell>
          <cell r="O90">
            <v>1</v>
          </cell>
          <cell r="P90">
            <v>0.27</v>
          </cell>
          <cell r="Q90">
            <v>1.4</v>
          </cell>
          <cell r="R90">
            <v>301.25223305389454</v>
          </cell>
          <cell r="S90">
            <v>1.5062611652694726</v>
          </cell>
          <cell r="T90">
            <v>743.4</v>
          </cell>
          <cell r="U90">
            <v>3.7170000000000001</v>
          </cell>
          <cell r="V90">
            <v>3186</v>
          </cell>
          <cell r="W90">
            <v>743.4</v>
          </cell>
          <cell r="X90">
            <v>6903</v>
          </cell>
          <cell r="Y90">
            <v>552.24</v>
          </cell>
          <cell r="Z90">
            <v>165.672</v>
          </cell>
          <cell r="AA90">
            <v>1461.3119999999999</v>
          </cell>
          <cell r="AB90">
            <v>7.3065599999999993</v>
          </cell>
        </row>
        <row r="91">
          <cell r="A91" t="str">
            <v>Harrow47'</v>
          </cell>
          <cell r="B91" t="str">
            <v>Harrow</v>
          </cell>
          <cell r="C91" t="str">
            <v>47'</v>
          </cell>
          <cell r="D91">
            <v>47</v>
          </cell>
          <cell r="E91">
            <v>6.25</v>
          </cell>
          <cell r="F91">
            <v>0.85</v>
          </cell>
          <cell r="G91">
            <v>3.3041301627033795E-2</v>
          </cell>
          <cell r="H91">
            <v>11000</v>
          </cell>
          <cell r="I91">
            <v>30</v>
          </cell>
          <cell r="J91">
            <v>70</v>
          </cell>
          <cell r="K91">
            <v>10</v>
          </cell>
          <cell r="L91">
            <v>200</v>
          </cell>
          <cell r="M91">
            <v>0</v>
          </cell>
          <cell r="N91">
            <v>2000</v>
          </cell>
          <cell r="O91">
            <v>1</v>
          </cell>
          <cell r="P91">
            <v>0.27</v>
          </cell>
          <cell r="Q91">
            <v>1.4</v>
          </cell>
          <cell r="R91">
            <v>312.0315031631676</v>
          </cell>
          <cell r="S91">
            <v>1.5601575158158381</v>
          </cell>
          <cell r="T91">
            <v>770</v>
          </cell>
          <cell r="U91">
            <v>3.85</v>
          </cell>
          <cell r="V91">
            <v>3300</v>
          </cell>
          <cell r="W91">
            <v>770</v>
          </cell>
          <cell r="X91">
            <v>7150</v>
          </cell>
          <cell r="Y91">
            <v>572</v>
          </cell>
          <cell r="Z91">
            <v>171.6</v>
          </cell>
          <cell r="AA91">
            <v>1513.6</v>
          </cell>
          <cell r="AB91">
            <v>7.5679999999999996</v>
          </cell>
        </row>
        <row r="92">
          <cell r="A92" t="str">
            <v>Heavy Disk14'</v>
          </cell>
          <cell r="B92" t="str">
            <v>Heavy Disk</v>
          </cell>
          <cell r="C92" t="str">
            <v>14'</v>
          </cell>
          <cell r="D92">
            <v>14</v>
          </cell>
          <cell r="E92">
            <v>4.75</v>
          </cell>
          <cell r="F92">
            <v>0.85</v>
          </cell>
          <cell r="G92">
            <v>0.145953118089341</v>
          </cell>
          <cell r="H92">
            <v>13475</v>
          </cell>
          <cell r="I92">
            <v>30</v>
          </cell>
          <cell r="J92">
            <v>50</v>
          </cell>
          <cell r="K92">
            <v>10</v>
          </cell>
          <cell r="L92">
            <v>180</v>
          </cell>
          <cell r="M92">
            <v>0</v>
          </cell>
          <cell r="N92">
            <v>1800</v>
          </cell>
          <cell r="O92">
            <v>1</v>
          </cell>
          <cell r="P92">
            <v>0.27</v>
          </cell>
          <cell r="Q92">
            <v>1.4</v>
          </cell>
          <cell r="R92">
            <v>329.81776559716087</v>
          </cell>
          <cell r="S92">
            <v>1.832320919984227</v>
          </cell>
          <cell r="T92">
            <v>673.75</v>
          </cell>
          <cell r="U92">
            <v>3.7430555555555554</v>
          </cell>
          <cell r="V92">
            <v>4042.5</v>
          </cell>
          <cell r="W92">
            <v>943.25</v>
          </cell>
          <cell r="X92">
            <v>8758.75</v>
          </cell>
          <cell r="Y92">
            <v>700.7</v>
          </cell>
          <cell r="Z92">
            <v>210.21</v>
          </cell>
          <cell r="AA92">
            <v>1854.16</v>
          </cell>
          <cell r="AB92">
            <v>10.30088888888889</v>
          </cell>
        </row>
        <row r="93">
          <cell r="A93" t="str">
            <v>Heavy Disk21'</v>
          </cell>
          <cell r="B93" t="str">
            <v>Heavy Disk</v>
          </cell>
          <cell r="C93" t="str">
            <v>21'</v>
          </cell>
          <cell r="D93">
            <v>21</v>
          </cell>
          <cell r="E93">
            <v>4.75</v>
          </cell>
          <cell r="F93">
            <v>0.85</v>
          </cell>
          <cell r="G93">
            <v>9.7302078726227328E-2</v>
          </cell>
          <cell r="H93">
            <v>32764</v>
          </cell>
          <cell r="I93">
            <v>30</v>
          </cell>
          <cell r="J93">
            <v>50</v>
          </cell>
          <cell r="K93">
            <v>10</v>
          </cell>
          <cell r="L93">
            <v>180</v>
          </cell>
          <cell r="M93">
            <v>0</v>
          </cell>
          <cell r="N93">
            <v>1800</v>
          </cell>
          <cell r="O93">
            <v>1</v>
          </cell>
          <cell r="P93">
            <v>0.27</v>
          </cell>
          <cell r="Q93">
            <v>1.4</v>
          </cell>
          <cell r="R93">
            <v>801.94057677368301</v>
          </cell>
          <cell r="S93">
            <v>4.4552254265204612</v>
          </cell>
          <cell r="T93">
            <v>1638.2</v>
          </cell>
          <cell r="U93">
            <v>9.1011111111111109</v>
          </cell>
          <cell r="V93">
            <v>9829.2000000000007</v>
          </cell>
          <cell r="W93">
            <v>2293.48</v>
          </cell>
          <cell r="X93">
            <v>21296.6</v>
          </cell>
          <cell r="Y93">
            <v>1703.7279999999998</v>
          </cell>
          <cell r="Z93">
            <v>511.11839999999995</v>
          </cell>
          <cell r="AA93">
            <v>4508.3263999999999</v>
          </cell>
          <cell r="AB93">
            <v>25.046257777777779</v>
          </cell>
        </row>
        <row r="94">
          <cell r="A94" t="str">
            <v>Heavy Disk27'</v>
          </cell>
          <cell r="B94" t="str">
            <v>Heavy Disk</v>
          </cell>
          <cell r="C94" t="str">
            <v>27'</v>
          </cell>
          <cell r="D94">
            <v>27</v>
          </cell>
          <cell r="E94">
            <v>4.75</v>
          </cell>
          <cell r="F94">
            <v>0.85</v>
          </cell>
          <cell r="G94">
            <v>7.5679394564843488E-2</v>
          </cell>
          <cell r="H94">
            <v>35828</v>
          </cell>
          <cell r="I94">
            <v>30</v>
          </cell>
          <cell r="J94">
            <v>50</v>
          </cell>
          <cell r="K94">
            <v>10</v>
          </cell>
          <cell r="L94">
            <v>180</v>
          </cell>
          <cell r="M94">
            <v>0</v>
          </cell>
          <cell r="N94">
            <v>1800</v>
          </cell>
          <cell r="O94">
            <v>1</v>
          </cell>
          <cell r="P94">
            <v>0.27</v>
          </cell>
          <cell r="Q94">
            <v>1.4</v>
          </cell>
          <cell r="R94">
            <v>876.93587427199111</v>
          </cell>
          <cell r="S94">
            <v>4.8718659681777288</v>
          </cell>
          <cell r="T94">
            <v>1791.4</v>
          </cell>
          <cell r="U94">
            <v>9.9522222222222219</v>
          </cell>
          <cell r="V94">
            <v>10748.4</v>
          </cell>
          <cell r="W94">
            <v>2507.96</v>
          </cell>
          <cell r="X94">
            <v>23288.2</v>
          </cell>
          <cell r="Y94">
            <v>1863.056</v>
          </cell>
          <cell r="Z94">
            <v>558.91680000000008</v>
          </cell>
          <cell r="AA94">
            <v>4929.9328000000005</v>
          </cell>
          <cell r="AB94">
            <v>27.388515555555557</v>
          </cell>
        </row>
        <row r="95">
          <cell r="A95" t="str">
            <v>Land Plane40'x10'</v>
          </cell>
          <cell r="B95" t="str">
            <v>Land Plane</v>
          </cell>
          <cell r="C95" t="str">
            <v>40'x10'</v>
          </cell>
          <cell r="D95">
            <v>10</v>
          </cell>
          <cell r="E95">
            <v>4</v>
          </cell>
          <cell r="F95">
            <v>0.85</v>
          </cell>
          <cell r="G95">
            <v>0.24264705882352941</v>
          </cell>
          <cell r="H95">
            <v>6020</v>
          </cell>
          <cell r="I95">
            <v>30</v>
          </cell>
          <cell r="J95">
            <v>40</v>
          </cell>
          <cell r="K95">
            <v>10</v>
          </cell>
          <cell r="L95">
            <v>200</v>
          </cell>
          <cell r="M95">
            <v>0</v>
          </cell>
          <cell r="N95">
            <v>2000</v>
          </cell>
          <cell r="O95">
            <v>1</v>
          </cell>
          <cell r="P95">
            <v>0.27</v>
          </cell>
          <cell r="Q95">
            <v>1.4</v>
          </cell>
          <cell r="R95">
            <v>170.76633173111537</v>
          </cell>
          <cell r="S95">
            <v>0.85383165865557686</v>
          </cell>
          <cell r="T95">
            <v>240.8</v>
          </cell>
          <cell r="U95">
            <v>1.204</v>
          </cell>
          <cell r="V95">
            <v>1806</v>
          </cell>
          <cell r="W95">
            <v>421.4</v>
          </cell>
          <cell r="X95">
            <v>3913</v>
          </cell>
          <cell r="Y95">
            <v>313.04000000000002</v>
          </cell>
          <cell r="Z95">
            <v>93.912000000000006</v>
          </cell>
          <cell r="AA95">
            <v>828.35199999999998</v>
          </cell>
          <cell r="AB95">
            <v>4.1417599999999997</v>
          </cell>
        </row>
        <row r="96">
          <cell r="A96" t="str">
            <v>Land Plane50'x16'</v>
          </cell>
          <cell r="B96" t="str">
            <v>Land Plane</v>
          </cell>
          <cell r="C96" t="str">
            <v>50'x16'</v>
          </cell>
          <cell r="D96">
            <v>16</v>
          </cell>
          <cell r="E96">
            <v>4</v>
          </cell>
          <cell r="F96">
            <v>0.85</v>
          </cell>
          <cell r="G96">
            <v>0.1516544117647059</v>
          </cell>
          <cell r="H96">
            <v>6701</v>
          </cell>
          <cell r="I96">
            <v>30</v>
          </cell>
          <cell r="J96">
            <v>40</v>
          </cell>
          <cell r="K96">
            <v>10</v>
          </cell>
          <cell r="L96">
            <v>200</v>
          </cell>
          <cell r="M96">
            <v>0</v>
          </cell>
          <cell r="N96">
            <v>2000</v>
          </cell>
          <cell r="O96">
            <v>1</v>
          </cell>
          <cell r="P96">
            <v>0.27</v>
          </cell>
          <cell r="Q96">
            <v>1.4</v>
          </cell>
          <cell r="R96">
            <v>190.08391842694419</v>
          </cell>
          <cell r="S96">
            <v>0.95041959213472094</v>
          </cell>
          <cell r="T96">
            <v>268.04000000000002</v>
          </cell>
          <cell r="U96">
            <v>1.3402000000000001</v>
          </cell>
          <cell r="V96">
            <v>2010.3</v>
          </cell>
          <cell r="W96">
            <v>469.07</v>
          </cell>
          <cell r="X96">
            <v>4355.6499999999996</v>
          </cell>
          <cell r="Y96">
            <v>348.452</v>
          </cell>
          <cell r="Z96">
            <v>104.53559999999999</v>
          </cell>
          <cell r="AA96">
            <v>922.05759999999998</v>
          </cell>
          <cell r="AB96">
            <v>4.6102879999999997</v>
          </cell>
        </row>
        <row r="97">
          <cell r="A97" t="str">
            <v>Levee Splitter (1/802 blade</v>
          </cell>
          <cell r="B97" t="str">
            <v>Levee Splitter (1/80</v>
          </cell>
          <cell r="C97" t="str">
            <v>2 blade</v>
          </cell>
          <cell r="E97">
            <v>0</v>
          </cell>
          <cell r="G97" t="e">
            <v>#DIV/0!</v>
          </cell>
          <cell r="H97">
            <v>5211</v>
          </cell>
          <cell r="I97">
            <v>30</v>
          </cell>
          <cell r="J97">
            <v>5</v>
          </cell>
          <cell r="K97">
            <v>10</v>
          </cell>
          <cell r="L97">
            <v>50</v>
          </cell>
          <cell r="M97">
            <v>0</v>
          </cell>
          <cell r="N97">
            <v>500</v>
          </cell>
          <cell r="O97">
            <v>1</v>
          </cell>
          <cell r="P97">
            <v>0.27</v>
          </cell>
          <cell r="Q97">
            <v>1.4</v>
          </cell>
          <cell r="R97">
            <v>21.224762700572388</v>
          </cell>
          <cell r="S97">
            <v>0.42449525401144778</v>
          </cell>
          <cell r="T97">
            <v>26.055</v>
          </cell>
          <cell r="U97">
            <v>0.52110000000000001</v>
          </cell>
          <cell r="V97">
            <v>1563.3</v>
          </cell>
          <cell r="W97">
            <v>364.77</v>
          </cell>
          <cell r="X97">
            <v>3387.15</v>
          </cell>
          <cell r="Y97">
            <v>270.97200000000004</v>
          </cell>
          <cell r="Z97">
            <v>81.291600000000003</v>
          </cell>
          <cell r="AA97">
            <v>717.03359999999998</v>
          </cell>
          <cell r="AB97">
            <v>14.340672</v>
          </cell>
        </row>
        <row r="98">
          <cell r="A98" t="str">
            <v>Lo-Till &amp; Bed4R-40</v>
          </cell>
          <cell r="B98" t="str">
            <v>Lo-Till &amp; Bed</v>
          </cell>
          <cell r="C98" t="str">
            <v>4R-40</v>
          </cell>
          <cell r="D98">
            <v>13.3</v>
          </cell>
          <cell r="E98">
            <v>5.25</v>
          </cell>
          <cell r="F98">
            <v>0.85</v>
          </cell>
          <cell r="G98">
            <v>0.13900296960889622</v>
          </cell>
          <cell r="H98">
            <v>5100</v>
          </cell>
          <cell r="I98">
            <v>25</v>
          </cell>
          <cell r="J98">
            <v>65</v>
          </cell>
          <cell r="K98">
            <v>12</v>
          </cell>
          <cell r="L98">
            <v>150</v>
          </cell>
          <cell r="M98">
            <v>0</v>
          </cell>
          <cell r="N98">
            <v>1800</v>
          </cell>
          <cell r="O98">
            <v>1</v>
          </cell>
          <cell r="P98">
            <v>0.27</v>
          </cell>
          <cell r="Q98">
            <v>1.4</v>
          </cell>
          <cell r="R98">
            <v>96.707844373554394</v>
          </cell>
          <cell r="S98">
            <v>0.64471896249036265</v>
          </cell>
          <cell r="T98">
            <v>276.25</v>
          </cell>
          <cell r="U98">
            <v>1.8416666666666666</v>
          </cell>
          <cell r="V98">
            <v>1275</v>
          </cell>
          <cell r="W98">
            <v>318.75</v>
          </cell>
          <cell r="X98">
            <v>3187.5</v>
          </cell>
          <cell r="Y98">
            <v>255</v>
          </cell>
          <cell r="Z98">
            <v>76.5</v>
          </cell>
          <cell r="AA98">
            <v>650.25</v>
          </cell>
          <cell r="AB98">
            <v>4.335</v>
          </cell>
        </row>
        <row r="99">
          <cell r="A99" t="str">
            <v>Middle Buster10R-30</v>
          </cell>
          <cell r="B99" t="str">
            <v>Middle Buster</v>
          </cell>
          <cell r="C99" t="str">
            <v>10R-30</v>
          </cell>
          <cell r="D99">
            <v>25</v>
          </cell>
          <cell r="E99">
            <v>4.25</v>
          </cell>
          <cell r="F99">
            <v>0.85</v>
          </cell>
          <cell r="G99">
            <v>9.1349480968858129E-2</v>
          </cell>
          <cell r="H99">
            <v>13727</v>
          </cell>
          <cell r="I99">
            <v>35</v>
          </cell>
          <cell r="J99">
            <v>30</v>
          </cell>
          <cell r="K99">
            <v>8</v>
          </cell>
          <cell r="L99">
            <v>160</v>
          </cell>
          <cell r="M99">
            <v>0</v>
          </cell>
          <cell r="N99">
            <v>1280</v>
          </cell>
          <cell r="O99">
            <v>1</v>
          </cell>
          <cell r="P99">
            <v>0.27</v>
          </cell>
          <cell r="Q99">
            <v>1.4</v>
          </cell>
          <cell r="R99">
            <v>284.90979061894654</v>
          </cell>
          <cell r="S99">
            <v>1.780686191368416</v>
          </cell>
          <cell r="T99">
            <v>514.76250000000005</v>
          </cell>
          <cell r="U99">
            <v>3.2172656250000005</v>
          </cell>
          <cell r="V99">
            <v>4804.45</v>
          </cell>
          <cell r="W99">
            <v>1115.3187499999999</v>
          </cell>
          <cell r="X99">
            <v>9265.7250000000004</v>
          </cell>
          <cell r="Y99">
            <v>741.25800000000004</v>
          </cell>
          <cell r="Z99">
            <v>222.37740000000002</v>
          </cell>
          <cell r="AA99">
            <v>2078.95415</v>
          </cell>
          <cell r="AB99">
            <v>12.993463437500001</v>
          </cell>
        </row>
        <row r="100">
          <cell r="A100" t="str">
            <v>Middle Buster10R-40</v>
          </cell>
          <cell r="B100" t="str">
            <v>Middle Buster</v>
          </cell>
          <cell r="C100" t="str">
            <v>10R-40</v>
          </cell>
          <cell r="D100">
            <v>33.299999999999997</v>
          </cell>
          <cell r="E100">
            <v>4.25</v>
          </cell>
          <cell r="F100">
            <v>0.85</v>
          </cell>
          <cell r="G100">
            <v>6.8580691418061668E-2</v>
          </cell>
          <cell r="H100">
            <v>14141</v>
          </cell>
          <cell r="I100">
            <v>35</v>
          </cell>
          <cell r="J100">
            <v>30</v>
          </cell>
          <cell r="K100">
            <v>8</v>
          </cell>
          <cell r="L100">
            <v>160</v>
          </cell>
          <cell r="M100">
            <v>0</v>
          </cell>
          <cell r="N100">
            <v>1280</v>
          </cell>
          <cell r="O100">
            <v>1</v>
          </cell>
          <cell r="P100">
            <v>0.27</v>
          </cell>
          <cell r="Q100">
            <v>1.4</v>
          </cell>
          <cell r="R100">
            <v>293.50253872969495</v>
          </cell>
          <cell r="S100">
            <v>1.8343908670605935</v>
          </cell>
          <cell r="T100">
            <v>530.28750000000002</v>
          </cell>
          <cell r="U100">
            <v>3.3142968750000001</v>
          </cell>
          <cell r="V100">
            <v>4949.3500000000004</v>
          </cell>
          <cell r="W100">
            <v>1148.95625</v>
          </cell>
          <cell r="X100">
            <v>9545.1749999999993</v>
          </cell>
          <cell r="Y100">
            <v>763.61399999999992</v>
          </cell>
          <cell r="Z100">
            <v>229.08419999999998</v>
          </cell>
          <cell r="AA100">
            <v>2141.65445</v>
          </cell>
          <cell r="AB100">
            <v>13.3853403125</v>
          </cell>
        </row>
        <row r="101">
          <cell r="A101" t="str">
            <v>Middle Buster12R-40</v>
          </cell>
          <cell r="B101" t="str">
            <v>Middle Buster</v>
          </cell>
          <cell r="C101" t="str">
            <v>12R-40</v>
          </cell>
          <cell r="D101">
            <v>40</v>
          </cell>
          <cell r="E101">
            <v>4.25</v>
          </cell>
          <cell r="F101">
            <v>0.85</v>
          </cell>
          <cell r="G101">
            <v>5.7093425605536333E-2</v>
          </cell>
          <cell r="H101">
            <v>17946</v>
          </cell>
          <cell r="I101">
            <v>35</v>
          </cell>
          <cell r="J101">
            <v>30</v>
          </cell>
          <cell r="K101">
            <v>8</v>
          </cell>
          <cell r="L101">
            <v>160</v>
          </cell>
          <cell r="M101">
            <v>0</v>
          </cell>
          <cell r="N101">
            <v>1280</v>
          </cell>
          <cell r="O101">
            <v>1</v>
          </cell>
          <cell r="P101">
            <v>0.27</v>
          </cell>
          <cell r="Q101">
            <v>1.4</v>
          </cell>
          <cell r="R101">
            <v>372.47695071374767</v>
          </cell>
          <cell r="S101">
            <v>2.3279809419609228</v>
          </cell>
          <cell r="T101">
            <v>672.97500000000002</v>
          </cell>
          <cell r="U101">
            <v>4.20609375</v>
          </cell>
          <cell r="V101">
            <v>6281.1</v>
          </cell>
          <cell r="W101">
            <v>1458.1125</v>
          </cell>
          <cell r="X101">
            <v>12113.55</v>
          </cell>
          <cell r="Y101">
            <v>969.08399999999995</v>
          </cell>
          <cell r="Z101">
            <v>290.72519999999997</v>
          </cell>
          <cell r="AA101">
            <v>2717.9216999999999</v>
          </cell>
          <cell r="AB101">
            <v>16.987010625</v>
          </cell>
        </row>
        <row r="102">
          <cell r="A102" t="str">
            <v>Middle Buster6R-40</v>
          </cell>
          <cell r="B102" t="str">
            <v>Middle Buster</v>
          </cell>
          <cell r="C102" t="str">
            <v>6R-40</v>
          </cell>
          <cell r="D102">
            <v>20</v>
          </cell>
          <cell r="E102">
            <v>4.25</v>
          </cell>
          <cell r="F102">
            <v>0.85</v>
          </cell>
          <cell r="G102">
            <v>0.11418685121107267</v>
          </cell>
          <cell r="H102">
            <v>10672</v>
          </cell>
          <cell r="I102">
            <v>35</v>
          </cell>
          <cell r="J102">
            <v>30</v>
          </cell>
          <cell r="K102">
            <v>8</v>
          </cell>
          <cell r="L102">
            <v>160</v>
          </cell>
          <cell r="M102">
            <v>0</v>
          </cell>
          <cell r="N102">
            <v>1280</v>
          </cell>
          <cell r="O102">
            <v>1</v>
          </cell>
          <cell r="P102">
            <v>0.27</v>
          </cell>
          <cell r="Q102">
            <v>1.4</v>
          </cell>
          <cell r="R102">
            <v>221.50195129929315</v>
          </cell>
          <cell r="S102">
            <v>1.3843871956205822</v>
          </cell>
          <cell r="T102">
            <v>400.2</v>
          </cell>
          <cell r="U102">
            <v>2.5012499999999998</v>
          </cell>
          <cell r="V102">
            <v>3735.2</v>
          </cell>
          <cell r="W102">
            <v>867.1</v>
          </cell>
          <cell r="X102">
            <v>7203.6</v>
          </cell>
          <cell r="Y102">
            <v>576.28800000000001</v>
          </cell>
          <cell r="Z102">
            <v>172.88640000000001</v>
          </cell>
          <cell r="AA102">
            <v>1616.2744</v>
          </cell>
          <cell r="AB102">
            <v>10.101715</v>
          </cell>
        </row>
        <row r="103">
          <cell r="A103" t="str">
            <v>Middle Buster8R-30</v>
          </cell>
          <cell r="B103" t="str">
            <v>Middle Buster</v>
          </cell>
          <cell r="C103" t="str">
            <v>8R-30</v>
          </cell>
          <cell r="D103">
            <v>20</v>
          </cell>
          <cell r="E103">
            <v>4.25</v>
          </cell>
          <cell r="F103">
            <v>0.85</v>
          </cell>
          <cell r="G103">
            <v>0.11418685121107267</v>
          </cell>
          <cell r="H103">
            <v>12780</v>
          </cell>
          <cell r="I103">
            <v>35</v>
          </cell>
          <cell r="J103">
            <v>30</v>
          </cell>
          <cell r="K103">
            <v>8</v>
          </cell>
          <cell r="L103">
            <v>160</v>
          </cell>
          <cell r="M103">
            <v>0</v>
          </cell>
          <cell r="N103">
            <v>1280</v>
          </cell>
          <cell r="O103">
            <v>1</v>
          </cell>
          <cell r="P103">
            <v>0.27</v>
          </cell>
          <cell r="Q103">
            <v>1.4</v>
          </cell>
          <cell r="R103">
            <v>265.25439820136495</v>
          </cell>
          <cell r="S103">
            <v>1.6578399887585309</v>
          </cell>
          <cell r="T103">
            <v>479.25</v>
          </cell>
          <cell r="U103">
            <v>2.9953124999999998</v>
          </cell>
          <cell r="V103">
            <v>4473</v>
          </cell>
          <cell r="W103">
            <v>1038.375</v>
          </cell>
          <cell r="X103">
            <v>8626.5</v>
          </cell>
          <cell r="Y103">
            <v>690.12</v>
          </cell>
          <cell r="Z103">
            <v>207.036</v>
          </cell>
          <cell r="AA103">
            <v>1935.5309999999999</v>
          </cell>
          <cell r="AB103">
            <v>12.09706875</v>
          </cell>
        </row>
        <row r="104">
          <cell r="A104" t="str">
            <v>Middle Buster8R-40</v>
          </cell>
          <cell r="B104" t="str">
            <v>Middle Buster</v>
          </cell>
          <cell r="C104" t="str">
            <v>8R-40</v>
          </cell>
          <cell r="D104">
            <v>26.7</v>
          </cell>
          <cell r="E104">
            <v>4.25</v>
          </cell>
          <cell r="F104">
            <v>0.85</v>
          </cell>
          <cell r="G104">
            <v>8.5533221880953303E-2</v>
          </cell>
          <cell r="H104">
            <v>11484</v>
          </cell>
          <cell r="I104">
            <v>35</v>
          </cell>
          <cell r="J104">
            <v>30</v>
          </cell>
          <cell r="K104">
            <v>8</v>
          </cell>
          <cell r="L104">
            <v>160</v>
          </cell>
          <cell r="M104">
            <v>0</v>
          </cell>
          <cell r="N104">
            <v>1280</v>
          </cell>
          <cell r="O104">
            <v>1</v>
          </cell>
          <cell r="P104">
            <v>0.27</v>
          </cell>
          <cell r="Q104">
            <v>1.4</v>
          </cell>
          <cell r="R104">
            <v>238.35536063728287</v>
          </cell>
          <cell r="S104">
            <v>1.489721003983018</v>
          </cell>
          <cell r="T104">
            <v>430.65</v>
          </cell>
          <cell r="U104">
            <v>2.6915624999999999</v>
          </cell>
          <cell r="V104">
            <v>4019.4</v>
          </cell>
          <cell r="W104">
            <v>933.07500000000005</v>
          </cell>
          <cell r="X104">
            <v>7751.7</v>
          </cell>
          <cell r="Y104">
            <v>620.13599999999997</v>
          </cell>
          <cell r="Z104">
            <v>186.04079999999999</v>
          </cell>
          <cell r="AA104">
            <v>1739.2518</v>
          </cell>
          <cell r="AB104">
            <v>10.870323750000001</v>
          </cell>
        </row>
        <row r="105">
          <cell r="A105" t="str">
            <v>Middle Buster8R-40 2x1</v>
          </cell>
          <cell r="B105" t="str">
            <v>Middle Buster</v>
          </cell>
          <cell r="C105" t="str">
            <v>8R-40 2x1</v>
          </cell>
          <cell r="D105">
            <v>40</v>
          </cell>
          <cell r="E105">
            <v>4.25</v>
          </cell>
          <cell r="F105">
            <v>0.85</v>
          </cell>
          <cell r="G105">
            <v>5.7093425605536333E-2</v>
          </cell>
          <cell r="H105">
            <v>17946</v>
          </cell>
          <cell r="I105">
            <v>35</v>
          </cell>
          <cell r="J105">
            <v>30</v>
          </cell>
          <cell r="K105">
            <v>8</v>
          </cell>
          <cell r="L105">
            <v>160</v>
          </cell>
          <cell r="M105">
            <v>0</v>
          </cell>
          <cell r="N105">
            <v>1280</v>
          </cell>
          <cell r="O105">
            <v>1</v>
          </cell>
          <cell r="P105">
            <v>0.27</v>
          </cell>
          <cell r="Q105">
            <v>1.4</v>
          </cell>
          <cell r="R105">
            <v>372.47695071374767</v>
          </cell>
          <cell r="S105">
            <v>2.3279809419609228</v>
          </cell>
          <cell r="T105">
            <v>672.97500000000002</v>
          </cell>
          <cell r="U105">
            <v>4.20609375</v>
          </cell>
          <cell r="V105">
            <v>6281.1</v>
          </cell>
          <cell r="W105">
            <v>1458.1125</v>
          </cell>
          <cell r="X105">
            <v>12113.55</v>
          </cell>
          <cell r="Y105">
            <v>969.08399999999995</v>
          </cell>
          <cell r="Z105">
            <v>290.72519999999997</v>
          </cell>
          <cell r="AA105">
            <v>2717.9216999999999</v>
          </cell>
          <cell r="AB105">
            <v>16.987010625</v>
          </cell>
        </row>
        <row r="106">
          <cell r="A106" t="str">
            <v>Module Builder-1st4R40255</v>
          </cell>
          <cell r="B106" t="str">
            <v>Module Builder-1st</v>
          </cell>
          <cell r="C106" t="str">
            <v>4R40255</v>
          </cell>
          <cell r="D106">
            <v>0</v>
          </cell>
          <cell r="E106">
            <v>0</v>
          </cell>
          <cell r="F106">
            <v>0</v>
          </cell>
          <cell r="H106">
            <v>33700</v>
          </cell>
          <cell r="I106">
            <v>35</v>
          </cell>
          <cell r="J106">
            <v>50</v>
          </cell>
          <cell r="K106">
            <v>10</v>
          </cell>
          <cell r="L106">
            <v>200</v>
          </cell>
          <cell r="M106">
            <v>0</v>
          </cell>
          <cell r="N106">
            <v>2000</v>
          </cell>
          <cell r="O106">
            <v>1</v>
          </cell>
          <cell r="P106">
            <v>0.27</v>
          </cell>
          <cell r="Q106">
            <v>1.4</v>
          </cell>
          <cell r="R106">
            <v>955.9510596907952</v>
          </cell>
          <cell r="S106">
            <v>4.779755298453976</v>
          </cell>
          <cell r="T106">
            <v>1685</v>
          </cell>
          <cell r="U106">
            <v>8.4250000000000007</v>
          </cell>
          <cell r="V106">
            <v>11795</v>
          </cell>
          <cell r="W106">
            <v>2190.5</v>
          </cell>
          <cell r="X106">
            <v>22747.5</v>
          </cell>
          <cell r="Y106">
            <v>1819.8</v>
          </cell>
          <cell r="Z106">
            <v>545.94000000000005</v>
          </cell>
          <cell r="AA106">
            <v>4556.24</v>
          </cell>
          <cell r="AB106">
            <v>22.781199999999998</v>
          </cell>
        </row>
        <row r="107">
          <cell r="A107" t="str">
            <v>Mulcher Plow30'</v>
          </cell>
          <cell r="B107" t="str">
            <v>Mulcher Plow</v>
          </cell>
          <cell r="C107" t="str">
            <v>30'</v>
          </cell>
          <cell r="D107">
            <v>30</v>
          </cell>
          <cell r="E107">
            <v>4.75</v>
          </cell>
          <cell r="F107">
            <v>0.85</v>
          </cell>
          <cell r="G107">
            <v>6.8111455108359129E-2</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 &amp; Pre12'</v>
          </cell>
          <cell r="B108" t="str">
            <v>NT Grain Drill &amp; Pre</v>
          </cell>
          <cell r="C108" t="str">
            <v>12'</v>
          </cell>
          <cell r="D108">
            <v>12</v>
          </cell>
          <cell r="E108">
            <v>6</v>
          </cell>
          <cell r="F108">
            <v>0.7</v>
          </cell>
          <cell r="G108">
            <v>0.16369047619047619</v>
          </cell>
          <cell r="H108">
            <v>33456</v>
          </cell>
          <cell r="I108">
            <v>45</v>
          </cell>
          <cell r="J108">
            <v>45</v>
          </cell>
          <cell r="K108">
            <v>8</v>
          </cell>
          <cell r="L108">
            <v>150</v>
          </cell>
          <cell r="M108">
            <v>0</v>
          </cell>
          <cell r="N108">
            <v>1200</v>
          </cell>
          <cell r="O108">
            <v>1</v>
          </cell>
          <cell r="P108">
            <v>0.27</v>
          </cell>
          <cell r="Q108">
            <v>1.4</v>
          </cell>
          <cell r="R108">
            <v>634.40345909051689</v>
          </cell>
          <cell r="S108">
            <v>4.2293563939367793</v>
          </cell>
          <cell r="T108">
            <v>1881.9</v>
          </cell>
          <cell r="U108">
            <v>12.546000000000001</v>
          </cell>
          <cell r="V108">
            <v>15055.2</v>
          </cell>
          <cell r="W108">
            <v>2300.1</v>
          </cell>
          <cell r="X108">
            <v>24255.599999999999</v>
          </cell>
          <cell r="Y108">
            <v>1940.4479999999999</v>
          </cell>
          <cell r="Z108">
            <v>582.13440000000003</v>
          </cell>
          <cell r="AA108">
            <v>4822.6823999999997</v>
          </cell>
          <cell r="AB108">
            <v>32.151215999999998</v>
          </cell>
        </row>
        <row r="109">
          <cell r="A109" t="str">
            <v>NT Grain Drill &amp; Pre15'</v>
          </cell>
          <cell r="B109" t="str">
            <v>NT Grain Drill &amp; Pre</v>
          </cell>
          <cell r="C109" t="str">
            <v>15'</v>
          </cell>
          <cell r="D109">
            <v>15</v>
          </cell>
          <cell r="E109">
            <v>6</v>
          </cell>
          <cell r="F109">
            <v>0.7</v>
          </cell>
          <cell r="G109">
            <v>0.13095238095238096</v>
          </cell>
          <cell r="H109">
            <v>39706</v>
          </cell>
          <cell r="I109">
            <v>45</v>
          </cell>
          <cell r="J109">
            <v>45</v>
          </cell>
          <cell r="K109">
            <v>8</v>
          </cell>
          <cell r="L109">
            <v>150</v>
          </cell>
          <cell r="M109">
            <v>0</v>
          </cell>
          <cell r="N109">
            <v>1200</v>
          </cell>
          <cell r="O109">
            <v>1</v>
          </cell>
          <cell r="P109">
            <v>0.27</v>
          </cell>
          <cell r="Q109">
            <v>1.4</v>
          </cell>
          <cell r="R109">
            <v>752.91797425418645</v>
          </cell>
          <cell r="S109">
            <v>5.0194531616945763</v>
          </cell>
          <cell r="T109">
            <v>2233.4625000000001</v>
          </cell>
          <cell r="U109">
            <v>14.889750000000001</v>
          </cell>
          <cell r="V109">
            <v>17867.7</v>
          </cell>
          <cell r="W109">
            <v>2729.7874999999999</v>
          </cell>
          <cell r="X109">
            <v>28786.85</v>
          </cell>
          <cell r="Y109">
            <v>2302.9479999999999</v>
          </cell>
          <cell r="Z109">
            <v>690.88440000000003</v>
          </cell>
          <cell r="AA109">
            <v>5723.6198999999997</v>
          </cell>
          <cell r="AB109">
            <v>38.157465999999999</v>
          </cell>
        </row>
        <row r="110">
          <cell r="A110" t="str">
            <v>NT Grain Drill &amp; Pre20'</v>
          </cell>
          <cell r="B110" t="str">
            <v>NT Grain Drill &amp; Pre</v>
          </cell>
          <cell r="C110" t="str">
            <v>20'</v>
          </cell>
          <cell r="D110">
            <v>20</v>
          </cell>
          <cell r="E110">
            <v>6</v>
          </cell>
          <cell r="F110">
            <v>0.7</v>
          </cell>
          <cell r="G110">
            <v>9.8214285714285712E-2</v>
          </cell>
          <cell r="H110">
            <v>51141</v>
          </cell>
          <cell r="I110">
            <v>45</v>
          </cell>
          <cell r="J110">
            <v>45</v>
          </cell>
          <cell r="K110">
            <v>8</v>
          </cell>
          <cell r="L110">
            <v>150</v>
          </cell>
          <cell r="M110">
            <v>0</v>
          </cell>
          <cell r="N110">
            <v>1200</v>
          </cell>
          <cell r="O110">
            <v>1</v>
          </cell>
          <cell r="P110">
            <v>0.27</v>
          </cell>
          <cell r="Q110">
            <v>1.4</v>
          </cell>
          <cell r="R110">
            <v>969.75213119763634</v>
          </cell>
          <cell r="S110">
            <v>6.4650142079842423</v>
          </cell>
          <cell r="T110">
            <v>2876.6812500000001</v>
          </cell>
          <cell r="U110">
            <v>19.177875</v>
          </cell>
          <cell r="V110">
            <v>23013.45</v>
          </cell>
          <cell r="W110">
            <v>3515.9437499999999</v>
          </cell>
          <cell r="X110">
            <v>37077.224999999999</v>
          </cell>
          <cell r="Y110">
            <v>2966.1779999999999</v>
          </cell>
          <cell r="Z110">
            <v>889.85339999999997</v>
          </cell>
          <cell r="AA110">
            <v>7371.9751500000002</v>
          </cell>
          <cell r="AB110">
            <v>49.146501000000001</v>
          </cell>
        </row>
        <row r="111">
          <cell r="A111" t="str">
            <v>NT Grain Drill &amp; Pre24'</v>
          </cell>
          <cell r="B111" t="str">
            <v>NT Grain Drill &amp; Pre</v>
          </cell>
          <cell r="C111" t="str">
            <v>24'</v>
          </cell>
          <cell r="D111">
            <v>24</v>
          </cell>
          <cell r="E111">
            <v>6</v>
          </cell>
          <cell r="F111">
            <v>0.7</v>
          </cell>
          <cell r="G111">
            <v>8.1845238095238096E-2</v>
          </cell>
          <cell r="H111">
            <v>71110</v>
          </cell>
          <cell r="I111">
            <v>45</v>
          </cell>
          <cell r="J111">
            <v>45</v>
          </cell>
          <cell r="K111">
            <v>8</v>
          </cell>
          <cell r="L111">
            <v>150</v>
          </cell>
          <cell r="M111">
            <v>0</v>
          </cell>
          <cell r="N111">
            <v>1200</v>
          </cell>
          <cell r="O111">
            <v>1</v>
          </cell>
          <cell r="P111">
            <v>0.27</v>
          </cell>
          <cell r="Q111">
            <v>1.4</v>
          </cell>
          <cell r="R111">
            <v>1348.4107477261673</v>
          </cell>
          <cell r="S111">
            <v>8.9894049848411157</v>
          </cell>
          <cell r="T111">
            <v>3999.9375</v>
          </cell>
          <cell r="U111">
            <v>26.666250000000002</v>
          </cell>
          <cell r="V111">
            <v>31999.5</v>
          </cell>
          <cell r="W111">
            <v>4888.8125</v>
          </cell>
          <cell r="X111">
            <v>51554.75</v>
          </cell>
          <cell r="Y111">
            <v>4124.38</v>
          </cell>
          <cell r="Z111">
            <v>1237.3140000000001</v>
          </cell>
          <cell r="AA111">
            <v>10250.5065</v>
          </cell>
          <cell r="AB111">
            <v>68.336709999999997</v>
          </cell>
        </row>
        <row r="112">
          <cell r="A112" t="str">
            <v>NT Grain Drill &amp; Pre30'</v>
          </cell>
          <cell r="B112" t="str">
            <v>NT Grain Drill &amp; Pre</v>
          </cell>
          <cell r="C112" t="str">
            <v>30'</v>
          </cell>
          <cell r="D112">
            <v>30</v>
          </cell>
          <cell r="E112">
            <v>6</v>
          </cell>
          <cell r="F112">
            <v>0.7</v>
          </cell>
          <cell r="G112">
            <v>6.5476190476190479E-2</v>
          </cell>
          <cell r="H112">
            <v>75025</v>
          </cell>
          <cell r="I112">
            <v>45</v>
          </cell>
          <cell r="J112">
            <v>45</v>
          </cell>
          <cell r="K112">
            <v>8</v>
          </cell>
          <cell r="L112">
            <v>150</v>
          </cell>
          <cell r="M112">
            <v>0</v>
          </cell>
          <cell r="N112">
            <v>1200</v>
          </cell>
          <cell r="O112">
            <v>1</v>
          </cell>
          <cell r="P112">
            <v>0.27</v>
          </cell>
          <cell r="Q112">
            <v>1.4</v>
          </cell>
          <cell r="R112">
            <v>1422.6482400246898</v>
          </cell>
          <cell r="S112">
            <v>9.4843216001645985</v>
          </cell>
          <cell r="T112">
            <v>4220.15625</v>
          </cell>
          <cell r="U112">
            <v>28.134374999999999</v>
          </cell>
          <cell r="V112">
            <v>33761.25</v>
          </cell>
          <cell r="W112">
            <v>5157.96875</v>
          </cell>
          <cell r="X112">
            <v>54393.125</v>
          </cell>
          <cell r="Y112">
            <v>4351.45</v>
          </cell>
          <cell r="Z112">
            <v>1305.4349999999999</v>
          </cell>
          <cell r="AA112">
            <v>10814.85375</v>
          </cell>
          <cell r="AB112">
            <v>72.099024999999997</v>
          </cell>
        </row>
        <row r="113">
          <cell r="A113" t="str">
            <v>NT Grain Drill12'</v>
          </cell>
          <cell r="B113" t="str">
            <v>NT Grain Drill</v>
          </cell>
          <cell r="C113" t="str">
            <v>12'</v>
          </cell>
          <cell r="D113">
            <v>12</v>
          </cell>
          <cell r="E113">
            <v>5</v>
          </cell>
          <cell r="F113">
            <v>0.7</v>
          </cell>
          <cell r="G113">
            <v>0.19642857142857142</v>
          </cell>
          <cell r="H113">
            <v>28087</v>
          </cell>
          <cell r="I113">
            <v>45</v>
          </cell>
          <cell r="J113">
            <v>45</v>
          </cell>
          <cell r="K113">
            <v>8</v>
          </cell>
          <cell r="L113">
            <v>150</v>
          </cell>
          <cell r="M113">
            <v>0</v>
          </cell>
          <cell r="N113">
            <v>1200</v>
          </cell>
          <cell r="O113">
            <v>1</v>
          </cell>
          <cell r="P113">
            <v>0.27</v>
          </cell>
          <cell r="Q113">
            <v>1.4</v>
          </cell>
          <cell r="R113">
            <v>532.59474998431813</v>
          </cell>
          <cell r="S113">
            <v>3.5506316665621207</v>
          </cell>
          <cell r="T113">
            <v>1579.89375</v>
          </cell>
          <cell r="U113">
            <v>10.532624999999999</v>
          </cell>
          <cell r="V113">
            <v>12639.15</v>
          </cell>
          <cell r="W113">
            <v>1930.98125</v>
          </cell>
          <cell r="X113">
            <v>20363.075000000001</v>
          </cell>
          <cell r="Y113">
            <v>1629.046</v>
          </cell>
          <cell r="Z113">
            <v>488.71380000000005</v>
          </cell>
          <cell r="AA113">
            <v>4048.7410500000005</v>
          </cell>
          <cell r="AB113">
            <v>26.991607000000002</v>
          </cell>
        </row>
        <row r="114">
          <cell r="A114" t="str">
            <v>NT Grain Drill15'</v>
          </cell>
          <cell r="B114" t="str">
            <v>NT Grain Drill</v>
          </cell>
          <cell r="C114" t="str">
            <v>15'</v>
          </cell>
          <cell r="D114">
            <v>15</v>
          </cell>
          <cell r="E114">
            <v>5</v>
          </cell>
          <cell r="F114">
            <v>0.7</v>
          </cell>
          <cell r="G114">
            <v>0.15714285714285714</v>
          </cell>
          <cell r="H114">
            <v>34336</v>
          </cell>
          <cell r="I114">
            <v>45</v>
          </cell>
          <cell r="J114">
            <v>45</v>
          </cell>
          <cell r="K114">
            <v>8</v>
          </cell>
          <cell r="L114">
            <v>150</v>
          </cell>
          <cell r="M114">
            <v>0</v>
          </cell>
          <cell r="N114">
            <v>1200</v>
          </cell>
          <cell r="O114">
            <v>1</v>
          </cell>
          <cell r="P114">
            <v>0.27</v>
          </cell>
          <cell r="Q114">
            <v>1.4</v>
          </cell>
          <cell r="R114">
            <v>651.09030282556159</v>
          </cell>
          <cell r="S114">
            <v>4.3406020188370773</v>
          </cell>
          <cell r="T114">
            <v>1931.4</v>
          </cell>
          <cell r="U114">
            <v>12.876000000000001</v>
          </cell>
          <cell r="V114">
            <v>15451.2</v>
          </cell>
          <cell r="W114">
            <v>2360.6</v>
          </cell>
          <cell r="X114">
            <v>24893.599999999999</v>
          </cell>
          <cell r="Y114">
            <v>1991.4879999999998</v>
          </cell>
          <cell r="Z114">
            <v>597.44639999999993</v>
          </cell>
          <cell r="AA114">
            <v>4949.5343999999996</v>
          </cell>
          <cell r="AB114">
            <v>32.996896</v>
          </cell>
        </row>
        <row r="115">
          <cell r="A115" t="str">
            <v>NT Grain Drill20'</v>
          </cell>
          <cell r="B115" t="str">
            <v>NT Grain Drill</v>
          </cell>
          <cell r="C115" t="str">
            <v>20'</v>
          </cell>
          <cell r="D115">
            <v>20</v>
          </cell>
          <cell r="E115">
            <v>5</v>
          </cell>
          <cell r="F115">
            <v>0.7</v>
          </cell>
          <cell r="G115">
            <v>0.11785714285714287</v>
          </cell>
          <cell r="H115">
            <v>45772</v>
          </cell>
          <cell r="I115">
            <v>45</v>
          </cell>
          <cell r="J115">
            <v>45</v>
          </cell>
          <cell r="K115">
            <v>8</v>
          </cell>
          <cell r="L115">
            <v>150</v>
          </cell>
          <cell r="M115">
            <v>0</v>
          </cell>
          <cell r="N115">
            <v>1200</v>
          </cell>
          <cell r="O115">
            <v>1</v>
          </cell>
          <cell r="P115">
            <v>0.27</v>
          </cell>
          <cell r="Q115">
            <v>1.4</v>
          </cell>
          <cell r="R115">
            <v>867.94342209143758</v>
          </cell>
          <cell r="S115">
            <v>5.7862894806095841</v>
          </cell>
          <cell r="T115">
            <v>2574.6750000000002</v>
          </cell>
          <cell r="U115">
            <v>17.1645</v>
          </cell>
          <cell r="V115">
            <v>20597.400000000001</v>
          </cell>
          <cell r="W115">
            <v>3146.8249999999998</v>
          </cell>
          <cell r="X115">
            <v>33184.699999999997</v>
          </cell>
          <cell r="Y115">
            <v>2654.7759999999998</v>
          </cell>
          <cell r="Z115">
            <v>796.43279999999993</v>
          </cell>
          <cell r="AA115">
            <v>6598.0337999999992</v>
          </cell>
          <cell r="AB115">
            <v>43.986891999999997</v>
          </cell>
        </row>
        <row r="116">
          <cell r="A116" t="str">
            <v>NT Grain Drill24'</v>
          </cell>
          <cell r="B116" t="str">
            <v>NT Grain Drill</v>
          </cell>
          <cell r="C116" t="str">
            <v>24'</v>
          </cell>
          <cell r="D116">
            <v>24</v>
          </cell>
          <cell r="E116">
            <v>5</v>
          </cell>
          <cell r="F116">
            <v>0.7</v>
          </cell>
          <cell r="G116">
            <v>9.8214285714285712E-2</v>
          </cell>
          <cell r="H116">
            <v>65741</v>
          </cell>
          <cell r="I116">
            <v>45</v>
          </cell>
          <cell r="J116">
            <v>45</v>
          </cell>
          <cell r="K116">
            <v>8</v>
          </cell>
          <cell r="L116">
            <v>150</v>
          </cell>
          <cell r="M116">
            <v>0</v>
          </cell>
          <cell r="N116">
            <v>1200</v>
          </cell>
          <cell r="O116">
            <v>1</v>
          </cell>
          <cell r="P116">
            <v>0.27</v>
          </cell>
          <cell r="Q116">
            <v>1.4</v>
          </cell>
          <cell r="R116">
            <v>1246.6020386199684</v>
          </cell>
          <cell r="S116">
            <v>8.3106802574664567</v>
          </cell>
          <cell r="T116">
            <v>3697.9312500000001</v>
          </cell>
          <cell r="U116">
            <v>24.652875000000002</v>
          </cell>
          <cell r="V116">
            <v>29583.45</v>
          </cell>
          <cell r="W116">
            <v>4519.6937500000004</v>
          </cell>
          <cell r="X116">
            <v>47662.224999999999</v>
          </cell>
          <cell r="Y116">
            <v>3812.9780000000001</v>
          </cell>
          <cell r="Z116">
            <v>1143.8933999999999</v>
          </cell>
          <cell r="AA116">
            <v>9476.5651500000004</v>
          </cell>
          <cell r="AB116">
            <v>63.177101</v>
          </cell>
        </row>
        <row r="117">
          <cell r="A117" t="str">
            <v>NT Grain Drill30'</v>
          </cell>
          <cell r="B117" t="str">
            <v>NT Grain Drill</v>
          </cell>
          <cell r="C117" t="str">
            <v>30'</v>
          </cell>
          <cell r="D117">
            <v>30</v>
          </cell>
          <cell r="E117">
            <v>5</v>
          </cell>
          <cell r="F117">
            <v>0.7</v>
          </cell>
          <cell r="G117">
            <v>7.857142857142857E-2</v>
          </cell>
          <cell r="H117">
            <v>69656</v>
          </cell>
          <cell r="I117">
            <v>45</v>
          </cell>
          <cell r="J117">
            <v>45</v>
          </cell>
          <cell r="K117">
            <v>8</v>
          </cell>
          <cell r="L117">
            <v>150</v>
          </cell>
          <cell r="M117">
            <v>0</v>
          </cell>
          <cell r="N117">
            <v>1200</v>
          </cell>
          <cell r="O117">
            <v>1</v>
          </cell>
          <cell r="P117">
            <v>0.27</v>
          </cell>
          <cell r="Q117">
            <v>1.4</v>
          </cell>
          <cell r="R117">
            <v>1320.8395309184912</v>
          </cell>
          <cell r="S117">
            <v>8.8055968727899412</v>
          </cell>
          <cell r="T117">
            <v>3918.15</v>
          </cell>
          <cell r="U117">
            <v>26.121000000000002</v>
          </cell>
          <cell r="V117">
            <v>31345.200000000001</v>
          </cell>
          <cell r="W117">
            <v>4788.8500000000004</v>
          </cell>
          <cell r="X117">
            <v>50500.6</v>
          </cell>
          <cell r="Y117">
            <v>4040.0479999999998</v>
          </cell>
          <cell r="Z117">
            <v>1212.0144</v>
          </cell>
          <cell r="AA117">
            <v>10040.912400000001</v>
          </cell>
          <cell r="AB117">
            <v>66.939416000000008</v>
          </cell>
        </row>
        <row r="118">
          <cell r="A118" t="str">
            <v>NT Plant&amp;Pre-Folding10R-30</v>
          </cell>
          <cell r="B118" t="str">
            <v>NT Plant&amp;Pre-Folding</v>
          </cell>
          <cell r="C118" t="str">
            <v>10R-30</v>
          </cell>
          <cell r="D118">
            <v>25</v>
          </cell>
          <cell r="E118">
            <v>6.5</v>
          </cell>
          <cell r="F118">
            <v>0.65</v>
          </cell>
          <cell r="G118">
            <v>7.8106508875739653E-2</v>
          </cell>
          <cell r="H118">
            <v>52268</v>
          </cell>
          <cell r="I118">
            <v>45</v>
          </cell>
          <cell r="J118">
            <v>45</v>
          </cell>
          <cell r="K118">
            <v>8</v>
          </cell>
          <cell r="L118">
            <v>150</v>
          </cell>
          <cell r="M118">
            <v>0</v>
          </cell>
          <cell r="N118">
            <v>1200</v>
          </cell>
          <cell r="O118">
            <v>1</v>
          </cell>
          <cell r="P118">
            <v>0.27</v>
          </cell>
          <cell r="Q118">
            <v>1.4</v>
          </cell>
          <cell r="R118">
            <v>991.12266857194925</v>
          </cell>
          <cell r="S118">
            <v>6.6074844571463283</v>
          </cell>
          <cell r="T118">
            <v>2940.0749999999998</v>
          </cell>
          <cell r="U118">
            <v>19.6005</v>
          </cell>
          <cell r="V118">
            <v>23520.6</v>
          </cell>
          <cell r="W118">
            <v>3593.4250000000002</v>
          </cell>
          <cell r="X118">
            <v>37894.300000000003</v>
          </cell>
          <cell r="Y118">
            <v>3031.5440000000003</v>
          </cell>
          <cell r="Z118">
            <v>909.46320000000014</v>
          </cell>
          <cell r="AA118">
            <v>7534.4322000000011</v>
          </cell>
          <cell r="AB118">
            <v>50.229548000000008</v>
          </cell>
        </row>
        <row r="119">
          <cell r="A119" t="str">
            <v>NT Plant&amp;Pre-Folding10R-40</v>
          </cell>
          <cell r="B119" t="str">
            <v>NT Plant&amp;Pre-Folding</v>
          </cell>
          <cell r="C119" t="str">
            <v>10R-40</v>
          </cell>
          <cell r="D119">
            <v>33.299999999999997</v>
          </cell>
          <cell r="E119">
            <v>6.5</v>
          </cell>
          <cell r="F119">
            <v>0.65</v>
          </cell>
          <cell r="G119">
            <v>5.8638520176981714E-2</v>
          </cell>
          <cell r="H119">
            <v>52826</v>
          </cell>
          <cell r="I119">
            <v>45</v>
          </cell>
          <cell r="J119">
            <v>45</v>
          </cell>
          <cell r="K119">
            <v>8</v>
          </cell>
          <cell r="L119">
            <v>150</v>
          </cell>
          <cell r="M119">
            <v>0</v>
          </cell>
          <cell r="N119">
            <v>1200</v>
          </cell>
          <cell r="O119">
            <v>1</v>
          </cell>
          <cell r="P119">
            <v>0.27</v>
          </cell>
          <cell r="Q119">
            <v>1.4</v>
          </cell>
          <cell r="R119">
            <v>1001.7036444857616</v>
          </cell>
          <cell r="S119">
            <v>6.6780242965717438</v>
          </cell>
          <cell r="T119">
            <v>2971.4625000000001</v>
          </cell>
          <cell r="U119">
            <v>19.809750000000001</v>
          </cell>
          <cell r="V119">
            <v>23771.7</v>
          </cell>
          <cell r="W119">
            <v>3631.7874999999999</v>
          </cell>
          <cell r="X119">
            <v>38298.85</v>
          </cell>
          <cell r="Y119">
            <v>3063.9079999999999</v>
          </cell>
          <cell r="Z119">
            <v>919.17240000000004</v>
          </cell>
          <cell r="AA119">
            <v>7614.8678999999993</v>
          </cell>
          <cell r="AB119">
            <v>50.765785999999999</v>
          </cell>
        </row>
        <row r="120">
          <cell r="A120" t="str">
            <v>NT Plant&amp;Pre-Folding12R-20</v>
          </cell>
          <cell r="B120" t="str">
            <v>NT Plant&amp;Pre-Folding</v>
          </cell>
          <cell r="C120" t="str">
            <v>12R-20</v>
          </cell>
          <cell r="D120">
            <v>20</v>
          </cell>
          <cell r="E120">
            <v>6.5</v>
          </cell>
          <cell r="F120">
            <v>0.65</v>
          </cell>
          <cell r="G120">
            <v>9.7633136094674555E-2</v>
          </cell>
          <cell r="H120">
            <v>51170</v>
          </cell>
          <cell r="I120">
            <v>45</v>
          </cell>
          <cell r="J120">
            <v>45</v>
          </cell>
          <cell r="K120">
            <v>8</v>
          </cell>
          <cell r="L120">
            <v>150</v>
          </cell>
          <cell r="M120">
            <v>0</v>
          </cell>
          <cell r="N120">
            <v>1200</v>
          </cell>
          <cell r="O120">
            <v>1</v>
          </cell>
          <cell r="P120">
            <v>0.27</v>
          </cell>
          <cell r="Q120">
            <v>1.4</v>
          </cell>
          <cell r="R120">
            <v>970.30203854799583</v>
          </cell>
          <cell r="S120">
            <v>6.4686802569866391</v>
          </cell>
          <cell r="T120">
            <v>2878.3125</v>
          </cell>
          <cell r="U120">
            <v>19.188749999999999</v>
          </cell>
          <cell r="V120">
            <v>23026.5</v>
          </cell>
          <cell r="W120">
            <v>3517.9375</v>
          </cell>
          <cell r="X120">
            <v>37098.25</v>
          </cell>
          <cell r="Y120">
            <v>2967.86</v>
          </cell>
          <cell r="Z120">
            <v>890.35800000000006</v>
          </cell>
          <cell r="AA120">
            <v>7376.1555000000008</v>
          </cell>
          <cell r="AB120">
            <v>49.174370000000003</v>
          </cell>
        </row>
        <row r="121">
          <cell r="A121" t="str">
            <v>NT Plant&amp;Pre-Folding12R-30</v>
          </cell>
          <cell r="B121" t="str">
            <v>NT Plant&amp;Pre-Folding</v>
          </cell>
          <cell r="C121" t="str">
            <v>12R-30</v>
          </cell>
          <cell r="D121">
            <v>30</v>
          </cell>
          <cell r="E121">
            <v>6.5</v>
          </cell>
          <cell r="F121">
            <v>0.65</v>
          </cell>
          <cell r="G121">
            <v>6.5088757396449703E-2</v>
          </cell>
          <cell r="H121">
            <v>57431</v>
          </cell>
          <cell r="I121">
            <v>45</v>
          </cell>
          <cell r="J121">
            <v>45</v>
          </cell>
          <cell r="K121">
            <v>8</v>
          </cell>
          <cell r="L121">
            <v>150</v>
          </cell>
          <cell r="M121">
            <v>0</v>
          </cell>
          <cell r="N121">
            <v>1200</v>
          </cell>
          <cell r="O121">
            <v>1</v>
          </cell>
          <cell r="P121">
            <v>0.27</v>
          </cell>
          <cell r="Q121">
            <v>1.4</v>
          </cell>
          <cell r="R121">
            <v>1089.0251392583534</v>
          </cell>
          <cell r="S121">
            <v>7.2601675950556892</v>
          </cell>
          <cell r="T121">
            <v>3230.4937500000001</v>
          </cell>
          <cell r="U121">
            <v>21.536625000000001</v>
          </cell>
          <cell r="V121">
            <v>25843.95</v>
          </cell>
          <cell r="W121">
            <v>3948.3812499999999</v>
          </cell>
          <cell r="X121">
            <v>41637.474999999999</v>
          </cell>
          <cell r="Y121">
            <v>3330.998</v>
          </cell>
          <cell r="Z121">
            <v>999.29939999999999</v>
          </cell>
          <cell r="AA121">
            <v>8278.6786499999998</v>
          </cell>
          <cell r="AB121">
            <v>55.191190999999996</v>
          </cell>
        </row>
        <row r="122">
          <cell r="A122" t="str">
            <v>NT Plant&amp;Pre-Folding12R-40</v>
          </cell>
          <cell r="B122" t="str">
            <v>NT Plant&amp;Pre-Folding</v>
          </cell>
          <cell r="C122" t="str">
            <v>12R-40</v>
          </cell>
          <cell r="D122">
            <v>40</v>
          </cell>
          <cell r="E122">
            <v>6.5</v>
          </cell>
          <cell r="F122">
            <v>0.65</v>
          </cell>
          <cell r="G122">
            <v>4.8816568047337278E-2</v>
          </cell>
          <cell r="H122">
            <v>55148</v>
          </cell>
          <cell r="I122">
            <v>45</v>
          </cell>
          <cell r="J122">
            <v>45</v>
          </cell>
          <cell r="K122">
            <v>8</v>
          </cell>
          <cell r="L122">
            <v>150</v>
          </cell>
          <cell r="M122">
            <v>0</v>
          </cell>
          <cell r="N122">
            <v>1200</v>
          </cell>
          <cell r="O122">
            <v>1</v>
          </cell>
          <cell r="P122">
            <v>0.27</v>
          </cell>
          <cell r="Q122">
            <v>1.4</v>
          </cell>
          <cell r="R122">
            <v>1045.7341571593681</v>
          </cell>
          <cell r="S122">
            <v>6.9715610477291206</v>
          </cell>
          <cell r="T122">
            <v>3102.0749999999998</v>
          </cell>
          <cell r="U122">
            <v>20.680499999999999</v>
          </cell>
          <cell r="V122">
            <v>24816.6</v>
          </cell>
          <cell r="W122">
            <v>3791.4250000000002</v>
          </cell>
          <cell r="X122">
            <v>39982.300000000003</v>
          </cell>
          <cell r="Y122">
            <v>3198.5840000000003</v>
          </cell>
          <cell r="Z122">
            <v>959.57520000000011</v>
          </cell>
          <cell r="AA122">
            <v>7949.5842000000002</v>
          </cell>
          <cell r="AB122">
            <v>52.997228</v>
          </cell>
        </row>
        <row r="123">
          <cell r="A123" t="str">
            <v>NT Plant&amp;Pre-Folding16R-30</v>
          </cell>
          <cell r="B123" t="str">
            <v>NT Plant&amp;Pre-Folding</v>
          </cell>
          <cell r="C123" t="str">
            <v>16R-30</v>
          </cell>
          <cell r="D123">
            <v>40</v>
          </cell>
          <cell r="E123">
            <v>6.5</v>
          </cell>
          <cell r="F123">
            <v>0.65</v>
          </cell>
          <cell r="G123">
            <v>4.8816568047337278E-2</v>
          </cell>
          <cell r="H123">
            <v>78048</v>
          </cell>
          <cell r="I123">
            <v>45</v>
          </cell>
          <cell r="J123">
            <v>45</v>
          </cell>
          <cell r="K123">
            <v>8</v>
          </cell>
          <cell r="L123">
            <v>150</v>
          </cell>
          <cell r="M123">
            <v>0</v>
          </cell>
          <cell r="N123">
            <v>1200</v>
          </cell>
          <cell r="O123">
            <v>1</v>
          </cell>
          <cell r="P123">
            <v>0.27</v>
          </cell>
          <cell r="Q123">
            <v>1.4</v>
          </cell>
          <cell r="R123">
            <v>1479.9713407190536</v>
          </cell>
          <cell r="S123">
            <v>9.8664756047936901</v>
          </cell>
          <cell r="T123">
            <v>4390.2</v>
          </cell>
          <cell r="U123">
            <v>29.267999999999997</v>
          </cell>
          <cell r="V123">
            <v>35121.599999999999</v>
          </cell>
          <cell r="W123">
            <v>5365.8</v>
          </cell>
          <cell r="X123">
            <v>56584.800000000003</v>
          </cell>
          <cell r="Y123">
            <v>4526.7840000000006</v>
          </cell>
          <cell r="Z123">
            <v>1358.0352</v>
          </cell>
          <cell r="AA123">
            <v>11250.619200000001</v>
          </cell>
          <cell r="AB123">
            <v>75.004128000000009</v>
          </cell>
        </row>
        <row r="124">
          <cell r="A124" t="str">
            <v>NT Plant&amp;Pre-Folding23R-15</v>
          </cell>
          <cell r="B124" t="str">
            <v>NT Plant&amp;Pre-Folding</v>
          </cell>
          <cell r="C124" t="str">
            <v>23R-15</v>
          </cell>
          <cell r="D124">
            <v>28.8</v>
          </cell>
          <cell r="E124">
            <v>6.5</v>
          </cell>
          <cell r="F124">
            <v>0.65</v>
          </cell>
          <cell r="G124">
            <v>6.7800788954635094E-2</v>
          </cell>
          <cell r="H124">
            <v>89512</v>
          </cell>
          <cell r="I124">
            <v>45</v>
          </cell>
          <cell r="J124">
            <v>45</v>
          </cell>
          <cell r="K124">
            <v>8</v>
          </cell>
          <cell r="L124">
            <v>150</v>
          </cell>
          <cell r="M124">
            <v>0</v>
          </cell>
          <cell r="N124">
            <v>1200</v>
          </cell>
          <cell r="O124">
            <v>1</v>
          </cell>
          <cell r="P124">
            <v>0.27</v>
          </cell>
          <cell r="Q124">
            <v>1.4</v>
          </cell>
          <cell r="R124">
            <v>1697.355405012863</v>
          </cell>
          <cell r="S124">
            <v>11.315702700085753</v>
          </cell>
          <cell r="T124">
            <v>5035.05</v>
          </cell>
          <cell r="U124">
            <v>33.567</v>
          </cell>
          <cell r="V124">
            <v>40280.400000000001</v>
          </cell>
          <cell r="W124">
            <v>6153.95</v>
          </cell>
          <cell r="X124">
            <v>64896.2</v>
          </cell>
          <cell r="Y124">
            <v>5191.6959999999999</v>
          </cell>
          <cell r="Z124">
            <v>1557.5088000000001</v>
          </cell>
          <cell r="AA124">
            <v>12903.1548</v>
          </cell>
          <cell r="AB124">
            <v>86.021032000000005</v>
          </cell>
        </row>
        <row r="125">
          <cell r="A125" t="str">
            <v>NT Plant&amp;Pre-Folding24R-20</v>
          </cell>
          <cell r="B125" t="str">
            <v>NT Plant&amp;Pre-Folding</v>
          </cell>
          <cell r="C125" t="str">
            <v>24R-20</v>
          </cell>
          <cell r="D125">
            <v>40</v>
          </cell>
          <cell r="E125">
            <v>6.5</v>
          </cell>
          <cell r="F125">
            <v>0.65</v>
          </cell>
          <cell r="G125">
            <v>4.8816568047337278E-2</v>
          </cell>
          <cell r="H125">
            <v>104916</v>
          </cell>
          <cell r="I125">
            <v>45</v>
          </cell>
          <cell r="J125">
            <v>45</v>
          </cell>
          <cell r="K125">
            <v>8</v>
          </cell>
          <cell r="L125">
            <v>150</v>
          </cell>
          <cell r="M125">
            <v>0</v>
          </cell>
          <cell r="N125">
            <v>1200</v>
          </cell>
          <cell r="O125">
            <v>1</v>
          </cell>
          <cell r="P125">
            <v>0.27</v>
          </cell>
          <cell r="Q125">
            <v>1.4</v>
          </cell>
          <cell r="R125">
            <v>1989.4510196658498</v>
          </cell>
          <cell r="S125">
            <v>13.263006797772332</v>
          </cell>
          <cell r="T125">
            <v>5901.5249999999996</v>
          </cell>
          <cell r="U125">
            <v>39.343499999999999</v>
          </cell>
          <cell r="V125">
            <v>47212.2</v>
          </cell>
          <cell r="W125">
            <v>7212.9750000000004</v>
          </cell>
          <cell r="X125">
            <v>76064.100000000006</v>
          </cell>
          <cell r="Y125">
            <v>6085.1280000000006</v>
          </cell>
          <cell r="Z125">
            <v>1825.5384000000001</v>
          </cell>
          <cell r="AA125">
            <v>15123.6414</v>
          </cell>
          <cell r="AB125">
            <v>100.824276</v>
          </cell>
        </row>
        <row r="126">
          <cell r="A126" t="str">
            <v>NT Plant&amp;Pre-Folding24R-30</v>
          </cell>
          <cell r="B126" t="str">
            <v>NT Plant&amp;Pre-Folding</v>
          </cell>
          <cell r="C126" t="str">
            <v>24R-30</v>
          </cell>
          <cell r="D126">
            <v>60</v>
          </cell>
          <cell r="E126">
            <v>6.5</v>
          </cell>
          <cell r="F126">
            <v>0.65</v>
          </cell>
          <cell r="G126">
            <v>3.2544378698224852E-2</v>
          </cell>
          <cell r="H126">
            <v>116453</v>
          </cell>
          <cell r="I126">
            <v>45</v>
          </cell>
          <cell r="J126">
            <v>45</v>
          </cell>
          <cell r="K126">
            <v>8</v>
          </cell>
          <cell r="L126">
            <v>150</v>
          </cell>
          <cell r="M126">
            <v>0</v>
          </cell>
          <cell r="N126">
            <v>1200</v>
          </cell>
          <cell r="O126">
            <v>1</v>
          </cell>
          <cell r="P126">
            <v>0.27</v>
          </cell>
          <cell r="Q126">
            <v>1.4</v>
          </cell>
          <cell r="R126">
            <v>2208.2193334967706</v>
          </cell>
          <cell r="S126">
            <v>14.721462223311804</v>
          </cell>
          <cell r="T126">
            <v>6550.4812499999998</v>
          </cell>
          <cell r="U126">
            <v>43.669874999999998</v>
          </cell>
          <cell r="V126">
            <v>52403.85</v>
          </cell>
          <cell r="W126">
            <v>8006.1437500000002</v>
          </cell>
          <cell r="X126">
            <v>84428.425000000003</v>
          </cell>
          <cell r="Y126">
            <v>6754.2740000000003</v>
          </cell>
          <cell r="Z126">
            <v>2026.2822000000001</v>
          </cell>
          <cell r="AA126">
            <v>16786.699950000002</v>
          </cell>
          <cell r="AB126">
            <v>111.91133300000001</v>
          </cell>
        </row>
        <row r="127">
          <cell r="A127" t="str">
            <v>NT Plant&amp;Pre-Folding8R-40</v>
          </cell>
          <cell r="B127" t="str">
            <v>NT Plant&amp;Pre-Folding</v>
          </cell>
          <cell r="C127" t="str">
            <v>8R-40</v>
          </cell>
          <cell r="D127">
            <v>26.7</v>
          </cell>
          <cell r="E127">
            <v>6.5</v>
          </cell>
          <cell r="F127">
            <v>0.65</v>
          </cell>
          <cell r="G127">
            <v>7.3133435276909783E-2</v>
          </cell>
          <cell r="H127">
            <v>39614</v>
          </cell>
          <cell r="I127">
            <v>45</v>
          </cell>
          <cell r="J127">
            <v>45</v>
          </cell>
          <cell r="K127">
            <v>8</v>
          </cell>
          <cell r="L127">
            <v>150</v>
          </cell>
          <cell r="M127">
            <v>0</v>
          </cell>
          <cell r="N127">
            <v>1200</v>
          </cell>
          <cell r="O127">
            <v>1</v>
          </cell>
          <cell r="P127">
            <v>0.27</v>
          </cell>
          <cell r="Q127">
            <v>1.4</v>
          </cell>
          <cell r="R127">
            <v>751.17344059097718</v>
          </cell>
          <cell r="S127">
            <v>5.0078229372731808</v>
          </cell>
          <cell r="T127">
            <v>2228.2874999999999</v>
          </cell>
          <cell r="U127">
            <v>14.85525</v>
          </cell>
          <cell r="V127">
            <v>17826.3</v>
          </cell>
          <cell r="W127">
            <v>2723.4625000000001</v>
          </cell>
          <cell r="X127">
            <v>28720.15</v>
          </cell>
          <cell r="Y127">
            <v>2297.6120000000001</v>
          </cell>
          <cell r="Z127">
            <v>689.28360000000009</v>
          </cell>
          <cell r="AA127">
            <v>5710.3581000000004</v>
          </cell>
          <cell r="AB127">
            <v>38.069054000000001</v>
          </cell>
        </row>
        <row r="128">
          <cell r="A128" t="str">
            <v>NT Plant&amp;Pre-Folding8R-40 2x1</v>
          </cell>
          <cell r="B128" t="str">
            <v>NT Plant&amp;Pre-Folding</v>
          </cell>
          <cell r="C128" t="str">
            <v>8R-40 2x1</v>
          </cell>
          <cell r="D128">
            <v>40</v>
          </cell>
          <cell r="E128">
            <v>6.5</v>
          </cell>
          <cell r="F128">
            <v>0.65</v>
          </cell>
          <cell r="G128">
            <v>4.8816568047337278E-2</v>
          </cell>
          <cell r="H128">
            <v>55148</v>
          </cell>
          <cell r="I128">
            <v>45</v>
          </cell>
          <cell r="J128">
            <v>45</v>
          </cell>
          <cell r="K128">
            <v>8</v>
          </cell>
          <cell r="L128">
            <v>150</v>
          </cell>
          <cell r="M128">
            <v>0</v>
          </cell>
          <cell r="N128">
            <v>1200</v>
          </cell>
          <cell r="O128">
            <v>1</v>
          </cell>
          <cell r="P128">
            <v>0.27</v>
          </cell>
          <cell r="Q128">
            <v>1.4</v>
          </cell>
          <cell r="R128">
            <v>1045.7341571593681</v>
          </cell>
          <cell r="S128">
            <v>6.9715610477291206</v>
          </cell>
          <cell r="T128">
            <v>3102.0749999999998</v>
          </cell>
          <cell r="U128">
            <v>20.680499999999999</v>
          </cell>
          <cell r="V128">
            <v>24816.6</v>
          </cell>
          <cell r="W128">
            <v>3791.4250000000002</v>
          </cell>
          <cell r="X128">
            <v>39982.300000000003</v>
          </cell>
          <cell r="Y128">
            <v>3198.5840000000003</v>
          </cell>
          <cell r="Z128">
            <v>959.57520000000011</v>
          </cell>
          <cell r="AA128">
            <v>7949.5842000000002</v>
          </cell>
          <cell r="AB128">
            <v>52.997228</v>
          </cell>
        </row>
        <row r="129">
          <cell r="A129" t="str">
            <v>NT Plant&amp;Pre-Rigid10R-30</v>
          </cell>
          <cell r="B129" t="str">
            <v>NT Plant&amp;Pre-Rigid</v>
          </cell>
          <cell r="C129" t="str">
            <v>10R-30</v>
          </cell>
          <cell r="D129">
            <v>25</v>
          </cell>
          <cell r="E129">
            <v>6.5</v>
          </cell>
          <cell r="F129">
            <v>0.65</v>
          </cell>
          <cell r="G129">
            <v>7.8106508875739653E-2</v>
          </cell>
          <cell r="H129">
            <v>33705</v>
          </cell>
          <cell r="I129">
            <v>45</v>
          </cell>
          <cell r="J129">
            <v>45</v>
          </cell>
          <cell r="K129">
            <v>8</v>
          </cell>
          <cell r="L129">
            <v>150</v>
          </cell>
          <cell r="M129">
            <v>0</v>
          </cell>
          <cell r="N129">
            <v>1200</v>
          </cell>
          <cell r="O129">
            <v>1</v>
          </cell>
          <cell r="P129">
            <v>0.27</v>
          </cell>
          <cell r="Q129">
            <v>1.4</v>
          </cell>
          <cell r="R129">
            <v>639.12507737463739</v>
          </cell>
          <cell r="S129">
            <v>4.260833849164249</v>
          </cell>
          <cell r="T129">
            <v>1895.90625</v>
          </cell>
          <cell r="U129">
            <v>12.639374999999999</v>
          </cell>
          <cell r="V129">
            <v>15167.25</v>
          </cell>
          <cell r="W129">
            <v>2317.21875</v>
          </cell>
          <cell r="X129">
            <v>24436.125</v>
          </cell>
          <cell r="Y129">
            <v>1954.89</v>
          </cell>
          <cell r="Z129">
            <v>586.46699999999998</v>
          </cell>
          <cell r="AA129">
            <v>4858.57575</v>
          </cell>
          <cell r="AB129">
            <v>32.390504999999997</v>
          </cell>
        </row>
        <row r="130">
          <cell r="A130" t="str">
            <v>NT Plant&amp;Pre-Rigid12R-20</v>
          </cell>
          <cell r="B130" t="str">
            <v>NT Plant&amp;Pre-Rigid</v>
          </cell>
          <cell r="C130" t="str">
            <v>12R-20</v>
          </cell>
          <cell r="D130">
            <v>20</v>
          </cell>
          <cell r="E130">
            <v>6.5</v>
          </cell>
          <cell r="F130">
            <v>0.65</v>
          </cell>
          <cell r="G130">
            <v>9.7633136094674555E-2</v>
          </cell>
          <cell r="H130">
            <v>28958</v>
          </cell>
          <cell r="I130">
            <v>45</v>
          </cell>
          <cell r="J130">
            <v>45</v>
          </cell>
          <cell r="K130">
            <v>8</v>
          </cell>
          <cell r="L130">
            <v>150</v>
          </cell>
          <cell r="M130">
            <v>0</v>
          </cell>
          <cell r="N130">
            <v>1200</v>
          </cell>
          <cell r="O130">
            <v>1</v>
          </cell>
          <cell r="P130">
            <v>0.27</v>
          </cell>
          <cell r="Q130">
            <v>1.4</v>
          </cell>
          <cell r="R130">
            <v>549.1109328175271</v>
          </cell>
          <cell r="S130">
            <v>3.6607395521168473</v>
          </cell>
          <cell r="T130">
            <v>1628.8875</v>
          </cell>
          <cell r="U130">
            <v>10.859250000000001</v>
          </cell>
          <cell r="V130">
            <v>13031.1</v>
          </cell>
          <cell r="W130">
            <v>1990.8625</v>
          </cell>
          <cell r="X130">
            <v>20994.55</v>
          </cell>
          <cell r="Y130">
            <v>1679.5640000000001</v>
          </cell>
          <cell r="Z130">
            <v>503.86919999999998</v>
          </cell>
          <cell r="AA130">
            <v>4174.2956999999997</v>
          </cell>
          <cell r="AB130">
            <v>27.828637999999998</v>
          </cell>
        </row>
        <row r="131">
          <cell r="A131" t="str">
            <v>NT Plant&amp;Pre-Rigid12R-30</v>
          </cell>
          <cell r="B131" t="str">
            <v>NT Plant&amp;Pre-Rigid</v>
          </cell>
          <cell r="C131" t="str">
            <v>12R-30</v>
          </cell>
          <cell r="D131">
            <v>30</v>
          </cell>
          <cell r="E131">
            <v>6.5</v>
          </cell>
          <cell r="F131">
            <v>0.65</v>
          </cell>
          <cell r="G131">
            <v>6.5088757396449703E-2</v>
          </cell>
          <cell r="H131">
            <v>53891</v>
          </cell>
          <cell r="I131">
            <v>45</v>
          </cell>
          <cell r="J131">
            <v>45</v>
          </cell>
          <cell r="K131">
            <v>8</v>
          </cell>
          <cell r="L131">
            <v>150</v>
          </cell>
          <cell r="M131">
            <v>0</v>
          </cell>
          <cell r="N131">
            <v>1200</v>
          </cell>
          <cell r="O131">
            <v>1</v>
          </cell>
          <cell r="P131">
            <v>0.27</v>
          </cell>
          <cell r="Q131">
            <v>1.4</v>
          </cell>
          <cell r="R131">
            <v>1021.898517869651</v>
          </cell>
          <cell r="S131">
            <v>6.8126567857976728</v>
          </cell>
          <cell r="T131">
            <v>3031.3687500000001</v>
          </cell>
          <cell r="U131">
            <v>20.209125</v>
          </cell>
          <cell r="V131">
            <v>24250.95</v>
          </cell>
          <cell r="W131">
            <v>3705.0062499999999</v>
          </cell>
          <cell r="X131">
            <v>39070.974999999999</v>
          </cell>
          <cell r="Y131">
            <v>3125.6779999999999</v>
          </cell>
          <cell r="Z131">
            <v>937.70339999999999</v>
          </cell>
          <cell r="AA131">
            <v>7768.3876499999997</v>
          </cell>
          <cell r="AB131">
            <v>51.789251</v>
          </cell>
        </row>
        <row r="132">
          <cell r="A132" t="str">
            <v>NT Plant&amp;Pre-Rigid4R-30</v>
          </cell>
          <cell r="B132" t="str">
            <v>NT Plant&amp;Pre-Rigid</v>
          </cell>
          <cell r="C132" t="str">
            <v>4R-30</v>
          </cell>
          <cell r="D132">
            <v>10</v>
          </cell>
          <cell r="E132">
            <v>6.5</v>
          </cell>
          <cell r="F132">
            <v>0.65</v>
          </cell>
          <cell r="G132">
            <v>0.19526627218934911</v>
          </cell>
          <cell r="H132">
            <v>21194</v>
          </cell>
          <cell r="I132">
            <v>45</v>
          </cell>
          <cell r="J132">
            <v>45</v>
          </cell>
          <cell r="K132">
            <v>8</v>
          </cell>
          <cell r="L132">
            <v>150</v>
          </cell>
          <cell r="M132">
            <v>0</v>
          </cell>
          <cell r="N132">
            <v>1200</v>
          </cell>
          <cell r="O132">
            <v>1</v>
          </cell>
          <cell r="P132">
            <v>0.27</v>
          </cell>
          <cell r="Q132">
            <v>1.4</v>
          </cell>
          <cell r="R132">
            <v>401.88746150061013</v>
          </cell>
          <cell r="S132">
            <v>2.679249743337401</v>
          </cell>
          <cell r="T132">
            <v>1192.1624999999999</v>
          </cell>
          <cell r="U132">
            <v>7.9477499999999992</v>
          </cell>
          <cell r="V132">
            <v>9537.2999999999993</v>
          </cell>
          <cell r="W132">
            <v>1457.0875000000001</v>
          </cell>
          <cell r="X132">
            <v>15365.65</v>
          </cell>
          <cell r="Y132">
            <v>1229.252</v>
          </cell>
          <cell r="Z132">
            <v>368.7756</v>
          </cell>
          <cell r="AA132">
            <v>3055.1151</v>
          </cell>
          <cell r="AB132">
            <v>20.367433999999999</v>
          </cell>
        </row>
        <row r="133">
          <cell r="A133" t="str">
            <v>NT Plant&amp;Pre-Rigid4R-40</v>
          </cell>
          <cell r="B133" t="str">
            <v>NT Plant&amp;Pre-Rigid</v>
          </cell>
          <cell r="C133" t="str">
            <v>4R-40</v>
          </cell>
          <cell r="D133">
            <v>13.3</v>
          </cell>
          <cell r="E133">
            <v>6.5</v>
          </cell>
          <cell r="F133">
            <v>0.65</v>
          </cell>
          <cell r="G133">
            <v>0.1468167460070294</v>
          </cell>
          <cell r="H133">
            <v>20769</v>
          </cell>
          <cell r="I133">
            <v>45</v>
          </cell>
          <cell r="J133">
            <v>45</v>
          </cell>
          <cell r="K133">
            <v>8</v>
          </cell>
          <cell r="L133">
            <v>150</v>
          </cell>
          <cell r="M133">
            <v>0</v>
          </cell>
          <cell r="N133">
            <v>1200</v>
          </cell>
          <cell r="O133">
            <v>1</v>
          </cell>
          <cell r="P133">
            <v>0.27</v>
          </cell>
          <cell r="Q133">
            <v>1.4</v>
          </cell>
          <cell r="R133">
            <v>393.82847446948062</v>
          </cell>
          <cell r="S133">
            <v>2.6255231631298708</v>
          </cell>
          <cell r="T133">
            <v>1168.2562499999999</v>
          </cell>
          <cell r="U133">
            <v>7.7883749999999994</v>
          </cell>
          <cell r="V133">
            <v>9346.0499999999993</v>
          </cell>
          <cell r="W133">
            <v>1427.8687500000001</v>
          </cell>
          <cell r="X133">
            <v>15057.525</v>
          </cell>
          <cell r="Y133">
            <v>1204.6020000000001</v>
          </cell>
          <cell r="Z133">
            <v>361.38060000000002</v>
          </cell>
          <cell r="AA133">
            <v>2993.8513499999999</v>
          </cell>
          <cell r="AB133">
            <v>19.959008999999998</v>
          </cell>
        </row>
        <row r="134">
          <cell r="A134" t="str">
            <v>NT Plant&amp;Pre-Rigid6R-30</v>
          </cell>
          <cell r="B134" t="str">
            <v>NT Plant&amp;Pre-Rigid</v>
          </cell>
          <cell r="C134" t="str">
            <v>6R-30</v>
          </cell>
          <cell r="D134">
            <v>15</v>
          </cell>
          <cell r="E134">
            <v>6.5</v>
          </cell>
          <cell r="F134">
            <v>0.65</v>
          </cell>
          <cell r="G134">
            <v>0.13017751479289941</v>
          </cell>
          <cell r="H134">
            <v>26201</v>
          </cell>
          <cell r="I134">
            <v>45</v>
          </cell>
          <cell r="J134">
            <v>45</v>
          </cell>
          <cell r="K134">
            <v>8</v>
          </cell>
          <cell r="L134">
            <v>150</v>
          </cell>
          <cell r="M134">
            <v>0</v>
          </cell>
          <cell r="N134">
            <v>1200</v>
          </cell>
          <cell r="O134">
            <v>1</v>
          </cell>
          <cell r="P134">
            <v>0.27</v>
          </cell>
          <cell r="Q134">
            <v>1.4</v>
          </cell>
          <cell r="R134">
            <v>496.83180988852916</v>
          </cell>
          <cell r="S134">
            <v>3.3122120659235277</v>
          </cell>
          <cell r="T134">
            <v>1473.8062500000001</v>
          </cell>
          <cell r="U134">
            <v>9.8253750000000011</v>
          </cell>
          <cell r="V134">
            <v>11790.45</v>
          </cell>
          <cell r="W134">
            <v>1801.3187499999999</v>
          </cell>
          <cell r="X134">
            <v>18995.724999999999</v>
          </cell>
          <cell r="Y134">
            <v>1519.6579999999999</v>
          </cell>
          <cell r="Z134">
            <v>455.89739999999995</v>
          </cell>
          <cell r="AA134">
            <v>3776.8741499999996</v>
          </cell>
          <cell r="AB134">
            <v>25.179160999999997</v>
          </cell>
        </row>
        <row r="135">
          <cell r="A135" t="str">
            <v>NT Plant&amp;Pre-Rigid6R-40</v>
          </cell>
          <cell r="B135" t="str">
            <v>NT Plant&amp;Pre-Rigid</v>
          </cell>
          <cell r="C135" t="str">
            <v>6R-40</v>
          </cell>
          <cell r="D135">
            <v>20</v>
          </cell>
          <cell r="E135">
            <v>5</v>
          </cell>
          <cell r="F135">
            <v>0.65</v>
          </cell>
          <cell r="G135">
            <v>0.12692307692307692</v>
          </cell>
          <cell r="H135">
            <v>26284</v>
          </cell>
          <cell r="I135">
            <v>45</v>
          </cell>
          <cell r="J135">
            <v>45</v>
          </cell>
          <cell r="K135">
            <v>8</v>
          </cell>
          <cell r="L135">
            <v>150</v>
          </cell>
          <cell r="M135">
            <v>0</v>
          </cell>
          <cell r="N135">
            <v>1200</v>
          </cell>
          <cell r="O135">
            <v>1</v>
          </cell>
          <cell r="P135">
            <v>0.27</v>
          </cell>
          <cell r="Q135">
            <v>1.4</v>
          </cell>
          <cell r="R135">
            <v>498.4056826499027</v>
          </cell>
          <cell r="S135">
            <v>3.3227045509993514</v>
          </cell>
          <cell r="T135">
            <v>1478.4749999999999</v>
          </cell>
          <cell r="U135">
            <v>9.8564999999999987</v>
          </cell>
          <cell r="V135">
            <v>11827.8</v>
          </cell>
          <cell r="W135">
            <v>1807.0250000000001</v>
          </cell>
          <cell r="X135">
            <v>19055.900000000001</v>
          </cell>
          <cell r="Y135">
            <v>1524.4720000000002</v>
          </cell>
          <cell r="Z135">
            <v>457.34160000000003</v>
          </cell>
          <cell r="AA135">
            <v>3788.8386</v>
          </cell>
          <cell r="AB135">
            <v>25.258924</v>
          </cell>
        </row>
        <row r="136">
          <cell r="A136" t="str">
            <v>NT Plant&amp;Pre-Rigid8R-22</v>
          </cell>
          <cell r="B136" t="str">
            <v>NT Plant&amp;Pre-Rigid</v>
          </cell>
          <cell r="C136" t="str">
            <v>8R-22</v>
          </cell>
          <cell r="D136">
            <v>14.7</v>
          </cell>
          <cell r="E136">
            <v>6.5</v>
          </cell>
          <cell r="F136">
            <v>0.65</v>
          </cell>
          <cell r="G136">
            <v>0.13283419876826469</v>
          </cell>
          <cell r="H136">
            <v>26219</v>
          </cell>
          <cell r="I136">
            <v>45</v>
          </cell>
          <cell r="J136">
            <v>45</v>
          </cell>
          <cell r="K136">
            <v>8</v>
          </cell>
          <cell r="L136">
            <v>150</v>
          </cell>
          <cell r="M136">
            <v>0</v>
          </cell>
          <cell r="N136">
            <v>1200</v>
          </cell>
          <cell r="O136">
            <v>1</v>
          </cell>
          <cell r="P136">
            <v>0.27</v>
          </cell>
          <cell r="Q136">
            <v>1.4</v>
          </cell>
          <cell r="R136">
            <v>497.17313169220051</v>
          </cell>
          <cell r="S136">
            <v>3.31448754461467</v>
          </cell>
          <cell r="T136">
            <v>1474.8187499999999</v>
          </cell>
          <cell r="U136">
            <v>9.8321249999999996</v>
          </cell>
          <cell r="V136">
            <v>11798.55</v>
          </cell>
          <cell r="W136">
            <v>1802.5562500000001</v>
          </cell>
          <cell r="X136">
            <v>19008.775000000001</v>
          </cell>
          <cell r="Y136">
            <v>1520.7020000000002</v>
          </cell>
          <cell r="Z136">
            <v>456.21060000000006</v>
          </cell>
          <cell r="AA136">
            <v>3779.4688500000002</v>
          </cell>
          <cell r="AB136">
            <v>25.196459000000001</v>
          </cell>
        </row>
        <row r="137">
          <cell r="A137" t="str">
            <v>NT Plant&amp;Pre-Rigid8R-30</v>
          </cell>
          <cell r="B137" t="str">
            <v>NT Plant&amp;Pre-Rigid</v>
          </cell>
          <cell r="C137" t="str">
            <v>8R-30</v>
          </cell>
          <cell r="D137">
            <v>20</v>
          </cell>
          <cell r="E137">
            <v>6.5</v>
          </cell>
          <cell r="F137">
            <v>0.65</v>
          </cell>
          <cell r="G137">
            <v>9.7633136094674555E-2</v>
          </cell>
          <cell r="H137">
            <v>31304</v>
          </cell>
          <cell r="I137">
            <v>45</v>
          </cell>
          <cell r="J137">
            <v>45</v>
          </cell>
          <cell r="K137">
            <v>8</v>
          </cell>
          <cell r="L137">
            <v>150</v>
          </cell>
          <cell r="M137">
            <v>0</v>
          </cell>
          <cell r="N137">
            <v>1200</v>
          </cell>
          <cell r="O137">
            <v>1</v>
          </cell>
          <cell r="P137">
            <v>0.27</v>
          </cell>
          <cell r="Q137">
            <v>1.4</v>
          </cell>
          <cell r="R137">
            <v>593.59654122936206</v>
          </cell>
          <cell r="S137">
            <v>3.9573102748624138</v>
          </cell>
          <cell r="T137">
            <v>1760.85</v>
          </cell>
          <cell r="U137">
            <v>11.738999999999999</v>
          </cell>
          <cell r="V137">
            <v>14086.8</v>
          </cell>
          <cell r="W137">
            <v>2152.15</v>
          </cell>
          <cell r="X137">
            <v>22695.4</v>
          </cell>
          <cell r="Y137">
            <v>1815.6320000000001</v>
          </cell>
          <cell r="Z137">
            <v>544.68960000000004</v>
          </cell>
          <cell r="AA137">
            <v>4512.4716000000008</v>
          </cell>
          <cell r="AB137">
            <v>30.083144000000004</v>
          </cell>
        </row>
        <row r="138">
          <cell r="A138" t="str">
            <v>NT Plant&amp;Pre-Rigid8R-40</v>
          </cell>
          <cell r="B138" t="str">
            <v>NT Plant&amp;Pre-Rigid</v>
          </cell>
          <cell r="C138" t="str">
            <v>8R-40</v>
          </cell>
          <cell r="D138">
            <v>26.7</v>
          </cell>
          <cell r="E138">
            <v>6.5</v>
          </cell>
          <cell r="F138">
            <v>0.65</v>
          </cell>
          <cell r="G138">
            <v>7.3133435276909783E-2</v>
          </cell>
          <cell r="H138">
            <v>30886</v>
          </cell>
          <cell r="I138">
            <v>45</v>
          </cell>
          <cell r="J138">
            <v>45</v>
          </cell>
          <cell r="K138">
            <v>8</v>
          </cell>
          <cell r="L138">
            <v>150</v>
          </cell>
          <cell r="M138">
            <v>0</v>
          </cell>
          <cell r="N138">
            <v>1200</v>
          </cell>
          <cell r="O138">
            <v>1</v>
          </cell>
          <cell r="P138">
            <v>0.27</v>
          </cell>
          <cell r="Q138">
            <v>1.4</v>
          </cell>
          <cell r="R138">
            <v>585.67029045521599</v>
          </cell>
          <cell r="S138">
            <v>3.9044686030347733</v>
          </cell>
          <cell r="T138">
            <v>1737.3375000000001</v>
          </cell>
          <cell r="U138">
            <v>11.58225</v>
          </cell>
          <cell r="V138">
            <v>13898.7</v>
          </cell>
          <cell r="W138">
            <v>2123.4124999999999</v>
          </cell>
          <cell r="X138">
            <v>22392.35</v>
          </cell>
          <cell r="Y138">
            <v>1791.3879999999999</v>
          </cell>
          <cell r="Z138">
            <v>537.41639999999995</v>
          </cell>
          <cell r="AA138">
            <v>4452.2168999999994</v>
          </cell>
          <cell r="AB138">
            <v>29.681445999999998</v>
          </cell>
        </row>
        <row r="139">
          <cell r="A139" t="str">
            <v>NT Plant-Folding10R-30</v>
          </cell>
          <cell r="B139" t="str">
            <v>NT Plant-Folding</v>
          </cell>
          <cell r="C139" t="str">
            <v>10R-30</v>
          </cell>
          <cell r="D139">
            <v>25</v>
          </cell>
          <cell r="E139">
            <v>6.75</v>
          </cell>
          <cell r="F139">
            <v>0.65</v>
          </cell>
          <cell r="G139">
            <v>7.521367521367521E-2</v>
          </cell>
          <cell r="H139">
            <v>46899</v>
          </cell>
          <cell r="I139">
            <v>45</v>
          </cell>
          <cell r="J139">
            <v>45</v>
          </cell>
          <cell r="K139">
            <v>8</v>
          </cell>
          <cell r="L139">
            <v>150</v>
          </cell>
          <cell r="M139">
            <v>0</v>
          </cell>
          <cell r="N139">
            <v>1200</v>
          </cell>
          <cell r="O139">
            <v>1</v>
          </cell>
          <cell r="P139">
            <v>0.27</v>
          </cell>
          <cell r="Q139">
            <v>1.4</v>
          </cell>
          <cell r="R139">
            <v>889.3139594657506</v>
          </cell>
          <cell r="S139">
            <v>5.928759729771671</v>
          </cell>
          <cell r="T139">
            <v>2638.0687499999999</v>
          </cell>
          <cell r="U139">
            <v>17.587125</v>
          </cell>
          <cell r="V139">
            <v>21104.55</v>
          </cell>
          <cell r="W139">
            <v>3224.3062500000001</v>
          </cell>
          <cell r="X139">
            <v>34001.775000000001</v>
          </cell>
          <cell r="Y139">
            <v>2720.1420000000003</v>
          </cell>
          <cell r="Z139">
            <v>816.04260000000011</v>
          </cell>
          <cell r="AA139">
            <v>6760.4908500000001</v>
          </cell>
          <cell r="AB139">
            <v>45.069938999999998</v>
          </cell>
        </row>
        <row r="140">
          <cell r="A140" t="str">
            <v>NT Plant-Folding10R-40</v>
          </cell>
          <cell r="B140" t="str">
            <v>NT Plant-Folding</v>
          </cell>
          <cell r="C140" t="str">
            <v>10R-40</v>
          </cell>
          <cell r="D140">
            <v>33.299999999999997</v>
          </cell>
          <cell r="E140">
            <v>6.75</v>
          </cell>
          <cell r="F140">
            <v>0.65</v>
          </cell>
          <cell r="G140">
            <v>5.646672313338981E-2</v>
          </cell>
          <cell r="H140">
            <v>47457</v>
          </cell>
          <cell r="I140">
            <v>45</v>
          </cell>
          <cell r="J140">
            <v>45</v>
          </cell>
          <cell r="K140">
            <v>8</v>
          </cell>
          <cell r="L140">
            <v>150</v>
          </cell>
          <cell r="M140">
            <v>0</v>
          </cell>
          <cell r="N140">
            <v>1200</v>
          </cell>
          <cell r="O140">
            <v>1</v>
          </cell>
          <cell r="P140">
            <v>0.27</v>
          </cell>
          <cell r="Q140">
            <v>1.4</v>
          </cell>
          <cell r="R140">
            <v>899.89493537956298</v>
          </cell>
          <cell r="S140">
            <v>5.9992995691970865</v>
          </cell>
          <cell r="T140">
            <v>2669.4562500000002</v>
          </cell>
          <cell r="U140">
            <v>17.796375000000001</v>
          </cell>
          <cell r="V140">
            <v>21355.65</v>
          </cell>
          <cell r="W140">
            <v>3262.6687499999998</v>
          </cell>
          <cell r="X140">
            <v>34406.324999999997</v>
          </cell>
          <cell r="Y140">
            <v>2752.5059999999999</v>
          </cell>
          <cell r="Z140">
            <v>825.7518</v>
          </cell>
          <cell r="AA140">
            <v>6840.9265500000001</v>
          </cell>
          <cell r="AB140">
            <v>45.606177000000002</v>
          </cell>
        </row>
        <row r="141">
          <cell r="A141" t="str">
            <v>NT Plant-Folding12R-20</v>
          </cell>
          <cell r="B141" t="str">
            <v>NT Plant-Folding</v>
          </cell>
          <cell r="C141" t="str">
            <v>12R-20</v>
          </cell>
          <cell r="D141">
            <v>20</v>
          </cell>
          <cell r="E141">
            <v>6.75</v>
          </cell>
          <cell r="F141">
            <v>0.65</v>
          </cell>
          <cell r="G141">
            <v>9.4017094017094016E-2</v>
          </cell>
          <cell r="H141">
            <v>45801</v>
          </cell>
          <cell r="I141">
            <v>45</v>
          </cell>
          <cell r="J141">
            <v>45</v>
          </cell>
          <cell r="K141">
            <v>8</v>
          </cell>
          <cell r="L141">
            <v>150</v>
          </cell>
          <cell r="M141">
            <v>0</v>
          </cell>
          <cell r="N141">
            <v>1200</v>
          </cell>
          <cell r="O141">
            <v>1</v>
          </cell>
          <cell r="P141">
            <v>0.27</v>
          </cell>
          <cell r="Q141">
            <v>1.4</v>
          </cell>
          <cell r="R141">
            <v>868.49332944179696</v>
          </cell>
          <cell r="S141">
            <v>5.78995552961198</v>
          </cell>
          <cell r="T141">
            <v>2576.3062500000001</v>
          </cell>
          <cell r="U141">
            <v>17.175374999999999</v>
          </cell>
          <cell r="V141">
            <v>20610.45</v>
          </cell>
          <cell r="W141">
            <v>3148.8187499999999</v>
          </cell>
          <cell r="X141">
            <v>33205.724999999999</v>
          </cell>
          <cell r="Y141">
            <v>2656.4580000000001</v>
          </cell>
          <cell r="Z141">
            <v>796.93740000000003</v>
          </cell>
          <cell r="AA141">
            <v>6602.2141499999998</v>
          </cell>
          <cell r="AB141">
            <v>44.014761</v>
          </cell>
        </row>
        <row r="142">
          <cell r="A142" t="str">
            <v>NT Plant-Folding12R-30</v>
          </cell>
          <cell r="B142" t="str">
            <v>NT Plant-Folding</v>
          </cell>
          <cell r="C142" t="str">
            <v>12R-30</v>
          </cell>
          <cell r="D142">
            <v>30</v>
          </cell>
          <cell r="E142">
            <v>6.75</v>
          </cell>
          <cell r="F142">
            <v>0.65</v>
          </cell>
          <cell r="G142">
            <v>6.2678062678062682E-2</v>
          </cell>
          <cell r="H142">
            <v>52061</v>
          </cell>
          <cell r="I142">
            <v>45</v>
          </cell>
          <cell r="J142">
            <v>45</v>
          </cell>
          <cell r="K142">
            <v>8</v>
          </cell>
          <cell r="L142">
            <v>150</v>
          </cell>
          <cell r="M142">
            <v>0</v>
          </cell>
          <cell r="N142">
            <v>1200</v>
          </cell>
          <cell r="O142">
            <v>1</v>
          </cell>
          <cell r="P142">
            <v>0.27</v>
          </cell>
          <cell r="Q142">
            <v>1.4</v>
          </cell>
          <cell r="R142">
            <v>987.19746782972857</v>
          </cell>
          <cell r="S142">
            <v>6.5813164521981902</v>
          </cell>
          <cell r="T142">
            <v>2928.4312500000001</v>
          </cell>
          <cell r="U142">
            <v>19.522874999999999</v>
          </cell>
          <cell r="V142">
            <v>23427.45</v>
          </cell>
          <cell r="W142">
            <v>3579.1937499999999</v>
          </cell>
          <cell r="X142">
            <v>37744.224999999999</v>
          </cell>
          <cell r="Y142">
            <v>3019.538</v>
          </cell>
          <cell r="Z142">
            <v>905.8614</v>
          </cell>
          <cell r="AA142">
            <v>7504.5931500000006</v>
          </cell>
          <cell r="AB142">
            <v>50.030621000000004</v>
          </cell>
        </row>
        <row r="143">
          <cell r="A143" t="str">
            <v>NT Plant-Folding12R-40</v>
          </cell>
          <cell r="B143" t="str">
            <v>NT Plant-Folding</v>
          </cell>
          <cell r="C143" t="str">
            <v>12R-40</v>
          </cell>
          <cell r="D143">
            <v>40</v>
          </cell>
          <cell r="E143">
            <v>6.75</v>
          </cell>
          <cell r="F143">
            <v>0.65</v>
          </cell>
          <cell r="G143">
            <v>4.7008547008547008E-2</v>
          </cell>
          <cell r="H143">
            <v>49576</v>
          </cell>
          <cell r="I143">
            <v>45</v>
          </cell>
          <cell r="J143">
            <v>45</v>
          </cell>
          <cell r="K143">
            <v>8</v>
          </cell>
          <cell r="L143">
            <v>150</v>
          </cell>
          <cell r="M143">
            <v>0</v>
          </cell>
          <cell r="N143">
            <v>1200</v>
          </cell>
          <cell r="O143">
            <v>1</v>
          </cell>
          <cell r="P143">
            <v>0.27</v>
          </cell>
          <cell r="Q143">
            <v>1.4</v>
          </cell>
          <cell r="R143">
            <v>940.07609660065339</v>
          </cell>
          <cell r="S143">
            <v>6.2671739773376895</v>
          </cell>
          <cell r="T143">
            <v>2788.65</v>
          </cell>
          <cell r="U143">
            <v>18.591000000000001</v>
          </cell>
          <cell r="V143">
            <v>22309.200000000001</v>
          </cell>
          <cell r="W143">
            <v>3408.35</v>
          </cell>
          <cell r="X143">
            <v>35942.6</v>
          </cell>
          <cell r="Y143">
            <v>2875.4079999999999</v>
          </cell>
          <cell r="Z143">
            <v>862.62239999999997</v>
          </cell>
          <cell r="AA143">
            <v>7146.3804</v>
          </cell>
          <cell r="AB143">
            <v>47.642536</v>
          </cell>
        </row>
        <row r="144">
          <cell r="A144" t="str">
            <v>NT Plant-Folding16R-30</v>
          </cell>
          <cell r="B144" t="str">
            <v>NT Plant-Folding</v>
          </cell>
          <cell r="C144" t="str">
            <v>16R-30</v>
          </cell>
          <cell r="D144">
            <v>40</v>
          </cell>
          <cell r="E144">
            <v>6.75</v>
          </cell>
          <cell r="F144">
            <v>0.65</v>
          </cell>
          <cell r="G144">
            <v>4.7008547008547008E-2</v>
          </cell>
          <cell r="H144">
            <v>72476</v>
          </cell>
          <cell r="I144">
            <v>45</v>
          </cell>
          <cell r="J144">
            <v>45</v>
          </cell>
          <cell r="K144">
            <v>8</v>
          </cell>
          <cell r="L144">
            <v>150</v>
          </cell>
          <cell r="M144">
            <v>0</v>
          </cell>
          <cell r="N144">
            <v>1200</v>
          </cell>
          <cell r="O144">
            <v>1</v>
          </cell>
          <cell r="P144">
            <v>0.27</v>
          </cell>
          <cell r="Q144">
            <v>1.4</v>
          </cell>
          <cell r="R144">
            <v>1374.3132801603388</v>
          </cell>
          <cell r="S144">
            <v>9.1620885344022582</v>
          </cell>
          <cell r="T144">
            <v>4076.7750000000001</v>
          </cell>
          <cell r="U144">
            <v>27.1785</v>
          </cell>
          <cell r="V144">
            <v>32614.2</v>
          </cell>
          <cell r="W144">
            <v>4982.7250000000004</v>
          </cell>
          <cell r="X144">
            <v>52545.1</v>
          </cell>
          <cell r="Y144">
            <v>4203.6080000000002</v>
          </cell>
          <cell r="Z144">
            <v>1261.0824</v>
          </cell>
          <cell r="AA144">
            <v>10447.415400000002</v>
          </cell>
          <cell r="AB144">
            <v>69.649436000000009</v>
          </cell>
        </row>
        <row r="145">
          <cell r="A145" t="str">
            <v>NT Plant-Folding23R-15</v>
          </cell>
          <cell r="B145" t="str">
            <v>NT Plant-Folding</v>
          </cell>
          <cell r="C145" t="str">
            <v>23R-15</v>
          </cell>
          <cell r="D145">
            <v>28.8</v>
          </cell>
          <cell r="E145">
            <v>6.75</v>
          </cell>
          <cell r="F145">
            <v>0.65</v>
          </cell>
          <cell r="G145">
            <v>6.5289648622981949E-2</v>
          </cell>
          <cell r="H145">
            <v>84142</v>
          </cell>
          <cell r="I145">
            <v>45</v>
          </cell>
          <cell r="J145">
            <v>45</v>
          </cell>
          <cell r="K145">
            <v>8</v>
          </cell>
          <cell r="L145">
            <v>150</v>
          </cell>
          <cell r="M145">
            <v>0</v>
          </cell>
          <cell r="N145">
            <v>1200</v>
          </cell>
          <cell r="O145">
            <v>1</v>
          </cell>
          <cell r="P145">
            <v>0.27</v>
          </cell>
          <cell r="Q145">
            <v>1.4</v>
          </cell>
          <cell r="R145">
            <v>1595.5277335842379</v>
          </cell>
          <cell r="S145">
            <v>10.636851557228253</v>
          </cell>
          <cell r="T145">
            <v>4732.9875000000002</v>
          </cell>
          <cell r="U145">
            <v>31.553250000000002</v>
          </cell>
          <cell r="V145">
            <v>37863.9</v>
          </cell>
          <cell r="W145">
            <v>5784.7624999999998</v>
          </cell>
          <cell r="X145">
            <v>61002.95</v>
          </cell>
          <cell r="Y145">
            <v>4880.2359999999999</v>
          </cell>
          <cell r="Z145">
            <v>1464.0708</v>
          </cell>
          <cell r="AA145">
            <v>12129.069299999999</v>
          </cell>
          <cell r="AB145">
            <v>80.860461999999998</v>
          </cell>
        </row>
        <row r="146">
          <cell r="A146" t="str">
            <v>NT Plant-Folding24R-20</v>
          </cell>
          <cell r="B146" t="str">
            <v>NT Plant-Folding</v>
          </cell>
          <cell r="C146" t="str">
            <v>24R-20</v>
          </cell>
          <cell r="D146">
            <v>40</v>
          </cell>
          <cell r="E146">
            <v>6.75</v>
          </cell>
          <cell r="F146">
            <v>0.65</v>
          </cell>
          <cell r="G146">
            <v>4.7008547008547008E-2</v>
          </cell>
          <cell r="H146">
            <v>99344</v>
          </cell>
          <cell r="I146">
            <v>45</v>
          </cell>
          <cell r="J146">
            <v>45</v>
          </cell>
          <cell r="K146">
            <v>8</v>
          </cell>
          <cell r="L146">
            <v>150</v>
          </cell>
          <cell r="M146">
            <v>0</v>
          </cell>
          <cell r="N146">
            <v>1200</v>
          </cell>
          <cell r="O146">
            <v>1</v>
          </cell>
          <cell r="P146">
            <v>0.27</v>
          </cell>
          <cell r="Q146">
            <v>1.4</v>
          </cell>
          <cell r="R146">
            <v>1883.7929591071347</v>
          </cell>
          <cell r="S146">
            <v>12.558619727380899</v>
          </cell>
          <cell r="T146">
            <v>5588.1</v>
          </cell>
          <cell r="U146">
            <v>37.254000000000005</v>
          </cell>
          <cell r="V146">
            <v>44704.800000000003</v>
          </cell>
          <cell r="W146">
            <v>6829.9</v>
          </cell>
          <cell r="X146">
            <v>72024.399999999994</v>
          </cell>
          <cell r="Y146">
            <v>5761.9519999999993</v>
          </cell>
          <cell r="Z146">
            <v>1728.5855999999999</v>
          </cell>
          <cell r="AA146">
            <v>14320.437599999999</v>
          </cell>
          <cell r="AB146">
            <v>95.469583999999998</v>
          </cell>
        </row>
        <row r="147">
          <cell r="A147" t="str">
            <v>NT Plant-Folding24R-30</v>
          </cell>
          <cell r="B147" t="str">
            <v>NT Plant-Folding</v>
          </cell>
          <cell r="C147" t="str">
            <v>24R-30</v>
          </cell>
          <cell r="D147">
            <v>60</v>
          </cell>
          <cell r="E147">
            <v>6.75</v>
          </cell>
          <cell r="F147">
            <v>0.65</v>
          </cell>
          <cell r="G147">
            <v>3.1339031339031341E-2</v>
          </cell>
          <cell r="H147">
            <v>108974</v>
          </cell>
          <cell r="I147">
            <v>45</v>
          </cell>
          <cell r="J147">
            <v>45</v>
          </cell>
          <cell r="K147">
            <v>8</v>
          </cell>
          <cell r="L147">
            <v>150</v>
          </cell>
          <cell r="M147">
            <v>0</v>
          </cell>
          <cell r="N147">
            <v>1200</v>
          </cell>
          <cell r="O147">
            <v>1</v>
          </cell>
          <cell r="P147">
            <v>0.27</v>
          </cell>
          <cell r="Q147">
            <v>1.4</v>
          </cell>
          <cell r="R147">
            <v>2066.4001240713169</v>
          </cell>
          <cell r="S147">
            <v>13.776000827142113</v>
          </cell>
          <cell r="T147">
            <v>6129.7875000000004</v>
          </cell>
          <cell r="U147">
            <v>40.865250000000003</v>
          </cell>
          <cell r="V147">
            <v>49038.3</v>
          </cell>
          <cell r="W147">
            <v>7491.9624999999996</v>
          </cell>
          <cell r="X147">
            <v>79006.149999999994</v>
          </cell>
          <cell r="Y147">
            <v>6320.4919999999993</v>
          </cell>
          <cell r="Z147">
            <v>1896.1476</v>
          </cell>
          <cell r="AA147">
            <v>15708.602099999998</v>
          </cell>
          <cell r="AB147">
            <v>104.72401399999998</v>
          </cell>
        </row>
        <row r="148">
          <cell r="A148" t="str">
            <v>NT Plant-Folding8R-40</v>
          </cell>
          <cell r="B148" t="str">
            <v>NT Plant-Folding</v>
          </cell>
          <cell r="C148" t="str">
            <v>8R-40</v>
          </cell>
          <cell r="D148">
            <v>26.7</v>
          </cell>
          <cell r="E148">
            <v>6.75</v>
          </cell>
          <cell r="F148">
            <v>0.65</v>
          </cell>
          <cell r="G148">
            <v>7.042478952591312E-2</v>
          </cell>
          <cell r="H148">
            <v>34244</v>
          </cell>
          <cell r="I148">
            <v>45</v>
          </cell>
          <cell r="J148">
            <v>45</v>
          </cell>
          <cell r="K148">
            <v>8</v>
          </cell>
          <cell r="L148">
            <v>150</v>
          </cell>
          <cell r="M148">
            <v>0</v>
          </cell>
          <cell r="N148">
            <v>1200</v>
          </cell>
          <cell r="O148">
            <v>1</v>
          </cell>
          <cell r="P148">
            <v>0.27</v>
          </cell>
          <cell r="Q148">
            <v>1.4</v>
          </cell>
          <cell r="R148">
            <v>649.34576916235233</v>
          </cell>
          <cell r="S148">
            <v>4.3289717944156818</v>
          </cell>
          <cell r="T148">
            <v>1926.2249999999999</v>
          </cell>
          <cell r="U148">
            <v>12.8415</v>
          </cell>
          <cell r="V148">
            <v>15409.8</v>
          </cell>
          <cell r="W148">
            <v>2354.2750000000001</v>
          </cell>
          <cell r="X148">
            <v>24826.9</v>
          </cell>
          <cell r="Y148">
            <v>1986.1520000000003</v>
          </cell>
          <cell r="Z148">
            <v>595.8456000000001</v>
          </cell>
          <cell r="AA148">
            <v>4936.2726000000002</v>
          </cell>
          <cell r="AB148">
            <v>32.908484000000001</v>
          </cell>
        </row>
        <row r="149">
          <cell r="A149" t="str">
            <v>NT Plant-Folding8R-40 2x1</v>
          </cell>
          <cell r="B149" t="str">
            <v>NT Plant-Folding</v>
          </cell>
          <cell r="C149" t="str">
            <v>8R-40 2x1</v>
          </cell>
          <cell r="D149">
            <v>40</v>
          </cell>
          <cell r="E149">
            <v>6.75</v>
          </cell>
          <cell r="F149">
            <v>0.65</v>
          </cell>
          <cell r="G149">
            <v>4.7008547008547008E-2</v>
          </cell>
          <cell r="H149">
            <v>49576</v>
          </cell>
          <cell r="I149">
            <v>45</v>
          </cell>
          <cell r="J149">
            <v>45</v>
          </cell>
          <cell r="K149">
            <v>8</v>
          </cell>
          <cell r="L149">
            <v>150</v>
          </cell>
          <cell r="M149">
            <v>0</v>
          </cell>
          <cell r="N149">
            <v>1200</v>
          </cell>
          <cell r="O149">
            <v>1</v>
          </cell>
          <cell r="P149">
            <v>0.27</v>
          </cell>
          <cell r="Q149">
            <v>1.4</v>
          </cell>
          <cell r="R149">
            <v>940.07609660065339</v>
          </cell>
          <cell r="S149">
            <v>6.2671739773376895</v>
          </cell>
          <cell r="T149">
            <v>2788.65</v>
          </cell>
          <cell r="U149">
            <v>18.591000000000001</v>
          </cell>
          <cell r="V149">
            <v>22309.200000000001</v>
          </cell>
          <cell r="W149">
            <v>3408.35</v>
          </cell>
          <cell r="X149">
            <v>35942.6</v>
          </cell>
          <cell r="Y149">
            <v>2875.4079999999999</v>
          </cell>
          <cell r="Z149">
            <v>862.62239999999997</v>
          </cell>
          <cell r="AA149">
            <v>7146.3804</v>
          </cell>
          <cell r="AB149">
            <v>47.642536</v>
          </cell>
        </row>
        <row r="150">
          <cell r="A150" t="str">
            <v>NT Plant-Rigid10R-30</v>
          </cell>
          <cell r="B150" t="str">
            <v>NT Plant-Rigid</v>
          </cell>
          <cell r="C150" t="str">
            <v>10R-30</v>
          </cell>
          <cell r="D150">
            <v>25</v>
          </cell>
          <cell r="E150">
            <v>6.75</v>
          </cell>
          <cell r="F150">
            <v>0.65</v>
          </cell>
          <cell r="G150">
            <v>7.521367521367521E-2</v>
          </cell>
          <cell r="H150">
            <v>28336</v>
          </cell>
          <cell r="I150">
            <v>45</v>
          </cell>
          <cell r="J150">
            <v>45</v>
          </cell>
          <cell r="K150">
            <v>8</v>
          </cell>
          <cell r="L150">
            <v>150</v>
          </cell>
          <cell r="M150">
            <v>0</v>
          </cell>
          <cell r="N150">
            <v>1200</v>
          </cell>
          <cell r="O150">
            <v>1</v>
          </cell>
          <cell r="P150">
            <v>0.27</v>
          </cell>
          <cell r="Q150">
            <v>1.4</v>
          </cell>
          <cell r="R150">
            <v>537.31636826843862</v>
          </cell>
          <cell r="S150">
            <v>3.5821091217895908</v>
          </cell>
          <cell r="T150">
            <v>1593.9</v>
          </cell>
          <cell r="U150">
            <v>10.626000000000001</v>
          </cell>
          <cell r="V150">
            <v>12751.2</v>
          </cell>
          <cell r="W150">
            <v>1948.1</v>
          </cell>
          <cell r="X150">
            <v>20543.599999999999</v>
          </cell>
          <cell r="Y150">
            <v>1643.4879999999998</v>
          </cell>
          <cell r="Z150">
            <v>493.04639999999995</v>
          </cell>
          <cell r="AA150">
            <v>4084.6343999999995</v>
          </cell>
          <cell r="AB150">
            <v>27.230895999999998</v>
          </cell>
        </row>
        <row r="151">
          <cell r="A151" t="str">
            <v>NT Plant-Rigid12R-20</v>
          </cell>
          <cell r="B151" t="str">
            <v>NT Plant-Rigid</v>
          </cell>
          <cell r="C151" t="str">
            <v>12R-20</v>
          </cell>
          <cell r="D151">
            <v>20</v>
          </cell>
          <cell r="E151">
            <v>6.75</v>
          </cell>
          <cell r="F151">
            <v>0.65</v>
          </cell>
          <cell r="G151">
            <v>9.4017094017094016E-2</v>
          </cell>
          <cell r="H151">
            <v>33589</v>
          </cell>
          <cell r="I151">
            <v>45</v>
          </cell>
          <cell r="J151">
            <v>45</v>
          </cell>
          <cell r="K151">
            <v>8</v>
          </cell>
          <cell r="L151">
            <v>150</v>
          </cell>
          <cell r="M151">
            <v>0</v>
          </cell>
          <cell r="N151">
            <v>1200</v>
          </cell>
          <cell r="O151">
            <v>1</v>
          </cell>
          <cell r="P151">
            <v>0.27</v>
          </cell>
          <cell r="Q151">
            <v>1.4</v>
          </cell>
          <cell r="R151">
            <v>636.92544797319977</v>
          </cell>
          <cell r="S151">
            <v>4.2461696531546655</v>
          </cell>
          <cell r="T151">
            <v>1889.3812499999999</v>
          </cell>
          <cell r="U151">
            <v>12.595874999999999</v>
          </cell>
          <cell r="V151">
            <v>15115.05</v>
          </cell>
          <cell r="W151">
            <v>2309.2437500000001</v>
          </cell>
          <cell r="X151">
            <v>24352.025000000001</v>
          </cell>
          <cell r="Y151">
            <v>1948.1620000000003</v>
          </cell>
          <cell r="Z151">
            <v>584.44860000000006</v>
          </cell>
          <cell r="AA151">
            <v>4841.8543500000005</v>
          </cell>
          <cell r="AB151">
            <v>32.279029000000001</v>
          </cell>
        </row>
        <row r="152">
          <cell r="A152" t="str">
            <v>NT Plant-Rigid12R-30</v>
          </cell>
          <cell r="B152" t="str">
            <v>NT Plant-Rigid</v>
          </cell>
          <cell r="C152" t="str">
            <v>12R-30</v>
          </cell>
          <cell r="D152">
            <v>30</v>
          </cell>
          <cell r="E152">
            <v>6.75</v>
          </cell>
          <cell r="F152">
            <v>0.65</v>
          </cell>
          <cell r="G152">
            <v>6.2678062678062682E-2</v>
          </cell>
          <cell r="H152">
            <v>48522</v>
          </cell>
          <cell r="I152">
            <v>45</v>
          </cell>
          <cell r="J152">
            <v>45</v>
          </cell>
          <cell r="K152">
            <v>8</v>
          </cell>
          <cell r="L152">
            <v>150</v>
          </cell>
          <cell r="M152">
            <v>0</v>
          </cell>
          <cell r="N152">
            <v>1200</v>
          </cell>
          <cell r="O152">
            <v>1</v>
          </cell>
          <cell r="P152">
            <v>0.27</v>
          </cell>
          <cell r="Q152">
            <v>1.4</v>
          </cell>
          <cell r="R152">
            <v>920.0898087634522</v>
          </cell>
          <cell r="S152">
            <v>6.1339320584230146</v>
          </cell>
          <cell r="T152">
            <v>2729.3625000000002</v>
          </cell>
          <cell r="U152">
            <v>18.19575</v>
          </cell>
          <cell r="V152">
            <v>21834.9</v>
          </cell>
          <cell r="W152">
            <v>3335.8874999999998</v>
          </cell>
          <cell r="X152">
            <v>35178.449999999997</v>
          </cell>
          <cell r="Y152">
            <v>2814.2759999999998</v>
          </cell>
          <cell r="Z152">
            <v>844.28279999999995</v>
          </cell>
          <cell r="AA152">
            <v>6994.4462999999996</v>
          </cell>
          <cell r="AB152">
            <v>46.629641999999997</v>
          </cell>
        </row>
        <row r="153">
          <cell r="A153" t="str">
            <v>NT Plant-Rigid4R-30</v>
          </cell>
          <cell r="B153" t="str">
            <v>NT Plant-Rigid</v>
          </cell>
          <cell r="C153" t="str">
            <v>4R-30</v>
          </cell>
          <cell r="D153">
            <v>10</v>
          </cell>
          <cell r="E153">
            <v>6.75</v>
          </cell>
          <cell r="F153">
            <v>0.65</v>
          </cell>
          <cell r="G153">
            <v>0.18803418803418803</v>
          </cell>
          <cell r="H153">
            <v>15824</v>
          </cell>
          <cell r="I153">
            <v>45</v>
          </cell>
          <cell r="J153">
            <v>45</v>
          </cell>
          <cell r="K153">
            <v>8</v>
          </cell>
          <cell r="L153">
            <v>150</v>
          </cell>
          <cell r="M153">
            <v>0</v>
          </cell>
          <cell r="N153">
            <v>1200</v>
          </cell>
          <cell r="O153">
            <v>1</v>
          </cell>
          <cell r="P153">
            <v>0.27</v>
          </cell>
          <cell r="Q153">
            <v>1.4</v>
          </cell>
          <cell r="R153">
            <v>300.05979007198528</v>
          </cell>
          <cell r="S153">
            <v>2.0003986004799019</v>
          </cell>
          <cell r="T153">
            <v>890.1</v>
          </cell>
          <cell r="U153">
            <v>5.9340000000000002</v>
          </cell>
          <cell r="V153">
            <v>7120.8</v>
          </cell>
          <cell r="W153">
            <v>1087.9000000000001</v>
          </cell>
          <cell r="X153">
            <v>11472.4</v>
          </cell>
          <cell r="Y153">
            <v>917.79200000000003</v>
          </cell>
          <cell r="Z153">
            <v>275.33760000000001</v>
          </cell>
          <cell r="AA153">
            <v>2281.0295999999998</v>
          </cell>
          <cell r="AB153">
            <v>15.206863999999999</v>
          </cell>
        </row>
        <row r="154">
          <cell r="A154" t="str">
            <v>NT Plant-Rigid4R-40</v>
          </cell>
          <cell r="B154" t="str">
            <v>NT Plant-Rigid</v>
          </cell>
          <cell r="C154" t="str">
            <v>4R-40</v>
          </cell>
          <cell r="D154">
            <v>13.3</v>
          </cell>
          <cell r="E154">
            <v>6.75</v>
          </cell>
          <cell r="F154">
            <v>0.65</v>
          </cell>
          <cell r="G154">
            <v>0.14137908874750979</v>
          </cell>
          <cell r="H154">
            <v>15399</v>
          </cell>
          <cell r="I154">
            <v>45</v>
          </cell>
          <cell r="J154">
            <v>45</v>
          </cell>
          <cell r="K154">
            <v>8</v>
          </cell>
          <cell r="L154">
            <v>150</v>
          </cell>
          <cell r="M154">
            <v>0</v>
          </cell>
          <cell r="N154">
            <v>1200</v>
          </cell>
          <cell r="O154">
            <v>1</v>
          </cell>
          <cell r="P154">
            <v>0.27</v>
          </cell>
          <cell r="Q154">
            <v>1.4</v>
          </cell>
          <cell r="R154">
            <v>292.00080304085571</v>
          </cell>
          <cell r="S154">
            <v>1.9466720202723715</v>
          </cell>
          <cell r="T154">
            <v>866.19375000000002</v>
          </cell>
          <cell r="U154">
            <v>5.7746250000000003</v>
          </cell>
          <cell r="V154">
            <v>6929.55</v>
          </cell>
          <cell r="W154">
            <v>1058.6812500000001</v>
          </cell>
          <cell r="X154">
            <v>11164.275</v>
          </cell>
          <cell r="Y154">
            <v>893.14199999999994</v>
          </cell>
          <cell r="Z154">
            <v>267.94259999999997</v>
          </cell>
          <cell r="AA154">
            <v>2219.7658499999998</v>
          </cell>
          <cell r="AB154">
            <v>14.798438999999998</v>
          </cell>
        </row>
        <row r="155">
          <cell r="A155" t="str">
            <v>NT Plant-Rigid6R-30</v>
          </cell>
          <cell r="B155" t="str">
            <v>NT Plant-Rigid</v>
          </cell>
          <cell r="C155" t="str">
            <v>6R-30</v>
          </cell>
          <cell r="D155">
            <v>15</v>
          </cell>
          <cell r="E155">
            <v>6.75</v>
          </cell>
          <cell r="F155">
            <v>0.65</v>
          </cell>
          <cell r="G155">
            <v>0.12535612535612536</v>
          </cell>
          <cell r="H155">
            <v>20831</v>
          </cell>
          <cell r="I155">
            <v>45</v>
          </cell>
          <cell r="J155">
            <v>45</v>
          </cell>
          <cell r="K155">
            <v>8</v>
          </cell>
          <cell r="L155">
            <v>150</v>
          </cell>
          <cell r="M155">
            <v>0</v>
          </cell>
          <cell r="N155">
            <v>1200</v>
          </cell>
          <cell r="O155">
            <v>1</v>
          </cell>
          <cell r="P155">
            <v>0.27</v>
          </cell>
          <cell r="Q155">
            <v>1.4</v>
          </cell>
          <cell r="R155">
            <v>395.00413845990425</v>
          </cell>
          <cell r="S155">
            <v>2.6333609230660282</v>
          </cell>
          <cell r="T155">
            <v>1171.7437500000001</v>
          </cell>
          <cell r="U155">
            <v>7.8116250000000003</v>
          </cell>
          <cell r="V155">
            <v>9373.9500000000007</v>
          </cell>
          <cell r="W155">
            <v>1432.1312499999999</v>
          </cell>
          <cell r="X155">
            <v>15102.475</v>
          </cell>
          <cell r="Y155">
            <v>1208.1980000000001</v>
          </cell>
          <cell r="Z155">
            <v>362.45940000000002</v>
          </cell>
          <cell r="AA155">
            <v>3002.78865</v>
          </cell>
          <cell r="AB155">
            <v>20.018591000000001</v>
          </cell>
        </row>
        <row r="156">
          <cell r="A156" t="str">
            <v>NT Plant-Rigid6R-40</v>
          </cell>
          <cell r="B156" t="str">
            <v>NT Plant-Rigid</v>
          </cell>
          <cell r="C156" t="str">
            <v>6R-40</v>
          </cell>
          <cell r="D156">
            <v>20</v>
          </cell>
          <cell r="E156">
            <v>6.75</v>
          </cell>
          <cell r="F156">
            <v>0.65</v>
          </cell>
          <cell r="G156">
            <v>9.4017094017094016E-2</v>
          </cell>
          <cell r="H156">
            <v>20915</v>
          </cell>
          <cell r="I156">
            <v>45</v>
          </cell>
          <cell r="J156">
            <v>45</v>
          </cell>
          <cell r="K156">
            <v>8</v>
          </cell>
          <cell r="L156">
            <v>150</v>
          </cell>
          <cell r="M156">
            <v>0</v>
          </cell>
          <cell r="N156">
            <v>1200</v>
          </cell>
          <cell r="O156">
            <v>1</v>
          </cell>
          <cell r="P156">
            <v>0.27</v>
          </cell>
          <cell r="Q156">
            <v>1.4</v>
          </cell>
          <cell r="R156">
            <v>396.59697354370394</v>
          </cell>
          <cell r="S156">
            <v>2.6439798236246927</v>
          </cell>
          <cell r="T156">
            <v>1176.46875</v>
          </cell>
          <cell r="U156">
            <v>7.8431249999999997</v>
          </cell>
          <cell r="V156">
            <v>9411.75</v>
          </cell>
          <cell r="W156">
            <v>1437.90625</v>
          </cell>
          <cell r="X156">
            <v>15163.375</v>
          </cell>
          <cell r="Y156">
            <v>1213.07</v>
          </cell>
          <cell r="Z156">
            <v>363.92099999999999</v>
          </cell>
          <cell r="AA156">
            <v>3014.89725</v>
          </cell>
          <cell r="AB156">
            <v>20.099315000000001</v>
          </cell>
        </row>
        <row r="157">
          <cell r="A157" t="str">
            <v>NT Plant-Rigid8R-22</v>
          </cell>
          <cell r="B157" t="str">
            <v>NT Plant-Rigid</v>
          </cell>
          <cell r="C157" t="str">
            <v>8R-22</v>
          </cell>
          <cell r="D157">
            <v>14.7</v>
          </cell>
          <cell r="E157">
            <v>6.75</v>
          </cell>
          <cell r="F157">
            <v>0.65</v>
          </cell>
          <cell r="G157">
            <v>0.12791441362869937</v>
          </cell>
          <cell r="H157">
            <v>21142</v>
          </cell>
          <cell r="I157">
            <v>45</v>
          </cell>
          <cell r="J157">
            <v>45</v>
          </cell>
          <cell r="K157">
            <v>8</v>
          </cell>
          <cell r="L157">
            <v>150</v>
          </cell>
          <cell r="M157">
            <v>0</v>
          </cell>
          <cell r="N157">
            <v>1200</v>
          </cell>
          <cell r="O157">
            <v>1</v>
          </cell>
          <cell r="P157">
            <v>0.27</v>
          </cell>
          <cell r="Q157">
            <v>1.4</v>
          </cell>
          <cell r="R157">
            <v>400.90142073444844</v>
          </cell>
          <cell r="S157">
            <v>2.6726761382296562</v>
          </cell>
          <cell r="T157">
            <v>1189.2375</v>
          </cell>
          <cell r="U157">
            <v>7.9282499999999994</v>
          </cell>
          <cell r="V157">
            <v>9513.9</v>
          </cell>
          <cell r="W157">
            <v>1453.5125</v>
          </cell>
          <cell r="X157">
            <v>15327.95</v>
          </cell>
          <cell r="Y157">
            <v>1226.2360000000001</v>
          </cell>
          <cell r="Z157">
            <v>367.87080000000003</v>
          </cell>
          <cell r="AA157">
            <v>3047.6193000000003</v>
          </cell>
          <cell r="AB157">
            <v>20.317462000000003</v>
          </cell>
        </row>
        <row r="158">
          <cell r="A158" t="str">
            <v>NT Plant-Rigid8R-30</v>
          </cell>
          <cell r="B158" t="str">
            <v>NT Plant-Rigid</v>
          </cell>
          <cell r="C158" t="str">
            <v>8R-30</v>
          </cell>
          <cell r="D158">
            <v>20</v>
          </cell>
          <cell r="E158">
            <v>6.75</v>
          </cell>
          <cell r="F158">
            <v>0.65</v>
          </cell>
          <cell r="G158">
            <v>9.4017094017094016E-2</v>
          </cell>
          <cell r="H158">
            <v>25935</v>
          </cell>
          <cell r="I158">
            <v>45</v>
          </cell>
          <cell r="J158">
            <v>45</v>
          </cell>
          <cell r="K158">
            <v>8</v>
          </cell>
          <cell r="L158">
            <v>150</v>
          </cell>
          <cell r="M158">
            <v>0</v>
          </cell>
          <cell r="N158">
            <v>1200</v>
          </cell>
          <cell r="O158">
            <v>1</v>
          </cell>
          <cell r="P158">
            <v>0.27</v>
          </cell>
          <cell r="Q158">
            <v>1.4</v>
          </cell>
          <cell r="R158">
            <v>491.78783212316341</v>
          </cell>
          <cell r="S158">
            <v>3.2785855474877561</v>
          </cell>
          <cell r="T158">
            <v>1458.84375</v>
          </cell>
          <cell r="U158">
            <v>9.7256250000000009</v>
          </cell>
          <cell r="V158">
            <v>11670.75</v>
          </cell>
          <cell r="W158">
            <v>1783.03125</v>
          </cell>
          <cell r="X158">
            <v>18802.875</v>
          </cell>
          <cell r="Y158">
            <v>1504.23</v>
          </cell>
          <cell r="Z158">
            <v>451.26900000000001</v>
          </cell>
          <cell r="AA158">
            <v>3738.5302499999998</v>
          </cell>
          <cell r="AB158">
            <v>24.923534999999998</v>
          </cell>
        </row>
        <row r="159">
          <cell r="A159" t="str">
            <v>NT Plant-Rigid8R-40</v>
          </cell>
          <cell r="B159" t="str">
            <v>NT Plant-Rigid</v>
          </cell>
          <cell r="C159" t="str">
            <v>8R-40</v>
          </cell>
          <cell r="D159">
            <v>26.7</v>
          </cell>
          <cell r="E159">
            <v>6.75</v>
          </cell>
          <cell r="F159">
            <v>0.65</v>
          </cell>
          <cell r="G159">
            <v>7.042478952591312E-2</v>
          </cell>
          <cell r="H159">
            <v>25517</v>
          </cell>
          <cell r="I159">
            <v>45</v>
          </cell>
          <cell r="J159">
            <v>45</v>
          </cell>
          <cell r="K159">
            <v>8</v>
          </cell>
          <cell r="L159">
            <v>150</v>
          </cell>
          <cell r="M159">
            <v>0</v>
          </cell>
          <cell r="N159">
            <v>1200</v>
          </cell>
          <cell r="O159">
            <v>1</v>
          </cell>
          <cell r="P159">
            <v>0.27</v>
          </cell>
          <cell r="Q159">
            <v>1.4</v>
          </cell>
          <cell r="R159">
            <v>483.86158134901711</v>
          </cell>
          <cell r="S159">
            <v>3.2257438756601142</v>
          </cell>
          <cell r="T159">
            <v>1435.33125</v>
          </cell>
          <cell r="U159">
            <v>9.5688750000000002</v>
          </cell>
          <cell r="V159">
            <v>11482.65</v>
          </cell>
          <cell r="W159">
            <v>1754.29375</v>
          </cell>
          <cell r="X159">
            <v>18499.825000000001</v>
          </cell>
          <cell r="Y159">
            <v>1479.9860000000001</v>
          </cell>
          <cell r="Z159">
            <v>443.99580000000003</v>
          </cell>
          <cell r="AA159">
            <v>3678.2755500000003</v>
          </cell>
          <cell r="AB159">
            <v>24.521837000000001</v>
          </cell>
        </row>
        <row r="160">
          <cell r="A160" t="str">
            <v>Paratill &amp; Bed Fold.12R-36</v>
          </cell>
          <cell r="B160" t="str">
            <v>Paratill &amp; Bed Fold.</v>
          </cell>
          <cell r="C160" t="str">
            <v>12R-36</v>
          </cell>
          <cell r="D160">
            <v>36</v>
          </cell>
          <cell r="E160">
            <v>4.75</v>
          </cell>
          <cell r="F160">
            <v>0.85</v>
          </cell>
          <cell r="G160">
            <v>5.6759545923632616E-2</v>
          </cell>
          <cell r="H160">
            <v>47439</v>
          </cell>
          <cell r="I160">
            <v>30</v>
          </cell>
          <cell r="J160">
            <v>65</v>
          </cell>
          <cell r="K160">
            <v>12</v>
          </cell>
          <cell r="L160">
            <v>150</v>
          </cell>
          <cell r="M160">
            <v>0</v>
          </cell>
          <cell r="N160">
            <v>1800</v>
          </cell>
          <cell r="O160">
            <v>1</v>
          </cell>
          <cell r="P160">
            <v>0.27</v>
          </cell>
          <cell r="Q160">
            <v>1.4</v>
          </cell>
          <cell r="R160">
            <v>899.55361357589152</v>
          </cell>
          <cell r="S160">
            <v>5.9970240905059438</v>
          </cell>
          <cell r="T160">
            <v>2569.6124999999997</v>
          </cell>
          <cell r="U160">
            <v>17.130749999999999</v>
          </cell>
          <cell r="V160">
            <v>14231.7</v>
          </cell>
          <cell r="W160">
            <v>2767.2750000000001</v>
          </cell>
          <cell r="X160">
            <v>30835.35</v>
          </cell>
          <cell r="Y160">
            <v>2466.828</v>
          </cell>
          <cell r="Z160">
            <v>740.04840000000002</v>
          </cell>
          <cell r="AA160">
            <v>5974.1514000000006</v>
          </cell>
          <cell r="AB160">
            <v>39.827676000000004</v>
          </cell>
        </row>
        <row r="161">
          <cell r="A161" t="str">
            <v>Paratill &amp; Bed Fold.8R-36</v>
          </cell>
          <cell r="B161" t="str">
            <v>Paratill &amp; Bed Fold.</v>
          </cell>
          <cell r="C161" t="str">
            <v>8R-36</v>
          </cell>
          <cell r="D161">
            <v>24</v>
          </cell>
          <cell r="E161">
            <v>4.75</v>
          </cell>
          <cell r="F161">
            <v>0.85</v>
          </cell>
          <cell r="G161">
            <v>8.5139318885448914E-2</v>
          </cell>
          <cell r="H161">
            <v>29672</v>
          </cell>
          <cell r="I161">
            <v>30</v>
          </cell>
          <cell r="J161">
            <v>65</v>
          </cell>
          <cell r="K161">
            <v>12</v>
          </cell>
          <cell r="L161">
            <v>150</v>
          </cell>
          <cell r="M161">
            <v>0</v>
          </cell>
          <cell r="N161">
            <v>1800</v>
          </cell>
          <cell r="O161">
            <v>1</v>
          </cell>
          <cell r="P161">
            <v>0.27</v>
          </cell>
          <cell r="Q161">
            <v>1.4</v>
          </cell>
          <cell r="R161">
            <v>562.65003102982473</v>
          </cell>
          <cell r="S161">
            <v>3.7510002068654984</v>
          </cell>
          <cell r="T161">
            <v>1607.2333333333333</v>
          </cell>
          <cell r="U161">
            <v>10.71488888888889</v>
          </cell>
          <cell r="V161">
            <v>8901.6</v>
          </cell>
          <cell r="W161">
            <v>1730.8666666666668</v>
          </cell>
          <cell r="X161">
            <v>19286.8</v>
          </cell>
          <cell r="Y161">
            <v>1542.944</v>
          </cell>
          <cell r="Z161">
            <v>462.88319999999999</v>
          </cell>
          <cell r="AA161">
            <v>3736.6938666666665</v>
          </cell>
          <cell r="AB161">
            <v>24.911292444444442</v>
          </cell>
        </row>
        <row r="162">
          <cell r="A162" t="str">
            <v>Paratill &amp; Bed Rigid8R-36</v>
          </cell>
          <cell r="B162" t="str">
            <v>Paratill &amp; Bed Rigid</v>
          </cell>
          <cell r="C162" t="str">
            <v>8R-36</v>
          </cell>
          <cell r="D162">
            <v>24</v>
          </cell>
          <cell r="E162">
            <v>4.75</v>
          </cell>
          <cell r="F162">
            <v>0.85</v>
          </cell>
          <cell r="G162">
            <v>8.5139318885448914E-2</v>
          </cell>
          <cell r="H162">
            <v>18879</v>
          </cell>
          <cell r="I162">
            <v>30</v>
          </cell>
          <cell r="J162">
            <v>65</v>
          </cell>
          <cell r="K162">
            <v>12</v>
          </cell>
          <cell r="L162">
            <v>150</v>
          </cell>
          <cell r="M162">
            <v>0</v>
          </cell>
          <cell r="N162">
            <v>1800</v>
          </cell>
          <cell r="O162">
            <v>1</v>
          </cell>
          <cell r="P162">
            <v>0.27</v>
          </cell>
          <cell r="Q162">
            <v>1.4</v>
          </cell>
          <cell r="R162">
            <v>357.9896850839869</v>
          </cell>
          <cell r="S162">
            <v>2.3865979005599125</v>
          </cell>
          <cell r="T162">
            <v>1022.6125000000001</v>
          </cell>
          <cell r="U162">
            <v>6.8174166666666673</v>
          </cell>
          <cell r="V162">
            <v>5663.7</v>
          </cell>
          <cell r="W162">
            <v>1101.2749999999999</v>
          </cell>
          <cell r="X162">
            <v>12271.35</v>
          </cell>
          <cell r="Y162">
            <v>981.70800000000008</v>
          </cell>
          <cell r="Z162">
            <v>294.51240000000001</v>
          </cell>
          <cell r="AA162">
            <v>2377.4953999999998</v>
          </cell>
          <cell r="AB162">
            <v>15.849969333333332</v>
          </cell>
        </row>
        <row r="163">
          <cell r="A163" t="str">
            <v>Paratill &amp; Bed4R-30</v>
          </cell>
          <cell r="B163" t="str">
            <v>Paratill &amp; Bed</v>
          </cell>
          <cell r="C163" t="str">
            <v>4R-30</v>
          </cell>
          <cell r="D163">
            <v>10</v>
          </cell>
          <cell r="E163">
            <v>4.75</v>
          </cell>
          <cell r="F163">
            <v>0.85</v>
          </cell>
          <cell r="G163">
            <v>0.20433436532507743</v>
          </cell>
          <cell r="H163">
            <v>9794</v>
          </cell>
          <cell r="I163">
            <v>30</v>
          </cell>
          <cell r="J163">
            <v>65</v>
          </cell>
          <cell r="K163">
            <v>12</v>
          </cell>
          <cell r="L163">
            <v>150</v>
          </cell>
          <cell r="M163">
            <v>0</v>
          </cell>
          <cell r="N163">
            <v>1800</v>
          </cell>
          <cell r="O163">
            <v>1</v>
          </cell>
          <cell r="P163">
            <v>0.27</v>
          </cell>
          <cell r="Q163">
            <v>1.4</v>
          </cell>
          <cell r="R163">
            <v>185.71698584207681</v>
          </cell>
          <cell r="S163">
            <v>1.2381132389471787</v>
          </cell>
          <cell r="T163">
            <v>530.50833333333333</v>
          </cell>
          <cell r="U163">
            <v>3.5367222222222221</v>
          </cell>
          <cell r="V163">
            <v>2938.2</v>
          </cell>
          <cell r="W163">
            <v>571.31666666666672</v>
          </cell>
          <cell r="X163">
            <v>6366.1</v>
          </cell>
          <cell r="Y163">
            <v>509.28800000000007</v>
          </cell>
          <cell r="Z163">
            <v>152.78640000000001</v>
          </cell>
          <cell r="AA163">
            <v>1233.3910666666668</v>
          </cell>
          <cell r="AB163">
            <v>8.2226071111111114</v>
          </cell>
        </row>
        <row r="164">
          <cell r="A164" t="str">
            <v>Paratill &amp; Bed4R-36</v>
          </cell>
          <cell r="B164" t="str">
            <v>Paratill &amp; Bed</v>
          </cell>
          <cell r="C164" t="str">
            <v>4R-36</v>
          </cell>
          <cell r="D164">
            <v>12</v>
          </cell>
          <cell r="E164">
            <v>4.75</v>
          </cell>
          <cell r="F164">
            <v>0.85</v>
          </cell>
          <cell r="G164">
            <v>0.17027863777089783</v>
          </cell>
          <cell r="H164">
            <v>9838</v>
          </cell>
          <cell r="I164">
            <v>30</v>
          </cell>
          <cell r="J164">
            <v>65</v>
          </cell>
          <cell r="K164">
            <v>12</v>
          </cell>
          <cell r="L164">
            <v>150</v>
          </cell>
          <cell r="M164">
            <v>0</v>
          </cell>
          <cell r="N164">
            <v>1800</v>
          </cell>
          <cell r="O164">
            <v>1</v>
          </cell>
          <cell r="P164">
            <v>0.27</v>
          </cell>
          <cell r="Q164">
            <v>1.4</v>
          </cell>
          <cell r="R164">
            <v>186.55132802882906</v>
          </cell>
          <cell r="S164">
            <v>1.2436755201921939</v>
          </cell>
          <cell r="T164">
            <v>532.89166666666665</v>
          </cell>
          <cell r="U164">
            <v>3.5526111111111112</v>
          </cell>
          <cell r="V164">
            <v>2951.4</v>
          </cell>
          <cell r="W164">
            <v>573.88333333333333</v>
          </cell>
          <cell r="X164">
            <v>6394.7</v>
          </cell>
          <cell r="Y164">
            <v>511.57600000000002</v>
          </cell>
          <cell r="Z164">
            <v>153.47280000000001</v>
          </cell>
          <cell r="AA164">
            <v>1238.9321333333332</v>
          </cell>
          <cell r="AB164">
            <v>8.2595475555555549</v>
          </cell>
        </row>
        <row r="165">
          <cell r="A165" t="str">
            <v>Paratill &amp; Bed6R-30</v>
          </cell>
          <cell r="B165" t="str">
            <v>Paratill &amp; Bed</v>
          </cell>
          <cell r="C165" t="str">
            <v>6R-30</v>
          </cell>
          <cell r="D165">
            <v>15</v>
          </cell>
          <cell r="E165">
            <v>4.75</v>
          </cell>
          <cell r="F165">
            <v>0.85</v>
          </cell>
          <cell r="G165">
            <v>0.13622291021671826</v>
          </cell>
          <cell r="H165">
            <v>13527</v>
          </cell>
          <cell r="I165">
            <v>30</v>
          </cell>
          <cell r="J165">
            <v>65</v>
          </cell>
          <cell r="K165">
            <v>12</v>
          </cell>
          <cell r="L165">
            <v>150</v>
          </cell>
          <cell r="M165">
            <v>0</v>
          </cell>
          <cell r="N165">
            <v>1800</v>
          </cell>
          <cell r="O165">
            <v>1</v>
          </cell>
          <cell r="P165">
            <v>0.27</v>
          </cell>
          <cell r="Q165">
            <v>1.4</v>
          </cell>
          <cell r="R165">
            <v>256.50333545903339</v>
          </cell>
          <cell r="S165">
            <v>1.710022236393556</v>
          </cell>
          <cell r="T165">
            <v>732.71249999999998</v>
          </cell>
          <cell r="U165">
            <v>4.8847499999999995</v>
          </cell>
          <cell r="V165">
            <v>4058.1</v>
          </cell>
          <cell r="W165">
            <v>789.07499999999993</v>
          </cell>
          <cell r="X165">
            <v>8792.5499999999993</v>
          </cell>
          <cell r="Y165">
            <v>703.404</v>
          </cell>
          <cell r="Z165">
            <v>211.02119999999999</v>
          </cell>
          <cell r="AA165">
            <v>1703.5001999999999</v>
          </cell>
          <cell r="AB165">
            <v>11.356667999999999</v>
          </cell>
        </row>
        <row r="166">
          <cell r="A166" t="str">
            <v>Paratill &amp; Bed6R-36</v>
          </cell>
          <cell r="B166" t="str">
            <v>Paratill &amp; Bed</v>
          </cell>
          <cell r="C166" t="str">
            <v>6R-36</v>
          </cell>
          <cell r="D166">
            <v>18</v>
          </cell>
          <cell r="E166">
            <v>4.75</v>
          </cell>
          <cell r="F166">
            <v>0.85</v>
          </cell>
          <cell r="G166">
            <v>0.11351909184726523</v>
          </cell>
          <cell r="H166">
            <v>15103</v>
          </cell>
          <cell r="I166">
            <v>30</v>
          </cell>
          <cell r="J166">
            <v>65</v>
          </cell>
          <cell r="K166">
            <v>12</v>
          </cell>
          <cell r="L166">
            <v>150</v>
          </cell>
          <cell r="M166">
            <v>0</v>
          </cell>
          <cell r="N166">
            <v>1800</v>
          </cell>
          <cell r="O166">
            <v>1</v>
          </cell>
          <cell r="P166">
            <v>0.27</v>
          </cell>
          <cell r="Q166">
            <v>1.4</v>
          </cell>
          <cell r="R166">
            <v>286.38795560270432</v>
          </cell>
          <cell r="S166">
            <v>1.9092530373513621</v>
          </cell>
          <cell r="T166">
            <v>818.07916666666677</v>
          </cell>
          <cell r="U166">
            <v>5.4538611111111122</v>
          </cell>
          <cell r="V166">
            <v>4530.8999999999996</v>
          </cell>
          <cell r="W166">
            <v>881.00833333333333</v>
          </cell>
          <cell r="X166">
            <v>9816.9500000000007</v>
          </cell>
          <cell r="Y166">
            <v>785.35600000000011</v>
          </cell>
          <cell r="Z166">
            <v>235.60680000000002</v>
          </cell>
          <cell r="AA166">
            <v>1901.9711333333335</v>
          </cell>
          <cell r="AB166">
            <v>12.679807555555556</v>
          </cell>
        </row>
        <row r="167">
          <cell r="A167" t="str">
            <v>Paratill &amp; Bed8R-30</v>
          </cell>
          <cell r="B167" t="str">
            <v>Paratill &amp; Bed</v>
          </cell>
          <cell r="C167" t="str">
            <v>8R-30</v>
          </cell>
          <cell r="D167">
            <v>20</v>
          </cell>
          <cell r="E167">
            <v>4.75</v>
          </cell>
          <cell r="F167">
            <v>0.85</v>
          </cell>
          <cell r="G167">
            <v>0.10216718266253871</v>
          </cell>
          <cell r="H167">
            <v>17858</v>
          </cell>
          <cell r="I167">
            <v>30</v>
          </cell>
          <cell r="J167">
            <v>65</v>
          </cell>
          <cell r="K167">
            <v>12</v>
          </cell>
          <cell r="L167">
            <v>150</v>
          </cell>
          <cell r="M167">
            <v>0</v>
          </cell>
          <cell r="N167">
            <v>1800</v>
          </cell>
          <cell r="O167">
            <v>1</v>
          </cell>
          <cell r="P167">
            <v>0.27</v>
          </cell>
          <cell r="Q167">
            <v>1.4</v>
          </cell>
          <cell r="R167">
            <v>338.62915388684991</v>
          </cell>
          <cell r="S167">
            <v>2.2575276925789995</v>
          </cell>
          <cell r="T167">
            <v>967.30833333333339</v>
          </cell>
          <cell r="U167">
            <v>6.4487222222222229</v>
          </cell>
          <cell r="V167">
            <v>5357.4</v>
          </cell>
          <cell r="W167">
            <v>1041.7166666666667</v>
          </cell>
          <cell r="X167">
            <v>11607.7</v>
          </cell>
          <cell r="Y167">
            <v>928.6160000000001</v>
          </cell>
          <cell r="Z167">
            <v>278.58480000000003</v>
          </cell>
          <cell r="AA167">
            <v>2248.9174666666668</v>
          </cell>
          <cell r="AB167">
            <v>14.992783111111113</v>
          </cell>
        </row>
        <row r="168">
          <cell r="A168" t="str">
            <v>Paratill &amp; Bed8R402X1</v>
          </cell>
          <cell r="B168" t="str">
            <v>Paratill &amp; Bed</v>
          </cell>
          <cell r="C168" t="str">
            <v>8R402X1</v>
          </cell>
          <cell r="D168">
            <v>40</v>
          </cell>
          <cell r="E168">
            <v>4.75</v>
          </cell>
          <cell r="F168">
            <v>0.85</v>
          </cell>
          <cell r="G168">
            <v>5.1083591331269357E-2</v>
          </cell>
          <cell r="H168">
            <v>47439</v>
          </cell>
          <cell r="I168">
            <v>30</v>
          </cell>
          <cell r="J168">
            <v>65</v>
          </cell>
          <cell r="K168">
            <v>12</v>
          </cell>
          <cell r="L168">
            <v>150</v>
          </cell>
          <cell r="M168">
            <v>0</v>
          </cell>
          <cell r="N168">
            <v>1800</v>
          </cell>
          <cell r="O168">
            <v>1</v>
          </cell>
          <cell r="P168">
            <v>0.27</v>
          </cell>
          <cell r="Q168">
            <v>1.4</v>
          </cell>
          <cell r="R168">
            <v>899.55361357589152</v>
          </cell>
          <cell r="S168">
            <v>5.9970240905059438</v>
          </cell>
          <cell r="T168">
            <v>2569.6124999999997</v>
          </cell>
          <cell r="U168">
            <v>17.130749999999999</v>
          </cell>
          <cell r="V168">
            <v>14231.7</v>
          </cell>
          <cell r="W168">
            <v>2767.2750000000001</v>
          </cell>
          <cell r="X168">
            <v>30835.35</v>
          </cell>
          <cell r="Y168">
            <v>2466.828</v>
          </cell>
          <cell r="Z168">
            <v>740.04840000000002</v>
          </cell>
          <cell r="AA168">
            <v>5974.1514000000006</v>
          </cell>
          <cell r="AB168">
            <v>39.827676000000004</v>
          </cell>
        </row>
        <row r="169">
          <cell r="A169" t="str">
            <v>Pipe Drag30'</v>
          </cell>
          <cell r="B169" t="str">
            <v>Pipe Drag</v>
          </cell>
          <cell r="C169" t="str">
            <v>30'</v>
          </cell>
          <cell r="D169">
            <v>30</v>
          </cell>
          <cell r="E169">
            <v>6.25</v>
          </cell>
          <cell r="F169">
            <v>0.85</v>
          </cell>
          <cell r="G169">
            <v>5.1764705882352949E-2</v>
          </cell>
          <cell r="H169">
            <v>500</v>
          </cell>
          <cell r="I169">
            <v>30</v>
          </cell>
          <cell r="J169">
            <v>45</v>
          </cell>
          <cell r="K169">
            <v>12</v>
          </cell>
          <cell r="L169">
            <v>100</v>
          </cell>
          <cell r="M169">
            <v>0</v>
          </cell>
          <cell r="N169">
            <v>1200</v>
          </cell>
          <cell r="O169">
            <v>1</v>
          </cell>
          <cell r="P169">
            <v>0.27</v>
          </cell>
          <cell r="Q169">
            <v>1.4</v>
          </cell>
          <cell r="R169">
            <v>5.3744468024722156</v>
          </cell>
          <cell r="S169">
            <v>5.3744468024722158E-2</v>
          </cell>
          <cell r="T169">
            <v>18.75</v>
          </cell>
          <cell r="U169">
            <v>0.1875</v>
          </cell>
          <cell r="V169">
            <v>150</v>
          </cell>
          <cell r="W169">
            <v>29.166666666666668</v>
          </cell>
          <cell r="X169">
            <v>325</v>
          </cell>
          <cell r="Y169">
            <v>26</v>
          </cell>
          <cell r="Z169">
            <v>7.8</v>
          </cell>
          <cell r="AA169">
            <v>62.966666666666669</v>
          </cell>
          <cell r="AB169">
            <v>0.62966666666666671</v>
          </cell>
        </row>
        <row r="170">
          <cell r="A170" t="str">
            <v>Plant - Folding10R-30</v>
          </cell>
          <cell r="B170" t="str">
            <v>Plant - Folding</v>
          </cell>
          <cell r="C170" t="str">
            <v>10R-30</v>
          </cell>
          <cell r="D170">
            <v>25</v>
          </cell>
          <cell r="E170">
            <v>6.75</v>
          </cell>
          <cell r="F170">
            <v>0.65</v>
          </cell>
          <cell r="G170">
            <v>7.521367521367521E-2</v>
          </cell>
          <cell r="H170">
            <v>42453</v>
          </cell>
          <cell r="I170">
            <v>45</v>
          </cell>
          <cell r="J170">
            <v>45</v>
          </cell>
          <cell r="K170">
            <v>8</v>
          </cell>
          <cell r="L170">
            <v>150</v>
          </cell>
          <cell r="M170">
            <v>0</v>
          </cell>
          <cell r="N170">
            <v>1200</v>
          </cell>
          <cell r="O170">
            <v>1</v>
          </cell>
          <cell r="P170">
            <v>0.27</v>
          </cell>
          <cell r="Q170">
            <v>1.4</v>
          </cell>
          <cell r="R170">
            <v>805.00747395892256</v>
          </cell>
          <cell r="S170">
            <v>5.3667164930594842</v>
          </cell>
          <cell r="T170">
            <v>2387.9812499999998</v>
          </cell>
          <cell r="U170">
            <v>15.919874999999999</v>
          </cell>
          <cell r="V170">
            <v>19103.849999999999</v>
          </cell>
          <cell r="W170">
            <v>2918.6437500000002</v>
          </cell>
          <cell r="X170">
            <v>30778.424999999999</v>
          </cell>
          <cell r="Y170">
            <v>2462.2739999999999</v>
          </cell>
          <cell r="Z170">
            <v>738.68219999999997</v>
          </cell>
          <cell r="AA170">
            <v>6119.5999499999998</v>
          </cell>
          <cell r="AB170">
            <v>40.797333000000002</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2494.6379999999999</v>
          </cell>
          <cell r="Z171">
            <v>748.39139999999998</v>
          </cell>
          <cell r="AA171">
            <v>6200.0356499999998</v>
          </cell>
          <cell r="AB171">
            <v>41.333570999999999</v>
          </cell>
        </row>
        <row r="172">
          <cell r="A172" t="str">
            <v>Plant - Folding12R-20</v>
          </cell>
          <cell r="B172" t="str">
            <v>Plant - Folding</v>
          </cell>
          <cell r="C172" t="str">
            <v>12R-20</v>
          </cell>
          <cell r="D172">
            <v>20</v>
          </cell>
          <cell r="E172">
            <v>6.75</v>
          </cell>
          <cell r="F172">
            <v>0.65</v>
          </cell>
          <cell r="G172">
            <v>9.4017094017094016E-2</v>
          </cell>
          <cell r="H172">
            <v>40465</v>
          </cell>
          <cell r="I172">
            <v>45</v>
          </cell>
          <cell r="J172">
            <v>45</v>
          </cell>
          <cell r="K172">
            <v>8</v>
          </cell>
          <cell r="L172">
            <v>150</v>
          </cell>
          <cell r="M172">
            <v>0</v>
          </cell>
          <cell r="N172">
            <v>1200</v>
          </cell>
          <cell r="O172">
            <v>1</v>
          </cell>
          <cell r="P172">
            <v>0.27</v>
          </cell>
          <cell r="Q172">
            <v>1.4</v>
          </cell>
          <cell r="R172">
            <v>767.31037697566251</v>
          </cell>
          <cell r="S172">
            <v>5.115402513171083</v>
          </cell>
          <cell r="T172">
            <v>2276.15625</v>
          </cell>
          <cell r="U172">
            <v>15.174375</v>
          </cell>
          <cell r="V172">
            <v>18209.25</v>
          </cell>
          <cell r="W172">
            <v>2781.96875</v>
          </cell>
          <cell r="X172">
            <v>29337.125</v>
          </cell>
          <cell r="Y172">
            <v>2346.9700000000003</v>
          </cell>
          <cell r="Z172">
            <v>704.09100000000001</v>
          </cell>
          <cell r="AA172">
            <v>5833.0297499999997</v>
          </cell>
          <cell r="AB172">
            <v>38.886865</v>
          </cell>
        </row>
        <row r="173">
          <cell r="A173" t="str">
            <v>Plant - Folding12R-30</v>
          </cell>
          <cell r="B173" t="str">
            <v>Plant - Folding</v>
          </cell>
          <cell r="C173" t="str">
            <v>12R-30</v>
          </cell>
          <cell r="D173">
            <v>30</v>
          </cell>
          <cell r="E173">
            <v>6.75</v>
          </cell>
          <cell r="F173">
            <v>0.65</v>
          </cell>
          <cell r="G173">
            <v>6.2678062678062682E-2</v>
          </cell>
          <cell r="H173">
            <v>46726</v>
          </cell>
          <cell r="I173">
            <v>45</v>
          </cell>
          <cell r="J173">
            <v>45</v>
          </cell>
          <cell r="K173">
            <v>8</v>
          </cell>
          <cell r="L173">
            <v>150</v>
          </cell>
          <cell r="M173">
            <v>0</v>
          </cell>
          <cell r="N173">
            <v>1200</v>
          </cell>
          <cell r="O173">
            <v>1</v>
          </cell>
          <cell r="P173">
            <v>0.27</v>
          </cell>
          <cell r="Q173">
            <v>1.4</v>
          </cell>
          <cell r="R173">
            <v>886.03347768602009</v>
          </cell>
          <cell r="S173">
            <v>5.906889851240134</v>
          </cell>
          <cell r="T173">
            <v>2628.3375000000001</v>
          </cell>
          <cell r="U173">
            <v>17.52225</v>
          </cell>
          <cell r="V173">
            <v>21026.7</v>
          </cell>
          <cell r="W173">
            <v>3212.4124999999999</v>
          </cell>
          <cell r="X173">
            <v>33876.35</v>
          </cell>
          <cell r="Y173">
            <v>2710.1079999999997</v>
          </cell>
          <cell r="Z173">
            <v>813.03239999999994</v>
          </cell>
          <cell r="AA173">
            <v>6735.5528999999997</v>
          </cell>
          <cell r="AB173">
            <v>44.903686</v>
          </cell>
        </row>
        <row r="174">
          <cell r="A174" t="str">
            <v>Plant - Folding12R-36</v>
          </cell>
          <cell r="B174" t="str">
            <v>Plant - Folding</v>
          </cell>
          <cell r="C174" t="str">
            <v>12R-36</v>
          </cell>
          <cell r="D174">
            <v>36</v>
          </cell>
          <cell r="E174">
            <v>6.75</v>
          </cell>
          <cell r="F174">
            <v>0.65</v>
          </cell>
          <cell r="G174">
            <v>5.2231718898385571E-2</v>
          </cell>
          <cell r="H174">
            <v>44240</v>
          </cell>
          <cell r="I174">
            <v>45</v>
          </cell>
          <cell r="J174">
            <v>45</v>
          </cell>
          <cell r="K174">
            <v>8</v>
          </cell>
          <cell r="L174">
            <v>150</v>
          </cell>
          <cell r="M174">
            <v>0</v>
          </cell>
          <cell r="N174">
            <v>1200</v>
          </cell>
          <cell r="O174">
            <v>1</v>
          </cell>
          <cell r="P174">
            <v>0.27</v>
          </cell>
          <cell r="Q174">
            <v>1.4</v>
          </cell>
          <cell r="R174">
            <v>838.89314413451893</v>
          </cell>
          <cell r="S174">
            <v>5.5926209608967925</v>
          </cell>
          <cell r="T174">
            <v>2488.5</v>
          </cell>
          <cell r="U174">
            <v>16.59</v>
          </cell>
          <cell r="V174">
            <v>19908</v>
          </cell>
          <cell r="W174">
            <v>3041.5</v>
          </cell>
          <cell r="X174">
            <v>32074</v>
          </cell>
          <cell r="Y174">
            <v>2565.92</v>
          </cell>
          <cell r="Z174">
            <v>769.77600000000007</v>
          </cell>
          <cell r="AA174">
            <v>6377.1959999999999</v>
          </cell>
          <cell r="AB174">
            <v>42.51464</v>
          </cell>
        </row>
        <row r="175">
          <cell r="A175" t="str">
            <v>Plant - Folding16R-30</v>
          </cell>
          <cell r="B175" t="str">
            <v>Plant - Folding</v>
          </cell>
          <cell r="C175" t="str">
            <v>16R-30</v>
          </cell>
          <cell r="D175">
            <v>40</v>
          </cell>
          <cell r="E175">
            <v>6.75</v>
          </cell>
          <cell r="F175">
            <v>0.65</v>
          </cell>
          <cell r="G175">
            <v>4.7008547008547008E-2</v>
          </cell>
          <cell r="H175">
            <v>65362</v>
          </cell>
          <cell r="I175">
            <v>45</v>
          </cell>
          <cell r="J175">
            <v>45</v>
          </cell>
          <cell r="K175">
            <v>8</v>
          </cell>
          <cell r="L175">
            <v>150</v>
          </cell>
          <cell r="M175">
            <v>0</v>
          </cell>
          <cell r="N175">
            <v>1200</v>
          </cell>
          <cell r="O175">
            <v>1</v>
          </cell>
          <cell r="P175">
            <v>0.27</v>
          </cell>
          <cell r="Q175">
            <v>1.4</v>
          </cell>
          <cell r="R175">
            <v>1239.4153184204436</v>
          </cell>
          <cell r="S175">
            <v>8.2627687894696233</v>
          </cell>
          <cell r="T175">
            <v>3676.6125000000002</v>
          </cell>
          <cell r="U175">
            <v>24.510750000000002</v>
          </cell>
          <cell r="V175">
            <v>29412.9</v>
          </cell>
          <cell r="W175">
            <v>4493.6374999999998</v>
          </cell>
          <cell r="X175">
            <v>47387.45</v>
          </cell>
          <cell r="Y175">
            <v>3790.9959999999996</v>
          </cell>
          <cell r="Z175">
            <v>1137.2988</v>
          </cell>
          <cell r="AA175">
            <v>9421.9323000000004</v>
          </cell>
          <cell r="AB175">
            <v>62.812882000000002</v>
          </cell>
        </row>
        <row r="176">
          <cell r="A176" t="str">
            <v>Plant - Folding23R-15</v>
          </cell>
          <cell r="B176" t="str">
            <v>Plant - Folding</v>
          </cell>
          <cell r="C176" t="str">
            <v>23R-15</v>
          </cell>
          <cell r="D176">
            <v>28.8</v>
          </cell>
          <cell r="E176">
            <v>6.75</v>
          </cell>
          <cell r="F176">
            <v>0.65</v>
          </cell>
          <cell r="G176">
            <v>6.5289648622981949E-2</v>
          </cell>
          <cell r="H176">
            <v>73917</v>
          </cell>
          <cell r="I176">
            <v>45</v>
          </cell>
          <cell r="J176">
            <v>45</v>
          </cell>
          <cell r="K176">
            <v>8</v>
          </cell>
          <cell r="L176">
            <v>150</v>
          </cell>
          <cell r="M176">
            <v>0</v>
          </cell>
          <cell r="N176">
            <v>1200</v>
          </cell>
          <cell r="O176">
            <v>1</v>
          </cell>
          <cell r="P176">
            <v>0.27</v>
          </cell>
          <cell r="Q176">
            <v>1.4</v>
          </cell>
          <cell r="R176">
            <v>1401.6379867764745</v>
          </cell>
          <cell r="S176">
            <v>9.3442532451764961</v>
          </cell>
          <cell r="T176">
            <v>4157.8312500000002</v>
          </cell>
          <cell r="U176">
            <v>27.718875000000001</v>
          </cell>
          <cell r="V176">
            <v>33262.65</v>
          </cell>
          <cell r="W176">
            <v>5081.7937499999998</v>
          </cell>
          <cell r="X176">
            <v>53589.824999999997</v>
          </cell>
          <cell r="Y176">
            <v>4287.1859999999997</v>
          </cell>
          <cell r="Z176">
            <v>1286.1558</v>
          </cell>
          <cell r="AA176">
            <v>10655.135549999999</v>
          </cell>
          <cell r="AB176">
            <v>71.03423699999999</v>
          </cell>
        </row>
        <row r="177">
          <cell r="A177" t="str">
            <v>Plant - Folding24R-20</v>
          </cell>
          <cell r="B177" t="str">
            <v>Plant - Folding</v>
          </cell>
          <cell r="C177" t="str">
            <v>24R-20</v>
          </cell>
          <cell r="D177">
            <v>40</v>
          </cell>
          <cell r="E177">
            <v>6.75</v>
          </cell>
          <cell r="F177">
            <v>0.65</v>
          </cell>
          <cell r="G177">
            <v>4.7008547008547008E-2</v>
          </cell>
          <cell r="H177">
            <v>88673</v>
          </cell>
          <cell r="I177">
            <v>45</v>
          </cell>
          <cell r="J177">
            <v>45</v>
          </cell>
          <cell r="K177">
            <v>8</v>
          </cell>
          <cell r="L177">
            <v>150</v>
          </cell>
          <cell r="M177">
            <v>0</v>
          </cell>
          <cell r="N177">
            <v>1200</v>
          </cell>
          <cell r="O177">
            <v>1</v>
          </cell>
          <cell r="P177">
            <v>0.27</v>
          </cell>
          <cell r="Q177">
            <v>1.4</v>
          </cell>
          <cell r="R177">
            <v>1681.446016497292</v>
          </cell>
          <cell r="S177">
            <v>11.209640109981947</v>
          </cell>
          <cell r="T177">
            <v>4987.8562499999998</v>
          </cell>
          <cell r="U177">
            <v>33.252375000000001</v>
          </cell>
          <cell r="V177">
            <v>39902.85</v>
          </cell>
          <cell r="W177">
            <v>6096.2687500000002</v>
          </cell>
          <cell r="X177">
            <v>64287.925000000003</v>
          </cell>
          <cell r="Y177">
            <v>5143.0340000000006</v>
          </cell>
          <cell r="Z177">
            <v>1542.9102</v>
          </cell>
          <cell r="AA177">
            <v>12782.212950000001</v>
          </cell>
          <cell r="AB177">
            <v>85.214753000000002</v>
          </cell>
        </row>
        <row r="178">
          <cell r="A178" t="str">
            <v>Plant - Folding24R-30</v>
          </cell>
          <cell r="B178" t="str">
            <v>Plant - Folding</v>
          </cell>
          <cell r="C178" t="str">
            <v>24R-30</v>
          </cell>
          <cell r="D178">
            <v>60</v>
          </cell>
          <cell r="E178">
            <v>6.75</v>
          </cell>
          <cell r="F178">
            <v>0.65</v>
          </cell>
          <cell r="G178">
            <v>3.1339031339031341E-2</v>
          </cell>
          <cell r="H178">
            <v>98303</v>
          </cell>
          <cell r="I178">
            <v>45</v>
          </cell>
          <cell r="J178">
            <v>45</v>
          </cell>
          <cell r="K178">
            <v>8</v>
          </cell>
          <cell r="L178">
            <v>150</v>
          </cell>
          <cell r="M178">
            <v>0</v>
          </cell>
          <cell r="N178">
            <v>1200</v>
          </cell>
          <cell r="O178">
            <v>1</v>
          </cell>
          <cell r="P178">
            <v>0.27</v>
          </cell>
          <cell r="Q178">
            <v>1.4</v>
          </cell>
          <cell r="R178">
            <v>1864.053181461474</v>
          </cell>
          <cell r="S178">
            <v>12.42702120974316</v>
          </cell>
          <cell r="T178">
            <v>5529.5437499999998</v>
          </cell>
          <cell r="U178">
            <v>36.863624999999999</v>
          </cell>
          <cell r="V178">
            <v>44236.35</v>
          </cell>
          <cell r="W178">
            <v>6758.3312500000002</v>
          </cell>
          <cell r="X178">
            <v>71269.675000000003</v>
          </cell>
          <cell r="Y178">
            <v>5701.5740000000005</v>
          </cell>
          <cell r="Z178">
            <v>1710.4722000000002</v>
          </cell>
          <cell r="AA178">
            <v>14170.37745</v>
          </cell>
          <cell r="AB178">
            <v>94.469183000000001</v>
          </cell>
        </row>
        <row r="179">
          <cell r="A179" t="str">
            <v>Plant - Folding8R-36</v>
          </cell>
          <cell r="B179" t="str">
            <v>Plant - Folding</v>
          </cell>
          <cell r="C179" t="str">
            <v>8R-36</v>
          </cell>
          <cell r="D179">
            <v>24</v>
          </cell>
          <cell r="E179">
            <v>6.75</v>
          </cell>
          <cell r="F179">
            <v>0.65</v>
          </cell>
          <cell r="G179">
            <v>7.8347578347578342E-2</v>
          </cell>
          <cell r="H179">
            <v>30687</v>
          </cell>
          <cell r="I179">
            <v>45</v>
          </cell>
          <cell r="J179">
            <v>45</v>
          </cell>
          <cell r="K179">
            <v>8</v>
          </cell>
          <cell r="L179">
            <v>150</v>
          </cell>
          <cell r="M179">
            <v>0</v>
          </cell>
          <cell r="N179">
            <v>1200</v>
          </cell>
          <cell r="O179">
            <v>1</v>
          </cell>
          <cell r="P179">
            <v>0.27</v>
          </cell>
          <cell r="Q179">
            <v>1.4</v>
          </cell>
          <cell r="R179">
            <v>581.89678829240461</v>
          </cell>
          <cell r="S179">
            <v>3.8793119219493639</v>
          </cell>
          <cell r="T179">
            <v>1726.14375</v>
          </cell>
          <cell r="U179">
            <v>11.507624999999999</v>
          </cell>
          <cell r="V179">
            <v>13809.15</v>
          </cell>
          <cell r="W179">
            <v>2109.7312499999998</v>
          </cell>
          <cell r="X179">
            <v>22248.075000000001</v>
          </cell>
          <cell r="Y179">
            <v>1779.846</v>
          </cell>
          <cell r="Z179">
            <v>533.9538</v>
          </cell>
          <cell r="AA179">
            <v>4423.5310499999996</v>
          </cell>
          <cell r="AB179">
            <v>29.490206999999998</v>
          </cell>
        </row>
        <row r="180">
          <cell r="A180" t="str">
            <v>Plant - Folding8R-40 2x1</v>
          </cell>
          <cell r="B180" t="str">
            <v>Plant - Folding</v>
          </cell>
          <cell r="C180" t="str">
            <v>8R-40 2x1</v>
          </cell>
          <cell r="D180">
            <v>40</v>
          </cell>
          <cell r="E180">
            <v>6.75</v>
          </cell>
          <cell r="F180">
            <v>0.65</v>
          </cell>
          <cell r="G180">
            <v>4.7008547008547008E-2</v>
          </cell>
          <cell r="H180">
            <v>44240</v>
          </cell>
          <cell r="I180">
            <v>45</v>
          </cell>
          <cell r="J180">
            <v>45</v>
          </cell>
          <cell r="K180">
            <v>8</v>
          </cell>
          <cell r="L180">
            <v>150</v>
          </cell>
          <cell r="M180">
            <v>0</v>
          </cell>
          <cell r="N180">
            <v>1200</v>
          </cell>
          <cell r="O180">
            <v>1</v>
          </cell>
          <cell r="P180">
            <v>0.27</v>
          </cell>
          <cell r="Q180">
            <v>1.4</v>
          </cell>
          <cell r="R180">
            <v>838.89314413451893</v>
          </cell>
          <cell r="S180">
            <v>5.5926209608967925</v>
          </cell>
          <cell r="T180">
            <v>2488.5</v>
          </cell>
          <cell r="U180">
            <v>16.59</v>
          </cell>
          <cell r="V180">
            <v>19908</v>
          </cell>
          <cell r="W180">
            <v>3041.5</v>
          </cell>
          <cell r="X180">
            <v>32074</v>
          </cell>
          <cell r="Y180">
            <v>2565.92</v>
          </cell>
          <cell r="Z180">
            <v>769.77600000000007</v>
          </cell>
          <cell r="AA180">
            <v>6377.1959999999999</v>
          </cell>
          <cell r="AB180">
            <v>42.51464</v>
          </cell>
        </row>
        <row r="181">
          <cell r="A181" t="str">
            <v>Plant - Rigid10R-30</v>
          </cell>
          <cell r="B181" t="str">
            <v>Plant - Rigid</v>
          </cell>
          <cell r="C181" t="str">
            <v>10R-30</v>
          </cell>
          <cell r="D181">
            <v>25</v>
          </cell>
          <cell r="E181">
            <v>6.75</v>
          </cell>
          <cell r="F181">
            <v>0.65</v>
          </cell>
          <cell r="G181">
            <v>7.521367521367521E-2</v>
          </cell>
          <cell r="H181">
            <v>23890</v>
          </cell>
          <cell r="I181">
            <v>45</v>
          </cell>
          <cell r="J181">
            <v>45</v>
          </cell>
          <cell r="K181">
            <v>8</v>
          </cell>
          <cell r="L181">
            <v>150</v>
          </cell>
          <cell r="M181">
            <v>0</v>
          </cell>
          <cell r="N181">
            <v>1200</v>
          </cell>
          <cell r="O181">
            <v>1</v>
          </cell>
          <cell r="P181">
            <v>0.27</v>
          </cell>
          <cell r="Q181">
            <v>1.4</v>
          </cell>
          <cell r="R181">
            <v>453.0098827616107</v>
          </cell>
          <cell r="S181">
            <v>3.0200658850774045</v>
          </cell>
          <cell r="T181">
            <v>1343.8125</v>
          </cell>
          <cell r="U181">
            <v>8.9587500000000002</v>
          </cell>
          <cell r="V181">
            <v>10750.5</v>
          </cell>
          <cell r="W181">
            <v>1642.4375</v>
          </cell>
          <cell r="X181">
            <v>17320.25</v>
          </cell>
          <cell r="Y181">
            <v>1385.6200000000001</v>
          </cell>
          <cell r="Z181">
            <v>415.68600000000004</v>
          </cell>
          <cell r="AA181">
            <v>3443.7435</v>
          </cell>
          <cell r="AB181">
            <v>22.958290000000002</v>
          </cell>
        </row>
        <row r="182">
          <cell r="A182" t="str">
            <v>Plant - Rigid12R-20</v>
          </cell>
          <cell r="B182" t="str">
            <v>Plant - Rigid</v>
          </cell>
          <cell r="C182" t="str">
            <v>12R-20</v>
          </cell>
          <cell r="D182">
            <v>20</v>
          </cell>
          <cell r="E182">
            <v>6.75</v>
          </cell>
          <cell r="F182">
            <v>0.65</v>
          </cell>
          <cell r="G182">
            <v>9.4017094017094016E-2</v>
          </cell>
          <cell r="H182">
            <v>28254</v>
          </cell>
          <cell r="I182">
            <v>45</v>
          </cell>
          <cell r="J182">
            <v>45</v>
          </cell>
          <cell r="K182">
            <v>8</v>
          </cell>
          <cell r="L182">
            <v>150</v>
          </cell>
          <cell r="M182">
            <v>0</v>
          </cell>
          <cell r="N182">
            <v>1200</v>
          </cell>
          <cell r="O182">
            <v>1</v>
          </cell>
          <cell r="P182">
            <v>0.27</v>
          </cell>
          <cell r="Q182">
            <v>1.4</v>
          </cell>
          <cell r="R182">
            <v>535.76145782949141</v>
          </cell>
          <cell r="S182">
            <v>3.5717430521966094</v>
          </cell>
          <cell r="T182">
            <v>1589.2874999999999</v>
          </cell>
          <cell r="U182">
            <v>10.59525</v>
          </cell>
          <cell r="V182">
            <v>12714.3</v>
          </cell>
          <cell r="W182">
            <v>1942.4625000000001</v>
          </cell>
          <cell r="X182">
            <v>20484.150000000001</v>
          </cell>
          <cell r="Y182">
            <v>1638.7320000000002</v>
          </cell>
          <cell r="Z182">
            <v>491.61960000000005</v>
          </cell>
          <cell r="AA182">
            <v>4072.8141000000005</v>
          </cell>
          <cell r="AB182">
            <v>27.152094000000002</v>
          </cell>
        </row>
        <row r="183">
          <cell r="A183" t="str">
            <v>Plant - Rigid12R-30</v>
          </cell>
          <cell r="B183" t="str">
            <v>Plant - Rigid</v>
          </cell>
          <cell r="C183" t="str">
            <v>12R-30</v>
          </cell>
          <cell r="D183">
            <v>30</v>
          </cell>
          <cell r="E183">
            <v>6.75</v>
          </cell>
          <cell r="F183">
            <v>0.65</v>
          </cell>
          <cell r="G183">
            <v>6.2678062678062682E-2</v>
          </cell>
          <cell r="H183">
            <v>43187</v>
          </cell>
          <cell r="I183">
            <v>45</v>
          </cell>
          <cell r="J183">
            <v>45</v>
          </cell>
          <cell r="K183">
            <v>8</v>
          </cell>
          <cell r="L183">
            <v>150</v>
          </cell>
          <cell r="M183">
            <v>0</v>
          </cell>
          <cell r="N183">
            <v>1200</v>
          </cell>
          <cell r="O183">
            <v>1</v>
          </cell>
          <cell r="P183">
            <v>0.27</v>
          </cell>
          <cell r="Q183">
            <v>1.4</v>
          </cell>
          <cell r="R183">
            <v>818.92581861974395</v>
          </cell>
          <cell r="S183">
            <v>5.4595054574649593</v>
          </cell>
          <cell r="T183">
            <v>2429.2687500000002</v>
          </cell>
          <cell r="U183">
            <v>16.195125000000001</v>
          </cell>
          <cell r="V183">
            <v>19434.150000000001</v>
          </cell>
          <cell r="W183">
            <v>2969.1062499999998</v>
          </cell>
          <cell r="X183">
            <v>31310.575000000001</v>
          </cell>
          <cell r="Y183">
            <v>2504.846</v>
          </cell>
          <cell r="Z183">
            <v>751.4538</v>
          </cell>
          <cell r="AA183">
            <v>6225.4060499999996</v>
          </cell>
          <cell r="AB183">
            <v>41.502706999999994</v>
          </cell>
        </row>
        <row r="184">
          <cell r="A184" t="str">
            <v>Plant - Rigid4R-30</v>
          </cell>
          <cell r="B184" t="str">
            <v>Plant - Rigid</v>
          </cell>
          <cell r="C184" t="str">
            <v>4R-30</v>
          </cell>
          <cell r="D184">
            <v>10</v>
          </cell>
          <cell r="E184">
            <v>6.75</v>
          </cell>
          <cell r="F184">
            <v>0.65</v>
          </cell>
          <cell r="G184">
            <v>0.18803418803418803</v>
          </cell>
          <cell r="H184">
            <v>14046</v>
          </cell>
          <cell r="I184">
            <v>45</v>
          </cell>
          <cell r="J184">
            <v>45</v>
          </cell>
          <cell r="K184">
            <v>8</v>
          </cell>
          <cell r="L184">
            <v>150</v>
          </cell>
          <cell r="M184">
            <v>0</v>
          </cell>
          <cell r="N184">
            <v>1200</v>
          </cell>
          <cell r="O184">
            <v>1</v>
          </cell>
          <cell r="P184">
            <v>0.27</v>
          </cell>
          <cell r="Q184">
            <v>1.4</v>
          </cell>
          <cell r="R184">
            <v>266.34478079822452</v>
          </cell>
          <cell r="S184">
            <v>1.7756318719881634</v>
          </cell>
          <cell r="T184">
            <v>790.08749999999998</v>
          </cell>
          <cell r="U184">
            <v>5.2672499999999998</v>
          </cell>
          <cell r="V184">
            <v>6320.7</v>
          </cell>
          <cell r="W184">
            <v>965.66250000000002</v>
          </cell>
          <cell r="X184">
            <v>10183.35</v>
          </cell>
          <cell r="Y184">
            <v>814.66800000000001</v>
          </cell>
          <cell r="Z184">
            <v>244.40040000000002</v>
          </cell>
          <cell r="AA184">
            <v>2024.7309</v>
          </cell>
          <cell r="AB184">
            <v>13.498206</v>
          </cell>
        </row>
        <row r="185">
          <cell r="A185" t="str">
            <v>Plant - Rigid4R-36</v>
          </cell>
          <cell r="B185" t="str">
            <v>Plant - Rigid</v>
          </cell>
          <cell r="C185" t="str">
            <v>4R-36</v>
          </cell>
          <cell r="D185">
            <v>12</v>
          </cell>
          <cell r="E185">
            <v>6.75</v>
          </cell>
          <cell r="F185">
            <v>0.65</v>
          </cell>
          <cell r="G185">
            <v>0.15669515669515668</v>
          </cell>
          <cell r="H185">
            <v>13621</v>
          </cell>
          <cell r="I185">
            <v>45</v>
          </cell>
          <cell r="J185">
            <v>45</v>
          </cell>
          <cell r="K185">
            <v>8</v>
          </cell>
          <cell r="L185">
            <v>150</v>
          </cell>
          <cell r="M185">
            <v>0</v>
          </cell>
          <cell r="N185">
            <v>1200</v>
          </cell>
          <cell r="O185">
            <v>1</v>
          </cell>
          <cell r="P185">
            <v>0.27</v>
          </cell>
          <cell r="Q185">
            <v>1.4</v>
          </cell>
          <cell r="R185">
            <v>258.28579376709496</v>
          </cell>
          <cell r="S185">
            <v>1.721905291780633</v>
          </cell>
          <cell r="T185">
            <v>766.18124999999998</v>
          </cell>
          <cell r="U185">
            <v>5.1078749999999999</v>
          </cell>
          <cell r="V185">
            <v>6129.45</v>
          </cell>
          <cell r="W185">
            <v>936.44375000000002</v>
          </cell>
          <cell r="X185">
            <v>9875.2250000000004</v>
          </cell>
          <cell r="Y185">
            <v>790.01800000000003</v>
          </cell>
          <cell r="Z185">
            <v>237.00540000000001</v>
          </cell>
          <cell r="AA185">
            <v>1963.4671499999999</v>
          </cell>
          <cell r="AB185">
            <v>13.089781</v>
          </cell>
        </row>
        <row r="186">
          <cell r="A186" t="str">
            <v>Plant - Rigid6R-30</v>
          </cell>
          <cell r="B186" t="str">
            <v>Plant - Rigid</v>
          </cell>
          <cell r="C186" t="str">
            <v>6R-30</v>
          </cell>
          <cell r="D186">
            <v>15</v>
          </cell>
          <cell r="E186">
            <v>6.75</v>
          </cell>
          <cell r="F186">
            <v>0.65</v>
          </cell>
          <cell r="G186">
            <v>0.12535612535612536</v>
          </cell>
          <cell r="H186">
            <v>19053</v>
          </cell>
          <cell r="I186">
            <v>45</v>
          </cell>
          <cell r="J186">
            <v>45</v>
          </cell>
          <cell r="K186">
            <v>8</v>
          </cell>
          <cell r="L186">
            <v>150</v>
          </cell>
          <cell r="M186">
            <v>0</v>
          </cell>
          <cell r="N186">
            <v>1200</v>
          </cell>
          <cell r="O186">
            <v>1</v>
          </cell>
          <cell r="P186">
            <v>0.27</v>
          </cell>
          <cell r="Q186">
            <v>1.4</v>
          </cell>
          <cell r="R186">
            <v>361.2891291861435</v>
          </cell>
          <cell r="S186">
            <v>2.4085941945742899</v>
          </cell>
          <cell r="T186">
            <v>1071.73125</v>
          </cell>
          <cell r="U186">
            <v>7.1448749999999999</v>
          </cell>
          <cell r="V186">
            <v>8573.85</v>
          </cell>
          <cell r="W186">
            <v>1309.89375</v>
          </cell>
          <cell r="X186">
            <v>13813.424999999999</v>
          </cell>
          <cell r="Y186">
            <v>1105.0740000000001</v>
          </cell>
          <cell r="Z186">
            <v>331.5222</v>
          </cell>
          <cell r="AA186">
            <v>2746.4899500000001</v>
          </cell>
          <cell r="AB186">
            <v>18.309933000000001</v>
          </cell>
        </row>
        <row r="187">
          <cell r="A187" t="str">
            <v>Plant - Rigid6R-36</v>
          </cell>
          <cell r="B187" t="str">
            <v>Plant - Rigid</v>
          </cell>
          <cell r="C187" t="str">
            <v>6R-36</v>
          </cell>
          <cell r="D187">
            <v>18</v>
          </cell>
          <cell r="E187">
            <v>6.75</v>
          </cell>
          <cell r="F187">
            <v>0.65</v>
          </cell>
          <cell r="G187">
            <v>0.10446343779677114</v>
          </cell>
          <cell r="H187">
            <v>18247</v>
          </cell>
          <cell r="I187">
            <v>45</v>
          </cell>
          <cell r="J187">
            <v>45</v>
          </cell>
          <cell r="K187">
            <v>8</v>
          </cell>
          <cell r="L187">
            <v>150</v>
          </cell>
          <cell r="M187">
            <v>0</v>
          </cell>
          <cell r="N187">
            <v>1200</v>
          </cell>
          <cell r="O187">
            <v>1</v>
          </cell>
          <cell r="P187">
            <v>0.27</v>
          </cell>
          <cell r="Q187">
            <v>1.4</v>
          </cell>
          <cell r="R187">
            <v>346.00549731063671</v>
          </cell>
          <cell r="S187">
            <v>2.3067033154042447</v>
          </cell>
          <cell r="T187">
            <v>1026.39375</v>
          </cell>
          <cell r="U187">
            <v>6.842625</v>
          </cell>
          <cell r="V187">
            <v>8211.15</v>
          </cell>
          <cell r="W187">
            <v>1254.48125</v>
          </cell>
          <cell r="X187">
            <v>13229.075000000001</v>
          </cell>
          <cell r="Y187">
            <v>1058.326</v>
          </cell>
          <cell r="Z187">
            <v>317.49780000000004</v>
          </cell>
          <cell r="AA187">
            <v>2630.3050499999999</v>
          </cell>
          <cell r="AB187">
            <v>17.535367000000001</v>
          </cell>
        </row>
        <row r="188">
          <cell r="A188" t="str">
            <v>Plant - Rigid8R-22</v>
          </cell>
          <cell r="B188" t="str">
            <v>Plant - Rigid</v>
          </cell>
          <cell r="C188" t="str">
            <v>8R-22</v>
          </cell>
          <cell r="D188">
            <v>14.7</v>
          </cell>
          <cell r="E188">
            <v>6.75</v>
          </cell>
          <cell r="F188">
            <v>0.65</v>
          </cell>
          <cell r="G188">
            <v>0.12791441362869937</v>
          </cell>
          <cell r="H188">
            <v>18473</v>
          </cell>
          <cell r="I188">
            <v>45</v>
          </cell>
          <cell r="J188">
            <v>45</v>
          </cell>
          <cell r="K188">
            <v>8</v>
          </cell>
          <cell r="L188">
            <v>150</v>
          </cell>
          <cell r="M188">
            <v>0</v>
          </cell>
          <cell r="N188">
            <v>1200</v>
          </cell>
          <cell r="O188">
            <v>1</v>
          </cell>
          <cell r="P188">
            <v>0.27</v>
          </cell>
          <cell r="Q188">
            <v>1.4</v>
          </cell>
          <cell r="R188">
            <v>350.29098217895495</v>
          </cell>
          <cell r="S188">
            <v>2.3352732145263664</v>
          </cell>
          <cell r="T188">
            <v>1039.10625</v>
          </cell>
          <cell r="U188">
            <v>6.9273750000000005</v>
          </cell>
          <cell r="V188">
            <v>8312.85</v>
          </cell>
          <cell r="W188">
            <v>1270.01875</v>
          </cell>
          <cell r="X188">
            <v>13392.924999999999</v>
          </cell>
          <cell r="Y188">
            <v>1071.434</v>
          </cell>
          <cell r="Z188">
            <v>321.43020000000001</v>
          </cell>
          <cell r="AA188">
            <v>2662.8829500000002</v>
          </cell>
          <cell r="AB188">
            <v>17.752553000000002</v>
          </cell>
        </row>
        <row r="189">
          <cell r="A189" t="str">
            <v>Plant - Rigid8R-30</v>
          </cell>
          <cell r="B189" t="str">
            <v>Plant - Rigid</v>
          </cell>
          <cell r="C189" t="str">
            <v>8R-30</v>
          </cell>
          <cell r="D189">
            <v>20</v>
          </cell>
          <cell r="E189">
            <v>6.75</v>
          </cell>
          <cell r="F189">
            <v>0.65</v>
          </cell>
          <cell r="G189">
            <v>9.4017094017094016E-2</v>
          </cell>
          <cell r="H189">
            <v>22378</v>
          </cell>
          <cell r="I189">
            <v>45</v>
          </cell>
          <cell r="J189">
            <v>45</v>
          </cell>
          <cell r="K189">
            <v>8</v>
          </cell>
          <cell r="L189">
            <v>150</v>
          </cell>
          <cell r="M189">
            <v>0</v>
          </cell>
          <cell r="N189">
            <v>1200</v>
          </cell>
          <cell r="O189">
            <v>1</v>
          </cell>
          <cell r="P189">
            <v>0.27</v>
          </cell>
          <cell r="Q189">
            <v>1.4</v>
          </cell>
          <cell r="R189">
            <v>424.33885125321575</v>
          </cell>
          <cell r="S189">
            <v>2.8289256750214382</v>
          </cell>
          <cell r="T189">
            <v>1258.7625</v>
          </cell>
          <cell r="U189">
            <v>8.39175</v>
          </cell>
          <cell r="V189">
            <v>10070.1</v>
          </cell>
          <cell r="W189">
            <v>1538.4875</v>
          </cell>
          <cell r="X189">
            <v>16224.05</v>
          </cell>
          <cell r="Y189">
            <v>1297.924</v>
          </cell>
          <cell r="Z189">
            <v>389.37720000000002</v>
          </cell>
          <cell r="AA189">
            <v>3225.7887000000001</v>
          </cell>
          <cell r="AB189">
            <v>21.505258000000001</v>
          </cell>
        </row>
        <row r="190">
          <cell r="A190" t="str">
            <v>Plant - Rigid8R-36</v>
          </cell>
          <cell r="B190" t="str">
            <v>Plant - Rigid</v>
          </cell>
          <cell r="C190" t="str">
            <v>8R-36</v>
          </cell>
          <cell r="D190">
            <v>24</v>
          </cell>
          <cell r="E190">
            <v>6.75</v>
          </cell>
          <cell r="F190">
            <v>0.65</v>
          </cell>
          <cell r="G190">
            <v>7.8347578347578342E-2</v>
          </cell>
          <cell r="H190">
            <v>21960</v>
          </cell>
          <cell r="I190">
            <v>45</v>
          </cell>
          <cell r="J190">
            <v>45</v>
          </cell>
          <cell r="K190">
            <v>8</v>
          </cell>
          <cell r="L190">
            <v>150</v>
          </cell>
          <cell r="M190">
            <v>0</v>
          </cell>
          <cell r="N190">
            <v>1200</v>
          </cell>
          <cell r="O190">
            <v>1</v>
          </cell>
          <cell r="P190">
            <v>0.27</v>
          </cell>
          <cell r="Q190">
            <v>1.4</v>
          </cell>
          <cell r="R190">
            <v>416.41260047906951</v>
          </cell>
          <cell r="S190">
            <v>2.7760840031937968</v>
          </cell>
          <cell r="T190">
            <v>1235.25</v>
          </cell>
          <cell r="U190">
            <v>8.2349999999999994</v>
          </cell>
          <cell r="V190">
            <v>9882</v>
          </cell>
          <cell r="W190">
            <v>1509.75</v>
          </cell>
          <cell r="X190">
            <v>15921</v>
          </cell>
          <cell r="Y190">
            <v>1273.68</v>
          </cell>
          <cell r="Z190">
            <v>382.10399999999998</v>
          </cell>
          <cell r="AA190">
            <v>3165.5340000000001</v>
          </cell>
          <cell r="AB190">
            <v>21.103560000000002</v>
          </cell>
        </row>
        <row r="191">
          <cell r="A191" t="str">
            <v>Plant &amp; Pre Folding10R-30</v>
          </cell>
          <cell r="B191" t="str">
            <v>Plant &amp; Pre Folding</v>
          </cell>
          <cell r="C191" t="str">
            <v>10R-30</v>
          </cell>
          <cell r="D191">
            <v>25</v>
          </cell>
          <cell r="E191">
            <v>6.5</v>
          </cell>
          <cell r="F191">
            <v>0.65</v>
          </cell>
          <cell r="G191">
            <v>7.8106508875739653E-2</v>
          </cell>
          <cell r="H191">
            <v>47822</v>
          </cell>
          <cell r="I191">
            <v>45</v>
          </cell>
          <cell r="J191">
            <v>45</v>
          </cell>
          <cell r="K191">
            <v>8</v>
          </cell>
          <cell r="L191">
            <v>150</v>
          </cell>
          <cell r="M191">
            <v>0</v>
          </cell>
          <cell r="N191">
            <v>1200</v>
          </cell>
          <cell r="O191">
            <v>1</v>
          </cell>
          <cell r="P191">
            <v>0.27</v>
          </cell>
          <cell r="Q191">
            <v>1.4</v>
          </cell>
          <cell r="R191">
            <v>906.81618306512121</v>
          </cell>
          <cell r="S191">
            <v>6.0454412204341414</v>
          </cell>
          <cell r="T191">
            <v>2689.9875000000002</v>
          </cell>
          <cell r="U191">
            <v>17.933250000000001</v>
          </cell>
          <cell r="V191">
            <v>21519.9</v>
          </cell>
          <cell r="W191">
            <v>3287.7624999999998</v>
          </cell>
          <cell r="X191">
            <v>34670.949999999997</v>
          </cell>
          <cell r="Y191">
            <v>2773.6759999999999</v>
          </cell>
          <cell r="Z191">
            <v>832.1028</v>
          </cell>
          <cell r="AA191">
            <v>6893.5412999999999</v>
          </cell>
          <cell r="AB191">
            <v>45.956941999999998</v>
          </cell>
        </row>
        <row r="192">
          <cell r="A192" t="str">
            <v>Plant &amp; Pre Folding10R-36</v>
          </cell>
          <cell r="B192" t="str">
            <v>Plant &amp; Pre Folding</v>
          </cell>
          <cell r="C192" t="str">
            <v>10R-36</v>
          </cell>
          <cell r="D192">
            <v>30</v>
          </cell>
          <cell r="E192">
            <v>6.5</v>
          </cell>
          <cell r="F192">
            <v>0.65</v>
          </cell>
          <cell r="G192">
            <v>6.5088757396449703E-2</v>
          </cell>
          <cell r="H192">
            <v>48380</v>
          </cell>
          <cell r="I192">
            <v>45</v>
          </cell>
          <cell r="J192">
            <v>45</v>
          </cell>
          <cell r="K192">
            <v>8</v>
          </cell>
          <cell r="L192">
            <v>150</v>
          </cell>
          <cell r="M192">
            <v>0</v>
          </cell>
          <cell r="N192">
            <v>1200</v>
          </cell>
          <cell r="O192">
            <v>1</v>
          </cell>
          <cell r="P192">
            <v>0.27</v>
          </cell>
          <cell r="Q192">
            <v>1.4</v>
          </cell>
          <cell r="R192">
            <v>917.39715897893359</v>
          </cell>
          <cell r="S192">
            <v>6.115981059859557</v>
          </cell>
          <cell r="T192">
            <v>2721.375</v>
          </cell>
          <cell r="U192">
            <v>18.142499999999998</v>
          </cell>
          <cell r="V192">
            <v>21771</v>
          </cell>
          <cell r="W192">
            <v>3326.125</v>
          </cell>
          <cell r="X192">
            <v>35075.5</v>
          </cell>
          <cell r="Y192">
            <v>2806.04</v>
          </cell>
          <cell r="Z192">
            <v>841.81200000000001</v>
          </cell>
          <cell r="AA192">
            <v>6973.9769999999999</v>
          </cell>
          <cell r="AB192">
            <v>46.493180000000002</v>
          </cell>
        </row>
        <row r="193">
          <cell r="A193" t="str">
            <v>Plant &amp; Pre Folding12R-20</v>
          </cell>
          <cell r="B193" t="str">
            <v>Plant &amp; Pre Folding</v>
          </cell>
          <cell r="C193" t="str">
            <v>12R-20</v>
          </cell>
          <cell r="D193">
            <v>20</v>
          </cell>
          <cell r="E193">
            <v>6.5</v>
          </cell>
          <cell r="F193">
            <v>0.65</v>
          </cell>
          <cell r="G193">
            <v>9.7633136094674555E-2</v>
          </cell>
          <cell r="H193">
            <v>45835</v>
          </cell>
          <cell r="I193">
            <v>45</v>
          </cell>
          <cell r="J193">
            <v>45</v>
          </cell>
          <cell r="K193">
            <v>8</v>
          </cell>
          <cell r="L193">
            <v>150</v>
          </cell>
          <cell r="M193">
            <v>0</v>
          </cell>
          <cell r="N193">
            <v>1200</v>
          </cell>
          <cell r="O193">
            <v>1</v>
          </cell>
          <cell r="P193">
            <v>0.27</v>
          </cell>
          <cell r="Q193">
            <v>1.4</v>
          </cell>
          <cell r="R193">
            <v>869.13804840428736</v>
          </cell>
          <cell r="S193">
            <v>5.794253656028582</v>
          </cell>
          <cell r="T193">
            <v>2578.21875</v>
          </cell>
          <cell r="U193">
            <v>17.188124999999999</v>
          </cell>
          <cell r="V193">
            <v>20625.75</v>
          </cell>
          <cell r="W193">
            <v>3151.15625</v>
          </cell>
          <cell r="X193">
            <v>33230.375</v>
          </cell>
          <cell r="Y193">
            <v>2658.43</v>
          </cell>
          <cell r="Z193">
            <v>797.529</v>
          </cell>
          <cell r="AA193">
            <v>6607.1152499999998</v>
          </cell>
          <cell r="AB193">
            <v>44.047435</v>
          </cell>
        </row>
        <row r="194">
          <cell r="A194" t="str">
            <v>Plant &amp; Pre Folding12R-30</v>
          </cell>
          <cell r="B194" t="str">
            <v>Plant &amp; Pre Folding</v>
          </cell>
          <cell r="C194" t="str">
            <v>12R-30</v>
          </cell>
          <cell r="D194">
            <v>30</v>
          </cell>
          <cell r="E194">
            <v>6.5</v>
          </cell>
          <cell r="F194">
            <v>0.65</v>
          </cell>
          <cell r="G194">
            <v>6.5088757396449703E-2</v>
          </cell>
          <cell r="H194">
            <v>52095</v>
          </cell>
          <cell r="I194">
            <v>45</v>
          </cell>
          <cell r="J194">
            <v>45</v>
          </cell>
          <cell r="K194">
            <v>8</v>
          </cell>
          <cell r="L194">
            <v>150</v>
          </cell>
          <cell r="M194">
            <v>0</v>
          </cell>
          <cell r="N194">
            <v>1200</v>
          </cell>
          <cell r="O194">
            <v>1</v>
          </cell>
          <cell r="P194">
            <v>0.27</v>
          </cell>
          <cell r="Q194">
            <v>1.4</v>
          </cell>
          <cell r="R194">
            <v>987.84218679221885</v>
          </cell>
          <cell r="S194">
            <v>6.5856145786147922</v>
          </cell>
          <cell r="T194">
            <v>2930.34375</v>
          </cell>
          <cell r="U194">
            <v>19.535625</v>
          </cell>
          <cell r="V194">
            <v>23442.75</v>
          </cell>
          <cell r="W194">
            <v>3581.53125</v>
          </cell>
          <cell r="X194">
            <v>37768.875</v>
          </cell>
          <cell r="Y194">
            <v>3021.51</v>
          </cell>
          <cell r="Z194">
            <v>906.45299999999997</v>
          </cell>
          <cell r="AA194">
            <v>7509.4942499999997</v>
          </cell>
          <cell r="AB194">
            <v>50.063294999999997</v>
          </cell>
        </row>
        <row r="195">
          <cell r="A195" t="str">
            <v>Plant &amp; Pre Folding12R-36</v>
          </cell>
          <cell r="B195" t="str">
            <v>Plant &amp; Pre Folding</v>
          </cell>
          <cell r="C195" t="str">
            <v>12R-36</v>
          </cell>
          <cell r="D195">
            <v>36</v>
          </cell>
          <cell r="E195">
            <v>6.5</v>
          </cell>
          <cell r="F195">
            <v>0.65</v>
          </cell>
          <cell r="G195">
            <v>5.4240631163708086E-2</v>
          </cell>
          <cell r="H195">
            <v>49813</v>
          </cell>
          <cell r="I195">
            <v>45</v>
          </cell>
          <cell r="J195">
            <v>45</v>
          </cell>
          <cell r="K195">
            <v>8</v>
          </cell>
          <cell r="L195">
            <v>150</v>
          </cell>
          <cell r="M195">
            <v>0</v>
          </cell>
          <cell r="N195">
            <v>1200</v>
          </cell>
          <cell r="O195">
            <v>1</v>
          </cell>
          <cell r="P195">
            <v>0.27</v>
          </cell>
          <cell r="Q195">
            <v>1.4</v>
          </cell>
          <cell r="R195">
            <v>944.57016701565976</v>
          </cell>
          <cell r="S195">
            <v>6.2971344467710653</v>
          </cell>
          <cell r="T195">
            <v>2801.9812499999998</v>
          </cell>
          <cell r="U195">
            <v>18.679874999999999</v>
          </cell>
          <cell r="V195">
            <v>22415.85</v>
          </cell>
          <cell r="W195">
            <v>3424.6437500000002</v>
          </cell>
          <cell r="X195">
            <v>36114.425000000003</v>
          </cell>
          <cell r="Y195">
            <v>2889.1540000000005</v>
          </cell>
          <cell r="Z195">
            <v>866.74620000000004</v>
          </cell>
          <cell r="AA195">
            <v>7180.5439500000011</v>
          </cell>
          <cell r="AB195">
            <v>47.870293000000011</v>
          </cell>
        </row>
        <row r="196">
          <cell r="A196" t="str">
            <v>Plant &amp; Pre Folding16R-30</v>
          </cell>
          <cell r="B196" t="str">
            <v>Plant &amp; Pre Folding</v>
          </cell>
          <cell r="C196" t="str">
            <v>16R-30</v>
          </cell>
          <cell r="D196">
            <v>40</v>
          </cell>
          <cell r="E196">
            <v>6.5</v>
          </cell>
          <cell r="F196">
            <v>0.65</v>
          </cell>
          <cell r="G196">
            <v>4.8816568047337278E-2</v>
          </cell>
          <cell r="H196">
            <v>70934</v>
          </cell>
          <cell r="I196">
            <v>45</v>
          </cell>
          <cell r="J196">
            <v>45</v>
          </cell>
          <cell r="K196">
            <v>8</v>
          </cell>
          <cell r="L196">
            <v>150</v>
          </cell>
          <cell r="M196">
            <v>0</v>
          </cell>
          <cell r="N196">
            <v>1200</v>
          </cell>
          <cell r="O196">
            <v>1</v>
          </cell>
          <cell r="P196">
            <v>0.27</v>
          </cell>
          <cell r="Q196">
            <v>1.4</v>
          </cell>
          <cell r="R196">
            <v>1345.0733789791582</v>
          </cell>
          <cell r="S196">
            <v>8.9671558598610552</v>
          </cell>
          <cell r="T196">
            <v>3990.0374999999999</v>
          </cell>
          <cell r="U196">
            <v>26.600249999999999</v>
          </cell>
          <cell r="V196">
            <v>31920.3</v>
          </cell>
          <cell r="W196">
            <v>4876.7124999999996</v>
          </cell>
          <cell r="X196">
            <v>51427.15</v>
          </cell>
          <cell r="Y196">
            <v>4114.1720000000005</v>
          </cell>
          <cell r="Z196">
            <v>1234.2516000000001</v>
          </cell>
          <cell r="AA196">
            <v>10225.1361</v>
          </cell>
          <cell r="AB196">
            <v>68.167574000000002</v>
          </cell>
        </row>
        <row r="197">
          <cell r="A197" t="str">
            <v>Plant &amp; Pre Folding23R-15</v>
          </cell>
          <cell r="B197" t="str">
            <v>Plant &amp; Pre Folding</v>
          </cell>
          <cell r="C197" t="str">
            <v>23R-15</v>
          </cell>
          <cell r="D197">
            <v>28.8</v>
          </cell>
          <cell r="E197">
            <v>6.5</v>
          </cell>
          <cell r="F197">
            <v>0.65</v>
          </cell>
          <cell r="G197">
            <v>6.7800788954635094E-2</v>
          </cell>
          <cell r="H197">
            <v>79286</v>
          </cell>
          <cell r="I197">
            <v>45</v>
          </cell>
          <cell r="J197">
            <v>45</v>
          </cell>
          <cell r="K197">
            <v>8</v>
          </cell>
          <cell r="L197">
            <v>150</v>
          </cell>
          <cell r="M197">
            <v>0</v>
          </cell>
          <cell r="N197">
            <v>1200</v>
          </cell>
          <cell r="O197">
            <v>1</v>
          </cell>
          <cell r="P197">
            <v>0.27</v>
          </cell>
          <cell r="Q197">
            <v>1.4</v>
          </cell>
          <cell r="R197">
            <v>1503.4466958826733</v>
          </cell>
          <cell r="S197">
            <v>10.022977972551155</v>
          </cell>
          <cell r="T197">
            <v>4459.8374999999996</v>
          </cell>
          <cell r="U197">
            <v>29.732249999999997</v>
          </cell>
          <cell r="V197">
            <v>35678.699999999997</v>
          </cell>
          <cell r="W197">
            <v>5450.9125000000004</v>
          </cell>
          <cell r="X197">
            <v>57482.35</v>
          </cell>
          <cell r="Y197">
            <v>4598.5879999999997</v>
          </cell>
          <cell r="Z197">
            <v>1379.5763999999999</v>
          </cell>
          <cell r="AA197">
            <v>11429.0769</v>
          </cell>
          <cell r="AB197">
            <v>76.193845999999994</v>
          </cell>
        </row>
        <row r="198">
          <cell r="A198" t="str">
            <v>Plant &amp; Pre Folding24R-20</v>
          </cell>
          <cell r="B198" t="str">
            <v>Plant &amp; Pre Folding</v>
          </cell>
          <cell r="C198" t="str">
            <v>24R-20</v>
          </cell>
          <cell r="D198">
            <v>40</v>
          </cell>
          <cell r="E198">
            <v>6.5</v>
          </cell>
          <cell r="F198">
            <v>0.65</v>
          </cell>
          <cell r="G198">
            <v>4.8816568047337278E-2</v>
          </cell>
          <cell r="H198">
            <v>94246</v>
          </cell>
          <cell r="I198">
            <v>45</v>
          </cell>
          <cell r="J198">
            <v>45</v>
          </cell>
          <cell r="K198">
            <v>8</v>
          </cell>
          <cell r="L198">
            <v>150</v>
          </cell>
          <cell r="M198">
            <v>0</v>
          </cell>
          <cell r="N198">
            <v>1200</v>
          </cell>
          <cell r="O198">
            <v>1</v>
          </cell>
          <cell r="P198">
            <v>0.27</v>
          </cell>
          <cell r="Q198">
            <v>1.4</v>
          </cell>
          <cell r="R198">
            <v>1787.1230393784328</v>
          </cell>
          <cell r="S198">
            <v>11.914153595856218</v>
          </cell>
          <cell r="T198">
            <v>5301.3374999999996</v>
          </cell>
          <cell r="U198">
            <v>35.34225</v>
          </cell>
          <cell r="V198">
            <v>42410.7</v>
          </cell>
          <cell r="W198">
            <v>6479.4125000000004</v>
          </cell>
          <cell r="X198">
            <v>68328.350000000006</v>
          </cell>
          <cell r="Y198">
            <v>5466.2680000000009</v>
          </cell>
          <cell r="Z198">
            <v>1639.8804000000002</v>
          </cell>
          <cell r="AA198">
            <v>13585.5609</v>
          </cell>
          <cell r="AB198">
            <v>90.570406000000006</v>
          </cell>
        </row>
        <row r="199">
          <cell r="A199" t="str">
            <v>Plant &amp; Pre Folding24R-30</v>
          </cell>
          <cell r="B199" t="str">
            <v>Plant &amp; Pre Folding</v>
          </cell>
          <cell r="C199" t="str">
            <v>24R-30</v>
          </cell>
          <cell r="D199">
            <v>60</v>
          </cell>
          <cell r="E199">
            <v>6.5</v>
          </cell>
          <cell r="F199">
            <v>0.65</v>
          </cell>
          <cell r="G199">
            <v>3.2544378698224852E-2</v>
          </cell>
          <cell r="H199">
            <v>105782</v>
          </cell>
          <cell r="I199">
            <v>45</v>
          </cell>
          <cell r="J199">
            <v>45</v>
          </cell>
          <cell r="K199">
            <v>8</v>
          </cell>
          <cell r="L199">
            <v>150</v>
          </cell>
          <cell r="M199">
            <v>0</v>
          </cell>
          <cell r="N199">
            <v>1200</v>
          </cell>
          <cell r="O199">
            <v>1</v>
          </cell>
          <cell r="P199">
            <v>0.27</v>
          </cell>
          <cell r="Q199">
            <v>1.4</v>
          </cell>
          <cell r="R199">
            <v>2005.8723908869276</v>
          </cell>
          <cell r="S199">
            <v>13.37248260591285</v>
          </cell>
          <cell r="T199">
            <v>5950.2375000000002</v>
          </cell>
          <cell r="U199">
            <v>39.66825</v>
          </cell>
          <cell r="V199">
            <v>47601.9</v>
          </cell>
          <cell r="W199">
            <v>7272.5124999999998</v>
          </cell>
          <cell r="X199">
            <v>76691.95</v>
          </cell>
          <cell r="Y199">
            <v>6135.3559999999998</v>
          </cell>
          <cell r="Z199">
            <v>1840.6068</v>
          </cell>
          <cell r="AA199">
            <v>15248.475299999998</v>
          </cell>
          <cell r="AB199">
            <v>101.65650199999999</v>
          </cell>
        </row>
        <row r="200">
          <cell r="A200" t="str">
            <v>Plant &amp; Pre Folding8R-36</v>
          </cell>
          <cell r="B200" t="str">
            <v>Plant &amp; Pre Folding</v>
          </cell>
          <cell r="C200" t="str">
            <v>8R-36</v>
          </cell>
          <cell r="D200">
            <v>24</v>
          </cell>
          <cell r="E200">
            <v>6.5</v>
          </cell>
          <cell r="F200">
            <v>0.65</v>
          </cell>
          <cell r="G200">
            <v>8.1360946745562129E-2</v>
          </cell>
          <cell r="H200">
            <v>36057</v>
          </cell>
          <cell r="I200">
            <v>45</v>
          </cell>
          <cell r="J200">
            <v>45</v>
          </cell>
          <cell r="K200">
            <v>8</v>
          </cell>
          <cell r="L200">
            <v>150</v>
          </cell>
          <cell r="M200">
            <v>0</v>
          </cell>
          <cell r="N200">
            <v>1200</v>
          </cell>
          <cell r="O200">
            <v>1</v>
          </cell>
          <cell r="P200">
            <v>0.27</v>
          </cell>
          <cell r="Q200">
            <v>1.4</v>
          </cell>
          <cell r="R200">
            <v>683.72445972102958</v>
          </cell>
          <cell r="S200">
            <v>4.5581630648068634</v>
          </cell>
          <cell r="T200">
            <v>2028.20625</v>
          </cell>
          <cell r="U200">
            <v>13.521374999999999</v>
          </cell>
          <cell r="V200">
            <v>16225.65</v>
          </cell>
          <cell r="W200">
            <v>2478.9187499999998</v>
          </cell>
          <cell r="X200">
            <v>26141.325000000001</v>
          </cell>
          <cell r="Y200">
            <v>2091.306</v>
          </cell>
          <cell r="Z200">
            <v>627.39179999999999</v>
          </cell>
          <cell r="AA200">
            <v>5197.6165499999997</v>
          </cell>
          <cell r="AB200">
            <v>34.650776999999998</v>
          </cell>
        </row>
        <row r="201">
          <cell r="A201" t="str">
            <v>Plant &amp; Pre Folding8R40 2x1</v>
          </cell>
          <cell r="B201" t="str">
            <v>Plant &amp; Pre Folding</v>
          </cell>
          <cell r="C201" t="str">
            <v>8R40 2x1</v>
          </cell>
          <cell r="D201">
            <v>40</v>
          </cell>
          <cell r="E201">
            <v>6.5</v>
          </cell>
          <cell r="F201">
            <v>0.65</v>
          </cell>
          <cell r="G201">
            <v>4.8816568047337278E-2</v>
          </cell>
          <cell r="H201">
            <v>49813</v>
          </cell>
          <cell r="I201">
            <v>45</v>
          </cell>
          <cell r="J201">
            <v>45</v>
          </cell>
          <cell r="K201">
            <v>8</v>
          </cell>
          <cell r="L201">
            <v>150</v>
          </cell>
          <cell r="M201">
            <v>0</v>
          </cell>
          <cell r="N201">
            <v>1200</v>
          </cell>
          <cell r="O201">
            <v>1</v>
          </cell>
          <cell r="P201">
            <v>0.27</v>
          </cell>
          <cell r="Q201">
            <v>1.4</v>
          </cell>
          <cell r="R201">
            <v>944.57016701565976</v>
          </cell>
          <cell r="S201">
            <v>6.2971344467710653</v>
          </cell>
          <cell r="T201">
            <v>2801.9812499999998</v>
          </cell>
          <cell r="U201">
            <v>18.679874999999999</v>
          </cell>
          <cell r="V201">
            <v>22415.85</v>
          </cell>
          <cell r="W201">
            <v>3424.6437500000002</v>
          </cell>
          <cell r="X201">
            <v>36114.425000000003</v>
          </cell>
          <cell r="Y201">
            <v>2889.1540000000005</v>
          </cell>
          <cell r="Z201">
            <v>866.74620000000004</v>
          </cell>
          <cell r="AA201">
            <v>7180.5439500000011</v>
          </cell>
          <cell r="AB201">
            <v>47.870293000000011</v>
          </cell>
        </row>
        <row r="202">
          <cell r="A202" t="str">
            <v>Plant &amp; Pre Rigid10R-30</v>
          </cell>
          <cell r="B202" t="str">
            <v>Plant &amp; Pre Rigid</v>
          </cell>
          <cell r="C202" t="str">
            <v>10R-30</v>
          </cell>
          <cell r="D202">
            <v>25</v>
          </cell>
          <cell r="E202">
            <v>6.5</v>
          </cell>
          <cell r="F202">
            <v>0.65</v>
          </cell>
          <cell r="G202">
            <v>7.8106508875739653E-2</v>
          </cell>
          <cell r="H202">
            <v>29259</v>
          </cell>
          <cell r="I202">
            <v>45</v>
          </cell>
          <cell r="J202">
            <v>45</v>
          </cell>
          <cell r="K202">
            <v>8</v>
          </cell>
          <cell r="L202">
            <v>150</v>
          </cell>
          <cell r="M202">
            <v>0</v>
          </cell>
          <cell r="N202">
            <v>1200</v>
          </cell>
          <cell r="O202">
            <v>1</v>
          </cell>
          <cell r="P202">
            <v>0.27</v>
          </cell>
          <cell r="Q202">
            <v>1.4</v>
          </cell>
          <cell r="R202">
            <v>554.81859186780946</v>
          </cell>
          <cell r="S202">
            <v>3.6987906124520631</v>
          </cell>
          <cell r="T202">
            <v>1645.8187499999999</v>
          </cell>
          <cell r="U202">
            <v>10.972125</v>
          </cell>
          <cell r="V202">
            <v>13166.55</v>
          </cell>
          <cell r="W202">
            <v>2011.5562500000001</v>
          </cell>
          <cell r="X202">
            <v>21212.775000000001</v>
          </cell>
          <cell r="Y202">
            <v>1697.0220000000002</v>
          </cell>
          <cell r="Z202">
            <v>509.10660000000007</v>
          </cell>
          <cell r="AA202">
            <v>4217.6848499999996</v>
          </cell>
          <cell r="AB202">
            <v>28.117898999999998</v>
          </cell>
        </row>
        <row r="203">
          <cell r="A203" t="str">
            <v>Plant &amp; Pre Rigid12R-20</v>
          </cell>
          <cell r="B203" t="str">
            <v>Plant &amp; Pre Rigid</v>
          </cell>
          <cell r="C203" t="str">
            <v>12R-20</v>
          </cell>
          <cell r="D203">
            <v>20</v>
          </cell>
          <cell r="E203">
            <v>6.5</v>
          </cell>
          <cell r="F203">
            <v>0.65</v>
          </cell>
          <cell r="G203">
            <v>9.7633136094674555E-2</v>
          </cell>
          <cell r="H203">
            <v>33623</v>
          </cell>
          <cell r="I203">
            <v>45</v>
          </cell>
          <cell r="J203">
            <v>45</v>
          </cell>
          <cell r="K203">
            <v>8</v>
          </cell>
          <cell r="L203">
            <v>150</v>
          </cell>
          <cell r="M203">
            <v>0</v>
          </cell>
          <cell r="N203">
            <v>1200</v>
          </cell>
          <cell r="O203">
            <v>1</v>
          </cell>
          <cell r="P203">
            <v>0.27</v>
          </cell>
          <cell r="Q203">
            <v>1.4</v>
          </cell>
          <cell r="R203">
            <v>637.57016693569005</v>
          </cell>
          <cell r="S203">
            <v>4.2504677795712666</v>
          </cell>
          <cell r="T203">
            <v>1891.29375</v>
          </cell>
          <cell r="U203">
            <v>12.608625</v>
          </cell>
          <cell r="V203">
            <v>15130.35</v>
          </cell>
          <cell r="W203">
            <v>2311.5812500000002</v>
          </cell>
          <cell r="X203">
            <v>24376.674999999999</v>
          </cell>
          <cell r="Y203">
            <v>1950.134</v>
          </cell>
          <cell r="Z203">
            <v>585.04020000000003</v>
          </cell>
          <cell r="AA203">
            <v>4846.7554500000006</v>
          </cell>
          <cell r="AB203">
            <v>32.311703000000001</v>
          </cell>
        </row>
        <row r="204">
          <cell r="A204" t="str">
            <v>Plant &amp; Pre Rigid12R-30</v>
          </cell>
          <cell r="B204" t="str">
            <v>Plant &amp; Pre Rigid</v>
          </cell>
          <cell r="C204" t="str">
            <v>12R-30</v>
          </cell>
          <cell r="D204">
            <v>30</v>
          </cell>
          <cell r="E204">
            <v>6.5</v>
          </cell>
          <cell r="F204">
            <v>0.65</v>
          </cell>
          <cell r="G204">
            <v>6.5088757396449703E-2</v>
          </cell>
          <cell r="H204">
            <v>48556</v>
          </cell>
          <cell r="I204">
            <v>45</v>
          </cell>
          <cell r="J204">
            <v>45</v>
          </cell>
          <cell r="K204">
            <v>8</v>
          </cell>
          <cell r="L204">
            <v>150</v>
          </cell>
          <cell r="M204">
            <v>0</v>
          </cell>
          <cell r="N204">
            <v>1200</v>
          </cell>
          <cell r="O204">
            <v>1</v>
          </cell>
          <cell r="P204">
            <v>0.27</v>
          </cell>
          <cell r="Q204">
            <v>1.4</v>
          </cell>
          <cell r="R204">
            <v>920.7345277259426</v>
          </cell>
          <cell r="S204">
            <v>6.1382301848396175</v>
          </cell>
          <cell r="T204">
            <v>2731.2750000000001</v>
          </cell>
          <cell r="U204">
            <v>18.208500000000001</v>
          </cell>
          <cell r="V204">
            <v>21850.2</v>
          </cell>
          <cell r="W204">
            <v>3338.2249999999999</v>
          </cell>
          <cell r="X204">
            <v>35203.1</v>
          </cell>
          <cell r="Y204">
            <v>2816.248</v>
          </cell>
          <cell r="Z204">
            <v>844.87440000000004</v>
          </cell>
          <cell r="AA204">
            <v>6999.3474000000006</v>
          </cell>
          <cell r="AB204">
            <v>46.662316000000004</v>
          </cell>
        </row>
        <row r="205">
          <cell r="A205" t="str">
            <v>Plant &amp; Pre Rigid4R-30</v>
          </cell>
          <cell r="B205" t="str">
            <v>Plant &amp; Pre Rigid</v>
          </cell>
          <cell r="C205" t="str">
            <v>4R-30</v>
          </cell>
          <cell r="D205">
            <v>10</v>
          </cell>
          <cell r="E205">
            <v>6.5</v>
          </cell>
          <cell r="F205">
            <v>0.65</v>
          </cell>
          <cell r="G205">
            <v>0.19526627218934911</v>
          </cell>
          <cell r="H205">
            <v>19415</v>
          </cell>
          <cell r="I205">
            <v>45</v>
          </cell>
          <cell r="J205">
            <v>45</v>
          </cell>
          <cell r="K205">
            <v>8</v>
          </cell>
          <cell r="L205">
            <v>150</v>
          </cell>
          <cell r="M205">
            <v>0</v>
          </cell>
          <cell r="N205">
            <v>1200</v>
          </cell>
          <cell r="O205">
            <v>1</v>
          </cell>
          <cell r="P205">
            <v>0.27</v>
          </cell>
          <cell r="Q205">
            <v>1.4</v>
          </cell>
          <cell r="R205">
            <v>368.15348990442322</v>
          </cell>
          <cell r="S205">
            <v>2.4543565993628214</v>
          </cell>
          <cell r="T205">
            <v>1092.09375</v>
          </cell>
          <cell r="U205">
            <v>7.2806249999999997</v>
          </cell>
          <cell r="V205">
            <v>8736.75</v>
          </cell>
          <cell r="W205">
            <v>1334.78125</v>
          </cell>
          <cell r="X205">
            <v>14075.875</v>
          </cell>
          <cell r="Y205">
            <v>1126.07</v>
          </cell>
          <cell r="Z205">
            <v>337.82100000000003</v>
          </cell>
          <cell r="AA205">
            <v>2798.6722500000001</v>
          </cell>
          <cell r="AB205">
            <v>18.657814999999999</v>
          </cell>
        </row>
        <row r="206">
          <cell r="A206" t="str">
            <v>Plant &amp; Pre Rigid4R-36</v>
          </cell>
          <cell r="B206" t="str">
            <v>Plant &amp; Pre Rigid</v>
          </cell>
          <cell r="C206" t="str">
            <v>4R-36</v>
          </cell>
          <cell r="D206">
            <v>12</v>
          </cell>
          <cell r="E206">
            <v>6.5</v>
          </cell>
          <cell r="F206">
            <v>0.65</v>
          </cell>
          <cell r="G206">
            <v>0.16272189349112426</v>
          </cell>
          <cell r="H206">
            <v>18990</v>
          </cell>
          <cell r="I206">
            <v>45</v>
          </cell>
          <cell r="J206">
            <v>45</v>
          </cell>
          <cell r="K206">
            <v>8</v>
          </cell>
          <cell r="L206">
            <v>150</v>
          </cell>
          <cell r="M206">
            <v>0</v>
          </cell>
          <cell r="N206">
            <v>1200</v>
          </cell>
          <cell r="O206">
            <v>1</v>
          </cell>
          <cell r="P206">
            <v>0.27</v>
          </cell>
          <cell r="Q206">
            <v>1.4</v>
          </cell>
          <cell r="R206">
            <v>360.09450287329372</v>
          </cell>
          <cell r="S206">
            <v>2.4006300191552916</v>
          </cell>
          <cell r="T206">
            <v>1068.1875</v>
          </cell>
          <cell r="U206">
            <v>7.1212499999999999</v>
          </cell>
          <cell r="V206">
            <v>8545.5</v>
          </cell>
          <cell r="W206">
            <v>1305.5625</v>
          </cell>
          <cell r="X206">
            <v>13767.75</v>
          </cell>
          <cell r="Y206">
            <v>1101.42</v>
          </cell>
          <cell r="Z206">
            <v>330.42599999999999</v>
          </cell>
          <cell r="AA206">
            <v>2737.4085</v>
          </cell>
          <cell r="AB206">
            <v>18.249390000000002</v>
          </cell>
        </row>
        <row r="207">
          <cell r="A207" t="str">
            <v>Plant &amp; Pre Rigid6R-30</v>
          </cell>
          <cell r="B207" t="str">
            <v>Plant &amp; Pre Rigid</v>
          </cell>
          <cell r="C207" t="str">
            <v>6R-30</v>
          </cell>
          <cell r="D207">
            <v>15</v>
          </cell>
          <cell r="E207">
            <v>6.5</v>
          </cell>
          <cell r="F207">
            <v>0.65</v>
          </cell>
          <cell r="G207">
            <v>0.13017751479289941</v>
          </cell>
          <cell r="H207">
            <v>24422</v>
          </cell>
          <cell r="I207">
            <v>45</v>
          </cell>
          <cell r="J207">
            <v>45</v>
          </cell>
          <cell r="K207">
            <v>8</v>
          </cell>
          <cell r="L207">
            <v>150</v>
          </cell>
          <cell r="M207">
            <v>0</v>
          </cell>
          <cell r="N207">
            <v>1200</v>
          </cell>
          <cell r="O207">
            <v>1</v>
          </cell>
          <cell r="P207">
            <v>0.27</v>
          </cell>
          <cell r="Q207">
            <v>1.4</v>
          </cell>
          <cell r="R207">
            <v>463.09783829234226</v>
          </cell>
          <cell r="S207">
            <v>3.0873189219489485</v>
          </cell>
          <cell r="T207">
            <v>1373.7375</v>
          </cell>
          <cell r="U207">
            <v>9.1582499999999989</v>
          </cell>
          <cell r="V207">
            <v>10989.9</v>
          </cell>
          <cell r="W207">
            <v>1679.0125</v>
          </cell>
          <cell r="X207">
            <v>17705.95</v>
          </cell>
          <cell r="Y207">
            <v>1416.4760000000001</v>
          </cell>
          <cell r="Z207">
            <v>424.94280000000003</v>
          </cell>
          <cell r="AA207">
            <v>3520.4313000000002</v>
          </cell>
          <cell r="AB207">
            <v>23.469542000000001</v>
          </cell>
        </row>
        <row r="208">
          <cell r="A208" t="str">
            <v>Plant &amp; Pre Rigid6R-36</v>
          </cell>
          <cell r="B208" t="str">
            <v>Plant &amp; Pre Rigid</v>
          </cell>
          <cell r="C208" t="str">
            <v>6R-36</v>
          </cell>
          <cell r="D208">
            <v>18</v>
          </cell>
          <cell r="E208">
            <v>6.5</v>
          </cell>
          <cell r="F208">
            <v>0.65</v>
          </cell>
          <cell r="G208">
            <v>0.10848126232741617</v>
          </cell>
          <cell r="H208">
            <v>23617</v>
          </cell>
          <cell r="I208">
            <v>45</v>
          </cell>
          <cell r="J208">
            <v>45</v>
          </cell>
          <cell r="K208">
            <v>8</v>
          </cell>
          <cell r="L208">
            <v>150</v>
          </cell>
          <cell r="M208">
            <v>0</v>
          </cell>
          <cell r="N208">
            <v>1200</v>
          </cell>
          <cell r="O208">
            <v>1</v>
          </cell>
          <cell r="P208">
            <v>0.27</v>
          </cell>
          <cell r="Q208">
            <v>1.4</v>
          </cell>
          <cell r="R208">
            <v>447.83316873926157</v>
          </cell>
          <cell r="S208">
            <v>2.9855544582617437</v>
          </cell>
          <cell r="T208">
            <v>1328.45625</v>
          </cell>
          <cell r="U208">
            <v>8.8563749999999999</v>
          </cell>
          <cell r="V208">
            <v>10627.65</v>
          </cell>
          <cell r="W208">
            <v>1623.66875</v>
          </cell>
          <cell r="X208">
            <v>17122.325000000001</v>
          </cell>
          <cell r="Y208">
            <v>1369.7860000000001</v>
          </cell>
          <cell r="Z208">
            <v>410.93580000000003</v>
          </cell>
          <cell r="AA208">
            <v>3404.3905500000001</v>
          </cell>
          <cell r="AB208">
            <v>22.695937000000001</v>
          </cell>
        </row>
        <row r="209">
          <cell r="A209" t="str">
            <v>Plant &amp; Pre Rigid8R-22</v>
          </cell>
          <cell r="B209" t="str">
            <v>Plant &amp; Pre Rigid</v>
          </cell>
          <cell r="C209" t="str">
            <v>8R-22</v>
          </cell>
          <cell r="D209">
            <v>14.7</v>
          </cell>
          <cell r="E209">
            <v>6.5</v>
          </cell>
          <cell r="F209">
            <v>0.65</v>
          </cell>
          <cell r="G209">
            <v>0.13283419876826469</v>
          </cell>
          <cell r="H209">
            <v>23550</v>
          </cell>
          <cell r="I209">
            <v>45</v>
          </cell>
          <cell r="J209">
            <v>45</v>
          </cell>
          <cell r="K209">
            <v>8</v>
          </cell>
          <cell r="L209">
            <v>150</v>
          </cell>
          <cell r="M209">
            <v>0</v>
          </cell>
          <cell r="N209">
            <v>1200</v>
          </cell>
          <cell r="O209">
            <v>1</v>
          </cell>
          <cell r="P209">
            <v>0.27</v>
          </cell>
          <cell r="Q209">
            <v>1.4</v>
          </cell>
          <cell r="R209">
            <v>446.56269313670703</v>
          </cell>
          <cell r="S209">
            <v>2.9770846209113802</v>
          </cell>
          <cell r="T209">
            <v>1324.6875</v>
          </cell>
          <cell r="U209">
            <v>8.8312500000000007</v>
          </cell>
          <cell r="V209">
            <v>10597.5</v>
          </cell>
          <cell r="W209">
            <v>1619.0625</v>
          </cell>
          <cell r="X209">
            <v>17073.75</v>
          </cell>
          <cell r="Y209">
            <v>1365.9</v>
          </cell>
          <cell r="Z209">
            <v>409.77</v>
          </cell>
          <cell r="AA209">
            <v>3394.7325000000001</v>
          </cell>
          <cell r="AB209">
            <v>22.631550000000001</v>
          </cell>
        </row>
        <row r="210">
          <cell r="A210" t="str">
            <v>Plant &amp; Pre Rigid8R-30</v>
          </cell>
          <cell r="B210" t="str">
            <v>Plant &amp; Pre Rigid</v>
          </cell>
          <cell r="C210" t="str">
            <v>8R-30</v>
          </cell>
          <cell r="D210">
            <v>20</v>
          </cell>
          <cell r="E210">
            <v>6.5</v>
          </cell>
          <cell r="F210">
            <v>0.65</v>
          </cell>
          <cell r="G210">
            <v>9.7633136094674555E-2</v>
          </cell>
          <cell r="H210">
            <v>27748</v>
          </cell>
          <cell r="I210">
            <v>45</v>
          </cell>
          <cell r="J210">
            <v>45</v>
          </cell>
          <cell r="K210">
            <v>8</v>
          </cell>
          <cell r="L210">
            <v>150</v>
          </cell>
          <cell r="M210">
            <v>0</v>
          </cell>
          <cell r="N210">
            <v>1200</v>
          </cell>
          <cell r="O210">
            <v>1</v>
          </cell>
          <cell r="P210">
            <v>0.27</v>
          </cell>
          <cell r="Q210">
            <v>1.4</v>
          </cell>
          <cell r="R210">
            <v>526.16652268184066</v>
          </cell>
          <cell r="S210">
            <v>3.5077768178789377</v>
          </cell>
          <cell r="T210">
            <v>1560.825</v>
          </cell>
          <cell r="U210">
            <v>10.4055</v>
          </cell>
          <cell r="V210">
            <v>12486.6</v>
          </cell>
          <cell r="W210">
            <v>1907.675</v>
          </cell>
          <cell r="X210">
            <v>20117.3</v>
          </cell>
          <cell r="Y210">
            <v>1609.384</v>
          </cell>
          <cell r="Z210">
            <v>482.8152</v>
          </cell>
          <cell r="AA210">
            <v>3999.8742000000002</v>
          </cell>
          <cell r="AB210">
            <v>26.665828000000001</v>
          </cell>
        </row>
        <row r="211">
          <cell r="A211" t="str">
            <v>Plant &amp; Pre Rigid8R-36</v>
          </cell>
          <cell r="B211" t="str">
            <v>Plant &amp; Pre Rigid</v>
          </cell>
          <cell r="C211" t="str">
            <v>8R-36</v>
          </cell>
          <cell r="D211">
            <v>24</v>
          </cell>
          <cell r="E211">
            <v>6.5</v>
          </cell>
          <cell r="F211">
            <v>0.65</v>
          </cell>
          <cell r="G211">
            <v>8.1360946745562129E-2</v>
          </cell>
          <cell r="H211">
            <v>27329</v>
          </cell>
          <cell r="I211">
            <v>45</v>
          </cell>
          <cell r="J211">
            <v>45</v>
          </cell>
          <cell r="K211">
            <v>8</v>
          </cell>
          <cell r="L211">
            <v>150</v>
          </cell>
          <cell r="M211">
            <v>0</v>
          </cell>
          <cell r="N211">
            <v>1200</v>
          </cell>
          <cell r="O211">
            <v>1</v>
          </cell>
          <cell r="P211">
            <v>0.27</v>
          </cell>
          <cell r="Q211">
            <v>1.4</v>
          </cell>
          <cell r="R211">
            <v>518.22130958526827</v>
          </cell>
          <cell r="S211">
            <v>3.4548087305684549</v>
          </cell>
          <cell r="T211">
            <v>1537.2562499999999</v>
          </cell>
          <cell r="U211">
            <v>10.248374999999999</v>
          </cell>
          <cell r="V211">
            <v>12298.05</v>
          </cell>
          <cell r="W211">
            <v>1878.8687500000001</v>
          </cell>
          <cell r="X211">
            <v>19813.525000000001</v>
          </cell>
          <cell r="Y211">
            <v>1585.0820000000001</v>
          </cell>
          <cell r="Z211">
            <v>475.52460000000002</v>
          </cell>
          <cell r="AA211">
            <v>3939.4753500000002</v>
          </cell>
          <cell r="AB211">
            <v>26.263169000000001</v>
          </cell>
        </row>
        <row r="212">
          <cell r="A212" t="str">
            <v>Plow 4 Bottom Switch6'</v>
          </cell>
          <cell r="B212" t="str">
            <v>Plow 4 Bottom Switch</v>
          </cell>
          <cell r="C212" t="str">
            <v>6'</v>
          </cell>
          <cell r="D212">
            <v>6</v>
          </cell>
          <cell r="E212">
            <v>4</v>
          </cell>
          <cell r="F212">
            <v>0.8</v>
          </cell>
          <cell r="G212">
            <v>0.4296875</v>
          </cell>
          <cell r="H212">
            <v>10000</v>
          </cell>
          <cell r="I212">
            <v>30</v>
          </cell>
          <cell r="J212">
            <v>40</v>
          </cell>
          <cell r="K212">
            <v>8</v>
          </cell>
          <cell r="L212">
            <v>150</v>
          </cell>
          <cell r="M212">
            <v>0</v>
          </cell>
          <cell r="N212">
            <v>1200</v>
          </cell>
          <cell r="O212">
            <v>1</v>
          </cell>
          <cell r="P212">
            <v>0.27</v>
          </cell>
          <cell r="Q212">
            <v>1.4</v>
          </cell>
          <cell r="R212">
            <v>189.62322426187134</v>
          </cell>
          <cell r="S212">
            <v>1.2641548284124757</v>
          </cell>
          <cell r="T212">
            <v>500</v>
          </cell>
          <cell r="U212">
            <v>3.3333333333333335</v>
          </cell>
          <cell r="V212">
            <v>3000</v>
          </cell>
          <cell r="W212">
            <v>875</v>
          </cell>
          <cell r="X212">
            <v>6500</v>
          </cell>
          <cell r="Y212">
            <v>520</v>
          </cell>
          <cell r="Z212">
            <v>156</v>
          </cell>
          <cell r="AA212">
            <v>1551</v>
          </cell>
          <cell r="AB212">
            <v>10.34</v>
          </cell>
        </row>
        <row r="213">
          <cell r="A213" t="str">
            <v>Plow 5 Bottom Switch7.5'</v>
          </cell>
          <cell r="B213" t="str">
            <v>Plow 5 Bottom Switch</v>
          </cell>
          <cell r="C213" t="str">
            <v>7.5'</v>
          </cell>
          <cell r="D213">
            <v>7.5</v>
          </cell>
          <cell r="E213">
            <v>4</v>
          </cell>
          <cell r="F213">
            <v>0.8</v>
          </cell>
          <cell r="G213">
            <v>0.34375</v>
          </cell>
          <cell r="H213">
            <v>11500</v>
          </cell>
          <cell r="I213">
            <v>30</v>
          </cell>
          <cell r="J213">
            <v>40</v>
          </cell>
          <cell r="K213">
            <v>8</v>
          </cell>
          <cell r="L213">
            <v>150</v>
          </cell>
          <cell r="M213">
            <v>0</v>
          </cell>
          <cell r="N213">
            <v>1200</v>
          </cell>
          <cell r="O213">
            <v>1</v>
          </cell>
          <cell r="P213">
            <v>0.27</v>
          </cell>
          <cell r="Q213">
            <v>1.4</v>
          </cell>
          <cell r="R213">
            <v>218.06670790115206</v>
          </cell>
          <cell r="S213">
            <v>1.4537780526743471</v>
          </cell>
          <cell r="T213">
            <v>575</v>
          </cell>
          <cell r="U213">
            <v>3.8333333333333335</v>
          </cell>
          <cell r="V213">
            <v>3450</v>
          </cell>
          <cell r="W213">
            <v>1006.25</v>
          </cell>
          <cell r="X213">
            <v>7475</v>
          </cell>
          <cell r="Y213">
            <v>598</v>
          </cell>
          <cell r="Z213">
            <v>179.4</v>
          </cell>
          <cell r="AA213">
            <v>1783.65</v>
          </cell>
          <cell r="AB213">
            <v>11.891</v>
          </cell>
        </row>
        <row r="214">
          <cell r="A214" t="str">
            <v>Roller32'</v>
          </cell>
          <cell r="B214" t="str">
            <v>Roller</v>
          </cell>
          <cell r="C214" t="str">
            <v>32'</v>
          </cell>
          <cell r="D214">
            <v>32</v>
          </cell>
          <cell r="E214">
            <v>6.5</v>
          </cell>
          <cell r="F214">
            <v>0.85</v>
          </cell>
          <cell r="G214">
            <v>4.6662895927601811E-2</v>
          </cell>
          <cell r="H214">
            <v>14923</v>
          </cell>
          <cell r="I214">
            <v>30</v>
          </cell>
          <cell r="J214">
            <v>20</v>
          </cell>
          <cell r="K214">
            <v>12</v>
          </cell>
          <cell r="L214">
            <v>100</v>
          </cell>
          <cell r="M214">
            <v>0</v>
          </cell>
          <cell r="N214">
            <v>1200</v>
          </cell>
          <cell r="O214">
            <v>1</v>
          </cell>
          <cell r="P214">
            <v>0.27</v>
          </cell>
          <cell r="Q214">
            <v>1.4</v>
          </cell>
          <cell r="R214">
            <v>160.40573926658578</v>
          </cell>
          <cell r="S214">
            <v>1.6040573926658579</v>
          </cell>
          <cell r="T214">
            <v>248.71666666666667</v>
          </cell>
          <cell r="U214">
            <v>2.4871666666666665</v>
          </cell>
          <cell r="V214">
            <v>4476.8999999999996</v>
          </cell>
          <cell r="W214">
            <v>870.50833333333333</v>
          </cell>
          <cell r="X214">
            <v>9699.9500000000007</v>
          </cell>
          <cell r="Y214">
            <v>775.99600000000009</v>
          </cell>
          <cell r="Z214">
            <v>232.79880000000003</v>
          </cell>
          <cell r="AA214">
            <v>1879.3031333333333</v>
          </cell>
          <cell r="AB214">
            <v>18.793031333333332</v>
          </cell>
        </row>
        <row r="215">
          <cell r="A215" t="str">
            <v>Rotary Cutter12'</v>
          </cell>
          <cell r="B215" t="str">
            <v>Rotary Cutter</v>
          </cell>
          <cell r="C215" t="str">
            <v>12'</v>
          </cell>
          <cell r="D215">
            <v>12</v>
          </cell>
          <cell r="E215">
            <v>8.75</v>
          </cell>
          <cell r="F215">
            <v>0.8</v>
          </cell>
          <cell r="G215">
            <v>9.8214285714285712E-2</v>
          </cell>
          <cell r="H215">
            <v>6735</v>
          </cell>
          <cell r="I215">
            <v>30</v>
          </cell>
          <cell r="J215">
            <v>150</v>
          </cell>
          <cell r="K215">
            <v>10</v>
          </cell>
          <cell r="L215">
            <v>185</v>
          </cell>
          <cell r="M215">
            <v>0</v>
          </cell>
          <cell r="N215">
            <v>1850</v>
          </cell>
          <cell r="O215">
            <v>1</v>
          </cell>
          <cell r="P215">
            <v>0.27</v>
          </cell>
          <cell r="Q215">
            <v>1.4</v>
          </cell>
          <cell r="R215">
            <v>171.29385524779704</v>
          </cell>
          <cell r="S215">
            <v>0.92591273106917316</v>
          </cell>
          <cell r="T215">
            <v>1010.25</v>
          </cell>
          <cell r="U215">
            <v>5.4608108108108109</v>
          </cell>
          <cell r="V215">
            <v>2020.5</v>
          </cell>
          <cell r="W215">
            <v>471.45</v>
          </cell>
          <cell r="X215">
            <v>4377.75</v>
          </cell>
          <cell r="Y215">
            <v>350.22</v>
          </cell>
          <cell r="Z215">
            <v>105.066</v>
          </cell>
          <cell r="AA215">
            <v>926.7360000000001</v>
          </cell>
          <cell r="AB215">
            <v>5.0093837837837842</v>
          </cell>
        </row>
        <row r="216">
          <cell r="A216" t="str">
            <v>Rotary Cutter15'</v>
          </cell>
          <cell r="B216" t="str">
            <v>Rotary Cutter</v>
          </cell>
          <cell r="C216" t="str">
            <v>15'</v>
          </cell>
          <cell r="D216">
            <v>15</v>
          </cell>
          <cell r="E216">
            <v>8.75</v>
          </cell>
          <cell r="F216">
            <v>0.8</v>
          </cell>
          <cell r="G216">
            <v>7.857142857142857E-2</v>
          </cell>
          <cell r="H216">
            <v>13517</v>
          </cell>
          <cell r="I216">
            <v>30</v>
          </cell>
          <cell r="J216">
            <v>150</v>
          </cell>
          <cell r="K216">
            <v>10</v>
          </cell>
          <cell r="L216">
            <v>185</v>
          </cell>
          <cell r="M216">
            <v>0</v>
          </cell>
          <cell r="N216">
            <v>1850</v>
          </cell>
          <cell r="O216">
            <v>1</v>
          </cell>
          <cell r="P216">
            <v>0.27</v>
          </cell>
          <cell r="Q216">
            <v>1.4</v>
          </cell>
          <cell r="R216">
            <v>343.78307964134711</v>
          </cell>
          <cell r="S216">
            <v>1.8582869169802547</v>
          </cell>
          <cell r="T216">
            <v>2027.55</v>
          </cell>
          <cell r="U216">
            <v>10.95972972972973</v>
          </cell>
          <cell r="V216">
            <v>4055.1</v>
          </cell>
          <cell r="W216">
            <v>946.18999999999994</v>
          </cell>
          <cell r="X216">
            <v>8786.0499999999993</v>
          </cell>
          <cell r="Y216">
            <v>702.8839999999999</v>
          </cell>
          <cell r="Z216">
            <v>210.86519999999999</v>
          </cell>
          <cell r="AA216">
            <v>1859.9391999999998</v>
          </cell>
          <cell r="AB216">
            <v>10.053725405405403</v>
          </cell>
        </row>
        <row r="217">
          <cell r="A217" t="str">
            <v>Rotary Cutter7'</v>
          </cell>
          <cell r="B217" t="str">
            <v>Rotary Cutter</v>
          </cell>
          <cell r="C217" t="str">
            <v>7'</v>
          </cell>
          <cell r="D217">
            <v>7</v>
          </cell>
          <cell r="E217">
            <v>8.75</v>
          </cell>
          <cell r="F217">
            <v>0.8</v>
          </cell>
          <cell r="G217">
            <v>0.1683673469387755</v>
          </cell>
          <cell r="H217">
            <v>3686</v>
          </cell>
          <cell r="I217">
            <v>30</v>
          </cell>
          <cell r="J217">
            <v>150</v>
          </cell>
          <cell r="K217">
            <v>10</v>
          </cell>
          <cell r="L217">
            <v>185</v>
          </cell>
          <cell r="M217">
            <v>0</v>
          </cell>
          <cell r="N217">
            <v>1850</v>
          </cell>
          <cell r="O217">
            <v>1</v>
          </cell>
          <cell r="P217">
            <v>0.27</v>
          </cell>
          <cell r="Q217">
            <v>1.4</v>
          </cell>
          <cell r="R217">
            <v>93.7474610903311</v>
          </cell>
          <cell r="S217">
            <v>0.50674303292070866</v>
          </cell>
          <cell r="T217">
            <v>552.9</v>
          </cell>
          <cell r="U217">
            <v>2.9886486486486485</v>
          </cell>
          <cell r="V217">
            <v>1105.8</v>
          </cell>
          <cell r="W217">
            <v>258.02</v>
          </cell>
          <cell r="X217">
            <v>2395.9</v>
          </cell>
          <cell r="Y217">
            <v>191.67200000000003</v>
          </cell>
          <cell r="Z217">
            <v>57.501600000000003</v>
          </cell>
          <cell r="AA217">
            <v>507.1936</v>
          </cell>
          <cell r="AB217">
            <v>2.7415870270270268</v>
          </cell>
        </row>
        <row r="218">
          <cell r="A218" t="str">
            <v>Row Cond &amp; Inc13'</v>
          </cell>
          <cell r="B218" t="str">
            <v>Row Cond &amp; Inc</v>
          </cell>
          <cell r="C218" t="str">
            <v>13'</v>
          </cell>
          <cell r="D218">
            <v>13</v>
          </cell>
          <cell r="E218">
            <v>5.75</v>
          </cell>
          <cell r="F218">
            <v>0.85</v>
          </cell>
          <cell r="G218">
            <v>0.12984457997245721</v>
          </cell>
          <cell r="H218">
            <v>10401</v>
          </cell>
          <cell r="I218">
            <v>30</v>
          </cell>
          <cell r="J218">
            <v>25</v>
          </cell>
          <cell r="K218">
            <v>10</v>
          </cell>
          <cell r="L218">
            <v>100</v>
          </cell>
          <cell r="M218">
            <v>0</v>
          </cell>
          <cell r="N218">
            <v>1000</v>
          </cell>
          <cell r="O218">
            <v>1</v>
          </cell>
          <cell r="P218">
            <v>0.27</v>
          </cell>
          <cell r="Q218">
            <v>1.4</v>
          </cell>
          <cell r="R218">
            <v>111.79924238502704</v>
          </cell>
          <cell r="S218">
            <v>1.1179924238502705</v>
          </cell>
          <cell r="T218">
            <v>260.02499999999998</v>
          </cell>
          <cell r="U218">
            <v>2.60025</v>
          </cell>
          <cell r="V218">
            <v>3120.3</v>
          </cell>
          <cell r="W218">
            <v>728.06999999999994</v>
          </cell>
          <cell r="X218">
            <v>6760.65</v>
          </cell>
          <cell r="Y218">
            <v>540.85199999999998</v>
          </cell>
          <cell r="Z218">
            <v>162.25559999999999</v>
          </cell>
          <cell r="AA218">
            <v>1431.1776</v>
          </cell>
          <cell r="AB218">
            <v>14.311776</v>
          </cell>
        </row>
        <row r="219">
          <cell r="A219" t="str">
            <v>Row Cond &amp; Inc21'</v>
          </cell>
          <cell r="B219" t="str">
            <v>Row Cond &amp; Inc</v>
          </cell>
          <cell r="C219" t="str">
            <v>21'</v>
          </cell>
          <cell r="D219">
            <v>21</v>
          </cell>
          <cell r="E219">
            <v>5.75</v>
          </cell>
          <cell r="F219">
            <v>0.85</v>
          </cell>
          <cell r="G219">
            <v>8.0379978078187794E-2</v>
          </cell>
          <cell r="H219">
            <v>13066</v>
          </cell>
          <cell r="I219">
            <v>30</v>
          </cell>
          <cell r="J219">
            <v>25</v>
          </cell>
          <cell r="K219">
            <v>10</v>
          </cell>
          <cell r="L219">
            <v>100</v>
          </cell>
          <cell r="M219">
            <v>0</v>
          </cell>
          <cell r="N219">
            <v>1000</v>
          </cell>
          <cell r="O219">
            <v>1</v>
          </cell>
          <cell r="P219">
            <v>0.27</v>
          </cell>
          <cell r="Q219">
            <v>1.4</v>
          </cell>
          <cell r="R219">
            <v>140.44504384220394</v>
          </cell>
          <cell r="S219">
            <v>1.4044504384220395</v>
          </cell>
          <cell r="T219">
            <v>326.64999999999998</v>
          </cell>
          <cell r="U219">
            <v>3.2664999999999997</v>
          </cell>
          <cell r="V219">
            <v>3919.8</v>
          </cell>
          <cell r="W219">
            <v>914.62000000000012</v>
          </cell>
          <cell r="X219">
            <v>8492.9</v>
          </cell>
          <cell r="Y219">
            <v>679.43200000000002</v>
          </cell>
          <cell r="Z219">
            <v>203.8296</v>
          </cell>
          <cell r="AA219">
            <v>1797.8816000000002</v>
          </cell>
          <cell r="AB219">
            <v>17.978816000000002</v>
          </cell>
        </row>
        <row r="220">
          <cell r="A220" t="str">
            <v>Row Cond &amp; Inc27'</v>
          </cell>
          <cell r="B220" t="str">
            <v>Row Cond &amp; Inc</v>
          </cell>
          <cell r="C220" t="str">
            <v>27'</v>
          </cell>
          <cell r="D220">
            <v>27</v>
          </cell>
          <cell r="E220">
            <v>5.75</v>
          </cell>
          <cell r="F220">
            <v>0.85</v>
          </cell>
          <cell r="G220">
            <v>6.2517760727479402E-2</v>
          </cell>
          <cell r="H220">
            <v>14846</v>
          </cell>
          <cell r="I220">
            <v>30</v>
          </cell>
          <cell r="J220">
            <v>25</v>
          </cell>
          <cell r="K220">
            <v>10</v>
          </cell>
          <cell r="L220">
            <v>100</v>
          </cell>
          <cell r="M220">
            <v>0</v>
          </cell>
          <cell r="N220">
            <v>1000</v>
          </cell>
          <cell r="O220">
            <v>1</v>
          </cell>
          <cell r="P220">
            <v>0.27</v>
          </cell>
          <cell r="Q220">
            <v>1.4</v>
          </cell>
          <cell r="R220">
            <v>159.57807445900505</v>
          </cell>
          <cell r="S220">
            <v>1.5957807445900505</v>
          </cell>
          <cell r="T220">
            <v>371.15</v>
          </cell>
          <cell r="U220">
            <v>3.7114999999999996</v>
          </cell>
          <cell r="V220">
            <v>4453.8</v>
          </cell>
          <cell r="W220">
            <v>1039.22</v>
          </cell>
          <cell r="X220">
            <v>9649.9</v>
          </cell>
          <cell r="Y220">
            <v>771.99199999999996</v>
          </cell>
          <cell r="Z220">
            <v>231.5976</v>
          </cell>
          <cell r="AA220">
            <v>2042.8096</v>
          </cell>
          <cell r="AB220">
            <v>20.428096</v>
          </cell>
        </row>
        <row r="221">
          <cell r="A221" t="str">
            <v>Row Cond &amp; Inc32'</v>
          </cell>
          <cell r="B221" t="str">
            <v>Row Cond &amp; Inc</v>
          </cell>
          <cell r="C221" t="str">
            <v>32'</v>
          </cell>
          <cell r="D221">
            <v>32</v>
          </cell>
          <cell r="E221">
            <v>5.75</v>
          </cell>
          <cell r="F221">
            <v>0.85</v>
          </cell>
          <cell r="G221">
            <v>5.274936061381074E-2</v>
          </cell>
          <cell r="H221">
            <v>20619</v>
          </cell>
          <cell r="I221">
            <v>30</v>
          </cell>
          <cell r="J221">
            <v>25</v>
          </cell>
          <cell r="K221">
            <v>10</v>
          </cell>
          <cell r="L221">
            <v>100</v>
          </cell>
          <cell r="M221">
            <v>0</v>
          </cell>
          <cell r="N221">
            <v>1000</v>
          </cell>
          <cell r="O221">
            <v>1</v>
          </cell>
          <cell r="P221">
            <v>0.27</v>
          </cell>
          <cell r="Q221">
            <v>1.4</v>
          </cell>
          <cell r="R221">
            <v>221.63143724034924</v>
          </cell>
          <cell r="S221">
            <v>2.2163143724034926</v>
          </cell>
          <cell r="T221">
            <v>515.47500000000002</v>
          </cell>
          <cell r="U221">
            <v>5.1547499999999999</v>
          </cell>
          <cell r="V221">
            <v>6185.7</v>
          </cell>
          <cell r="W221">
            <v>1443.33</v>
          </cell>
          <cell r="X221">
            <v>13402.35</v>
          </cell>
          <cell r="Y221">
            <v>1072.1880000000001</v>
          </cell>
          <cell r="Z221">
            <v>321.65640000000002</v>
          </cell>
          <cell r="AA221">
            <v>2837.1743999999999</v>
          </cell>
          <cell r="AB221">
            <v>28.371744</v>
          </cell>
        </row>
        <row r="222">
          <cell r="A222" t="str">
            <v>Row Cond &amp; Inc42'</v>
          </cell>
          <cell r="B222" t="str">
            <v>Row Cond &amp; Inc</v>
          </cell>
          <cell r="C222" t="str">
            <v>42'</v>
          </cell>
          <cell r="D222">
            <v>42</v>
          </cell>
          <cell r="E222">
            <v>5.75</v>
          </cell>
          <cell r="F222">
            <v>0.85</v>
          </cell>
          <cell r="G222">
            <v>4.0189989039093897E-2</v>
          </cell>
          <cell r="H222">
            <v>22067</v>
          </cell>
          <cell r="I222">
            <v>30</v>
          </cell>
          <cell r="J222">
            <v>25</v>
          </cell>
          <cell r="K222">
            <v>10</v>
          </cell>
          <cell r="L222">
            <v>100</v>
          </cell>
          <cell r="M222">
            <v>0</v>
          </cell>
          <cell r="N222">
            <v>1000</v>
          </cell>
          <cell r="O222">
            <v>1</v>
          </cell>
          <cell r="P222">
            <v>0.27</v>
          </cell>
          <cell r="Q222">
            <v>1.4</v>
          </cell>
          <cell r="R222">
            <v>237.19583518030879</v>
          </cell>
          <cell r="S222">
            <v>2.3719583518030878</v>
          </cell>
          <cell r="T222">
            <v>551.67499999999995</v>
          </cell>
          <cell r="U222">
            <v>5.5167499999999992</v>
          </cell>
          <cell r="V222">
            <v>6620.1</v>
          </cell>
          <cell r="W222">
            <v>1544.69</v>
          </cell>
          <cell r="X222">
            <v>14343.55</v>
          </cell>
          <cell r="Y222">
            <v>1147.4839999999999</v>
          </cell>
          <cell r="Z222">
            <v>344.24520000000001</v>
          </cell>
          <cell r="AA222">
            <v>3036.4192000000003</v>
          </cell>
          <cell r="AB222">
            <v>30.364192000000003</v>
          </cell>
        </row>
        <row r="223">
          <cell r="A223" t="str">
            <v>Row Cond (Harrow)13'</v>
          </cell>
          <cell r="B223" t="str">
            <v>Row Cond (Harrow)</v>
          </cell>
          <cell r="C223" t="str">
            <v>13'</v>
          </cell>
          <cell r="D223">
            <v>13</v>
          </cell>
          <cell r="E223">
            <v>6.5</v>
          </cell>
          <cell r="F223">
            <v>0.85</v>
          </cell>
          <cell r="G223">
            <v>0.11486251305255829</v>
          </cell>
          <cell r="H223">
            <v>5032</v>
          </cell>
          <cell r="I223">
            <v>30</v>
          </cell>
          <cell r="J223">
            <v>25</v>
          </cell>
          <cell r="K223">
            <v>10</v>
          </cell>
          <cell r="L223">
            <v>100</v>
          </cell>
          <cell r="M223">
            <v>0</v>
          </cell>
          <cell r="N223">
            <v>1000</v>
          </cell>
          <cell r="O223">
            <v>1</v>
          </cell>
          <cell r="P223">
            <v>0.27</v>
          </cell>
          <cell r="Q223">
            <v>1.4</v>
          </cell>
          <cell r="R223">
            <v>54.088432620080383</v>
          </cell>
          <cell r="S223">
            <v>0.54088432620080384</v>
          </cell>
          <cell r="T223">
            <v>125.8</v>
          </cell>
          <cell r="U223">
            <v>1.258</v>
          </cell>
          <cell r="V223">
            <v>1509.6</v>
          </cell>
          <cell r="W223">
            <v>352.24</v>
          </cell>
          <cell r="X223">
            <v>3270.8</v>
          </cell>
          <cell r="Y223">
            <v>261.66400000000004</v>
          </cell>
          <cell r="Z223">
            <v>78.499200000000002</v>
          </cell>
          <cell r="AA223">
            <v>692.40320000000008</v>
          </cell>
          <cell r="AB223">
            <v>6.9240320000000004</v>
          </cell>
        </row>
        <row r="224">
          <cell r="A224" t="str">
            <v>Row Cond (Harrow)21'</v>
          </cell>
          <cell r="B224" t="str">
            <v>Row Cond (Harrow)</v>
          </cell>
          <cell r="C224" t="str">
            <v>21'</v>
          </cell>
          <cell r="D224">
            <v>21</v>
          </cell>
          <cell r="E224">
            <v>6.5</v>
          </cell>
          <cell r="F224">
            <v>0.85</v>
          </cell>
          <cell r="G224">
            <v>7.1105365223012279E-2</v>
          </cell>
          <cell r="H224">
            <v>7697</v>
          </cell>
          <cell r="I224">
            <v>30</v>
          </cell>
          <cell r="J224">
            <v>25</v>
          </cell>
          <cell r="K224">
            <v>10</v>
          </cell>
          <cell r="L224">
            <v>100</v>
          </cell>
          <cell r="M224">
            <v>0</v>
          </cell>
          <cell r="N224">
            <v>1000</v>
          </cell>
          <cell r="O224">
            <v>1</v>
          </cell>
          <cell r="P224">
            <v>0.27</v>
          </cell>
          <cell r="Q224">
            <v>1.4</v>
          </cell>
          <cell r="R224">
            <v>82.734234077257298</v>
          </cell>
          <cell r="S224">
            <v>0.82734234077257296</v>
          </cell>
          <cell r="T224">
            <v>192.42500000000001</v>
          </cell>
          <cell r="U224">
            <v>1.92425</v>
          </cell>
          <cell r="V224">
            <v>2309.1</v>
          </cell>
          <cell r="W224">
            <v>538.79</v>
          </cell>
          <cell r="X224">
            <v>5003.05</v>
          </cell>
          <cell r="Y224">
            <v>400.24400000000003</v>
          </cell>
          <cell r="Z224">
            <v>120.0732</v>
          </cell>
          <cell r="AA224">
            <v>1059.1071999999999</v>
          </cell>
          <cell r="AB224">
            <v>10.591071999999999</v>
          </cell>
        </row>
        <row r="225">
          <cell r="A225" t="str">
            <v>Row Cond (Harrow)27'</v>
          </cell>
          <cell r="B225" t="str">
            <v>Row Cond (Harrow)</v>
          </cell>
          <cell r="C225" t="str">
            <v>27'</v>
          </cell>
          <cell r="D225">
            <v>27</v>
          </cell>
          <cell r="E225">
            <v>6.5</v>
          </cell>
          <cell r="F225">
            <v>0.85</v>
          </cell>
          <cell r="G225">
            <v>5.5304172951231773E-2</v>
          </cell>
          <cell r="H225">
            <v>9476</v>
          </cell>
          <cell r="I225">
            <v>30</v>
          </cell>
          <cell r="J225">
            <v>25</v>
          </cell>
          <cell r="K225">
            <v>10</v>
          </cell>
          <cell r="L225">
            <v>100</v>
          </cell>
          <cell r="M225">
            <v>0</v>
          </cell>
          <cell r="N225">
            <v>1000</v>
          </cell>
          <cell r="O225">
            <v>1</v>
          </cell>
          <cell r="P225">
            <v>0.27</v>
          </cell>
          <cell r="Q225">
            <v>1.4</v>
          </cell>
          <cell r="R225">
            <v>101.85651580045344</v>
          </cell>
          <cell r="S225">
            <v>1.0185651580045343</v>
          </cell>
          <cell r="T225">
            <v>236.9</v>
          </cell>
          <cell r="U225">
            <v>2.3690000000000002</v>
          </cell>
          <cell r="V225">
            <v>2842.8</v>
          </cell>
          <cell r="W225">
            <v>663.31999999999994</v>
          </cell>
          <cell r="X225">
            <v>6159.4</v>
          </cell>
          <cell r="Y225">
            <v>492.75200000000001</v>
          </cell>
          <cell r="Z225">
            <v>147.82560000000001</v>
          </cell>
          <cell r="AA225">
            <v>1303.8976</v>
          </cell>
          <cell r="AB225">
            <v>13.038976</v>
          </cell>
        </row>
        <row r="226">
          <cell r="A226" t="str">
            <v>Row Cond (Harrow)32'</v>
          </cell>
          <cell r="B226" t="str">
            <v>Row Cond (Harrow)</v>
          </cell>
          <cell r="C226" t="str">
            <v>32'</v>
          </cell>
          <cell r="D226">
            <v>32</v>
          </cell>
          <cell r="E226">
            <v>6.5</v>
          </cell>
          <cell r="F226">
            <v>0.85</v>
          </cell>
          <cell r="G226">
            <v>4.6662895927601811E-2</v>
          </cell>
          <cell r="H226">
            <v>12850</v>
          </cell>
          <cell r="I226">
            <v>30</v>
          </cell>
          <cell r="J226">
            <v>25</v>
          </cell>
          <cell r="K226">
            <v>10</v>
          </cell>
          <cell r="L226">
            <v>100</v>
          </cell>
          <cell r="M226">
            <v>0</v>
          </cell>
          <cell r="N226">
            <v>1000</v>
          </cell>
          <cell r="O226">
            <v>1</v>
          </cell>
          <cell r="P226">
            <v>0.27</v>
          </cell>
          <cell r="Q226">
            <v>1.4</v>
          </cell>
          <cell r="R226">
            <v>138.12328282353596</v>
          </cell>
          <cell r="S226">
            <v>1.3812328282353596</v>
          </cell>
          <cell r="T226">
            <v>321.25</v>
          </cell>
          <cell r="U226">
            <v>3.2124999999999999</v>
          </cell>
          <cell r="V226">
            <v>3855</v>
          </cell>
          <cell r="W226">
            <v>899.5</v>
          </cell>
          <cell r="X226">
            <v>8352.5</v>
          </cell>
          <cell r="Y226">
            <v>668.2</v>
          </cell>
          <cell r="Z226">
            <v>200.46</v>
          </cell>
          <cell r="AA226">
            <v>1768.16</v>
          </cell>
          <cell r="AB226">
            <v>17.6816</v>
          </cell>
        </row>
        <row r="227">
          <cell r="A227" t="str">
            <v>Row Cond (Harrow)42'</v>
          </cell>
          <cell r="B227" t="str">
            <v>Row Cond (Harrow)</v>
          </cell>
          <cell r="C227" t="str">
            <v>42'</v>
          </cell>
          <cell r="D227">
            <v>42</v>
          </cell>
          <cell r="E227">
            <v>6.5</v>
          </cell>
          <cell r="F227">
            <v>0.85</v>
          </cell>
          <cell r="G227">
            <v>3.555268261150614E-2</v>
          </cell>
          <cell r="H227">
            <v>16495</v>
          </cell>
          <cell r="I227">
            <v>30</v>
          </cell>
          <cell r="J227">
            <v>25</v>
          </cell>
          <cell r="K227">
            <v>10</v>
          </cell>
          <cell r="L227">
            <v>100</v>
          </cell>
          <cell r="M227">
            <v>0</v>
          </cell>
          <cell r="N227">
            <v>1000</v>
          </cell>
          <cell r="O227">
            <v>1</v>
          </cell>
          <cell r="P227">
            <v>0.27</v>
          </cell>
          <cell r="Q227">
            <v>1.4</v>
          </cell>
          <cell r="R227">
            <v>177.30300001355843</v>
          </cell>
          <cell r="S227">
            <v>1.7730300001355843</v>
          </cell>
          <cell r="T227">
            <v>412.375</v>
          </cell>
          <cell r="U227">
            <v>4.1237500000000002</v>
          </cell>
          <cell r="V227">
            <v>4948.5</v>
          </cell>
          <cell r="W227">
            <v>1154.6500000000001</v>
          </cell>
          <cell r="X227">
            <v>10721.75</v>
          </cell>
          <cell r="Y227">
            <v>857.74</v>
          </cell>
          <cell r="Z227">
            <v>257.322</v>
          </cell>
          <cell r="AA227">
            <v>2269.712</v>
          </cell>
          <cell r="AB227">
            <v>22.697119999999998</v>
          </cell>
        </row>
        <row r="228">
          <cell r="A228" t="str">
            <v>Row Cond (Plant)13'</v>
          </cell>
          <cell r="B228" t="str">
            <v>Row Cond (Plant)</v>
          </cell>
          <cell r="C228" t="str">
            <v>13'</v>
          </cell>
          <cell r="D228">
            <v>13</v>
          </cell>
          <cell r="E228">
            <v>4.75</v>
          </cell>
          <cell r="F228">
            <v>0.85</v>
          </cell>
          <cell r="G228">
            <v>0.1571802810192903</v>
          </cell>
          <cell r="H228">
            <v>5032</v>
          </cell>
          <cell r="I228">
            <v>30</v>
          </cell>
          <cell r="J228">
            <v>25</v>
          </cell>
          <cell r="K228">
            <v>10</v>
          </cell>
          <cell r="L228">
            <v>100</v>
          </cell>
          <cell r="M228">
            <v>0</v>
          </cell>
          <cell r="N228">
            <v>1000</v>
          </cell>
          <cell r="O228">
            <v>1</v>
          </cell>
          <cell r="P228">
            <v>0.27</v>
          </cell>
          <cell r="Q228">
            <v>1.4</v>
          </cell>
          <cell r="R228">
            <v>54.088432620080383</v>
          </cell>
          <cell r="S228">
            <v>0.54088432620080384</v>
          </cell>
          <cell r="T228">
            <v>125.8</v>
          </cell>
          <cell r="U228">
            <v>1.258</v>
          </cell>
          <cell r="V228">
            <v>1509.6</v>
          </cell>
          <cell r="W228">
            <v>352.24</v>
          </cell>
          <cell r="X228">
            <v>3270.8</v>
          </cell>
          <cell r="Y228">
            <v>261.66400000000004</v>
          </cell>
          <cell r="Z228">
            <v>78.499200000000002</v>
          </cell>
          <cell r="AA228">
            <v>692.40320000000008</v>
          </cell>
          <cell r="AB228">
            <v>6.9240320000000004</v>
          </cell>
        </row>
        <row r="229">
          <cell r="A229" t="str">
            <v>Row Cond (Plant)21'</v>
          </cell>
          <cell r="B229" t="str">
            <v>Row Cond (Plant)</v>
          </cell>
          <cell r="C229" t="str">
            <v>21'</v>
          </cell>
          <cell r="D229">
            <v>21</v>
          </cell>
          <cell r="E229">
            <v>4.75</v>
          </cell>
          <cell r="F229">
            <v>0.85</v>
          </cell>
          <cell r="G229">
            <v>9.7302078726227328E-2</v>
          </cell>
          <cell r="H229">
            <v>7697</v>
          </cell>
          <cell r="I229">
            <v>30</v>
          </cell>
          <cell r="J229">
            <v>25</v>
          </cell>
          <cell r="K229">
            <v>10</v>
          </cell>
          <cell r="L229">
            <v>100</v>
          </cell>
          <cell r="M229">
            <v>0</v>
          </cell>
          <cell r="N229">
            <v>1000</v>
          </cell>
          <cell r="O229">
            <v>1</v>
          </cell>
          <cell r="P229">
            <v>0.27</v>
          </cell>
          <cell r="Q229">
            <v>1.4</v>
          </cell>
          <cell r="R229">
            <v>82.734234077257298</v>
          </cell>
          <cell r="S229">
            <v>0.82734234077257296</v>
          </cell>
          <cell r="T229">
            <v>192.42500000000001</v>
          </cell>
          <cell r="U229">
            <v>1.92425</v>
          </cell>
          <cell r="V229">
            <v>2309.1</v>
          </cell>
          <cell r="W229">
            <v>538.79</v>
          </cell>
          <cell r="X229">
            <v>5003.05</v>
          </cell>
          <cell r="Y229">
            <v>400.24400000000003</v>
          </cell>
          <cell r="Z229">
            <v>120.0732</v>
          </cell>
          <cell r="AA229">
            <v>1059.1071999999999</v>
          </cell>
          <cell r="AB229">
            <v>10.591071999999999</v>
          </cell>
        </row>
        <row r="230">
          <cell r="A230" t="str">
            <v>Row Cond (Plant)27'</v>
          </cell>
          <cell r="B230" t="str">
            <v>Row Cond (Plant)</v>
          </cell>
          <cell r="C230" t="str">
            <v>27'</v>
          </cell>
          <cell r="D230">
            <v>27</v>
          </cell>
          <cell r="E230">
            <v>4.75</v>
          </cell>
          <cell r="F230">
            <v>0.85</v>
          </cell>
          <cell r="G230">
            <v>7.5679394564843488E-2</v>
          </cell>
          <cell r="H230">
            <v>9476</v>
          </cell>
          <cell r="I230">
            <v>30</v>
          </cell>
          <cell r="J230">
            <v>25</v>
          </cell>
          <cell r="K230">
            <v>10</v>
          </cell>
          <cell r="L230">
            <v>100</v>
          </cell>
          <cell r="M230">
            <v>0</v>
          </cell>
          <cell r="N230">
            <v>1000</v>
          </cell>
          <cell r="O230">
            <v>1</v>
          </cell>
          <cell r="P230">
            <v>0.27</v>
          </cell>
          <cell r="Q230">
            <v>1.4</v>
          </cell>
          <cell r="R230">
            <v>101.85651580045344</v>
          </cell>
          <cell r="S230">
            <v>1.0185651580045343</v>
          </cell>
          <cell r="T230">
            <v>236.9</v>
          </cell>
          <cell r="U230">
            <v>2.3690000000000002</v>
          </cell>
          <cell r="V230">
            <v>2842.8</v>
          </cell>
          <cell r="W230">
            <v>663.31999999999994</v>
          </cell>
          <cell r="X230">
            <v>6159.4</v>
          </cell>
          <cell r="Y230">
            <v>492.75200000000001</v>
          </cell>
          <cell r="Z230">
            <v>147.82560000000001</v>
          </cell>
          <cell r="AA230">
            <v>1303.8976</v>
          </cell>
          <cell r="AB230">
            <v>13.038976</v>
          </cell>
        </row>
        <row r="231">
          <cell r="A231" t="str">
            <v>Row Cond (Plant)32'</v>
          </cell>
          <cell r="B231" t="str">
            <v>Row Cond (Plant)</v>
          </cell>
          <cell r="C231" t="str">
            <v>32'</v>
          </cell>
          <cell r="D231">
            <v>32</v>
          </cell>
          <cell r="E231">
            <v>4.75</v>
          </cell>
          <cell r="F231">
            <v>0.85</v>
          </cell>
          <cell r="G231">
            <v>6.3854489164086689E-2</v>
          </cell>
          <cell r="H231">
            <v>12850</v>
          </cell>
          <cell r="I231">
            <v>30</v>
          </cell>
          <cell r="J231">
            <v>25</v>
          </cell>
          <cell r="K231">
            <v>10</v>
          </cell>
          <cell r="L231">
            <v>100</v>
          </cell>
          <cell r="M231">
            <v>0</v>
          </cell>
          <cell r="N231">
            <v>1000</v>
          </cell>
          <cell r="O231">
            <v>1</v>
          </cell>
          <cell r="P231">
            <v>0.27</v>
          </cell>
          <cell r="Q231">
            <v>1.4</v>
          </cell>
          <cell r="R231">
            <v>138.12328282353596</v>
          </cell>
          <cell r="S231">
            <v>1.3812328282353596</v>
          </cell>
          <cell r="T231">
            <v>321.25</v>
          </cell>
          <cell r="U231">
            <v>3.2124999999999999</v>
          </cell>
          <cell r="V231">
            <v>3855</v>
          </cell>
          <cell r="W231">
            <v>899.5</v>
          </cell>
          <cell r="X231">
            <v>8352.5</v>
          </cell>
          <cell r="Y231">
            <v>668.2</v>
          </cell>
          <cell r="Z231">
            <v>200.46</v>
          </cell>
          <cell r="AA231">
            <v>1768.16</v>
          </cell>
          <cell r="AB231">
            <v>17.6816</v>
          </cell>
        </row>
        <row r="232">
          <cell r="A232" t="str">
            <v>Row Cond (Plant)42'</v>
          </cell>
          <cell r="B232" t="str">
            <v>Row Cond (Plant)</v>
          </cell>
          <cell r="C232" t="str">
            <v>42'</v>
          </cell>
          <cell r="D232">
            <v>42</v>
          </cell>
          <cell r="E232">
            <v>4.75</v>
          </cell>
          <cell r="F232">
            <v>0.85</v>
          </cell>
          <cell r="G232">
            <v>4.8651039363113664E-2</v>
          </cell>
          <cell r="H232">
            <v>16495</v>
          </cell>
          <cell r="I232">
            <v>30</v>
          </cell>
          <cell r="J232">
            <v>25</v>
          </cell>
          <cell r="K232">
            <v>10</v>
          </cell>
          <cell r="L232">
            <v>100</v>
          </cell>
          <cell r="M232">
            <v>0</v>
          </cell>
          <cell r="N232">
            <v>1000</v>
          </cell>
          <cell r="O232">
            <v>1</v>
          </cell>
          <cell r="P232">
            <v>0.27</v>
          </cell>
          <cell r="Q232">
            <v>1.4</v>
          </cell>
          <cell r="R232">
            <v>177.30300001355843</v>
          </cell>
          <cell r="S232">
            <v>1.7730300001355843</v>
          </cell>
          <cell r="T232">
            <v>412.375</v>
          </cell>
          <cell r="U232">
            <v>4.1237500000000002</v>
          </cell>
          <cell r="V232">
            <v>4948.5</v>
          </cell>
          <cell r="W232">
            <v>1154.6500000000001</v>
          </cell>
          <cell r="X232">
            <v>10721.75</v>
          </cell>
          <cell r="Y232">
            <v>857.74</v>
          </cell>
          <cell r="Z232">
            <v>257.322</v>
          </cell>
          <cell r="AA232">
            <v>2269.712</v>
          </cell>
          <cell r="AB232">
            <v>22.697119999999998</v>
          </cell>
        </row>
        <row r="233">
          <cell r="A233" t="str">
            <v>RT Cult (Early)12R-30</v>
          </cell>
          <cell r="B233" t="str">
            <v>RT Cult (Early)</v>
          </cell>
          <cell r="C233" t="str">
            <v>12R-30</v>
          </cell>
          <cell r="D233">
            <v>30</v>
          </cell>
          <cell r="E233">
            <v>5</v>
          </cell>
          <cell r="F233">
            <v>0.8</v>
          </cell>
          <cell r="G233">
            <v>6.8750000000000006E-2</v>
          </cell>
          <cell r="H233">
            <v>29291</v>
          </cell>
          <cell r="I233">
            <v>25</v>
          </cell>
          <cell r="J233">
            <v>115</v>
          </cell>
          <cell r="K233">
            <v>12</v>
          </cell>
          <cell r="L233">
            <v>200</v>
          </cell>
          <cell r="M233">
            <v>0</v>
          </cell>
          <cell r="N233">
            <v>2400</v>
          </cell>
          <cell r="O233">
            <v>1</v>
          </cell>
          <cell r="P233">
            <v>0.27</v>
          </cell>
          <cell r="Q233">
            <v>1.4</v>
          </cell>
          <cell r="R233">
            <v>830.88315992294019</v>
          </cell>
          <cell r="S233">
            <v>4.1544157996147009</v>
          </cell>
          <cell r="T233">
            <v>2807.0541666666668</v>
          </cell>
          <cell r="U233">
            <v>14.035270833333334</v>
          </cell>
          <cell r="V233">
            <v>7322.75</v>
          </cell>
          <cell r="W233">
            <v>1830.6875</v>
          </cell>
          <cell r="X233">
            <v>18306.875</v>
          </cell>
          <cell r="Y233">
            <v>1464.55</v>
          </cell>
          <cell r="Z233">
            <v>439.36500000000001</v>
          </cell>
          <cell r="AA233">
            <v>3734.6025</v>
          </cell>
          <cell r="AB233">
            <v>18.673012499999999</v>
          </cell>
        </row>
        <row r="234">
          <cell r="A234" t="str">
            <v>RT Cult (Early)8R-30</v>
          </cell>
          <cell r="B234" t="str">
            <v>RT Cult (Early)</v>
          </cell>
          <cell r="C234" t="str">
            <v>8R-30</v>
          </cell>
          <cell r="D234">
            <v>20</v>
          </cell>
          <cell r="E234">
            <v>5</v>
          </cell>
          <cell r="F234">
            <v>0.8</v>
          </cell>
          <cell r="G234">
            <v>0.10312499999999999</v>
          </cell>
          <cell r="H234">
            <v>20284</v>
          </cell>
          <cell r="I234">
            <v>25</v>
          </cell>
          <cell r="J234">
            <v>115</v>
          </cell>
          <cell r="K234">
            <v>12</v>
          </cell>
          <cell r="L234">
            <v>200</v>
          </cell>
          <cell r="M234">
            <v>0</v>
          </cell>
          <cell r="N234">
            <v>2400</v>
          </cell>
          <cell r="O234">
            <v>1</v>
          </cell>
          <cell r="P234">
            <v>0.27</v>
          </cell>
          <cell r="Q234">
            <v>1.4</v>
          </cell>
          <cell r="R234">
            <v>575.38609183288111</v>
          </cell>
          <cell r="S234">
            <v>2.8769304591644054</v>
          </cell>
          <cell r="T234">
            <v>1943.8833333333332</v>
          </cell>
          <cell r="U234">
            <v>9.7194166666666657</v>
          </cell>
          <cell r="V234">
            <v>5071</v>
          </cell>
          <cell r="W234">
            <v>1267.75</v>
          </cell>
          <cell r="X234">
            <v>12677.5</v>
          </cell>
          <cell r="Y234">
            <v>1014.2</v>
          </cell>
          <cell r="Z234">
            <v>304.26</v>
          </cell>
          <cell r="AA234">
            <v>2586.21</v>
          </cell>
          <cell r="AB234">
            <v>12.931050000000001</v>
          </cell>
        </row>
        <row r="235">
          <cell r="A235" t="str">
            <v>RT Cult (Late)12R-30</v>
          </cell>
          <cell r="B235" t="str">
            <v>RT Cult (Late)</v>
          </cell>
          <cell r="C235" t="str">
            <v>12R-30</v>
          </cell>
          <cell r="D235">
            <v>30</v>
          </cell>
          <cell r="E235">
            <v>4</v>
          </cell>
          <cell r="F235">
            <v>0.8</v>
          </cell>
          <cell r="G235">
            <v>8.59375E-2</v>
          </cell>
          <cell r="H235">
            <v>29291</v>
          </cell>
          <cell r="I235">
            <v>25</v>
          </cell>
          <cell r="J235">
            <v>115</v>
          </cell>
          <cell r="K235">
            <v>12</v>
          </cell>
          <cell r="L235">
            <v>200</v>
          </cell>
          <cell r="M235">
            <v>0</v>
          </cell>
          <cell r="N235">
            <v>2400</v>
          </cell>
          <cell r="O235">
            <v>1</v>
          </cell>
          <cell r="P235">
            <v>0.27</v>
          </cell>
          <cell r="Q235">
            <v>1.4</v>
          </cell>
          <cell r="R235">
            <v>830.88315992294019</v>
          </cell>
          <cell r="S235">
            <v>4.1544157996147009</v>
          </cell>
          <cell r="T235">
            <v>2807.0541666666668</v>
          </cell>
          <cell r="U235">
            <v>14.035270833333334</v>
          </cell>
          <cell r="V235">
            <v>7322.75</v>
          </cell>
          <cell r="W235">
            <v>1830.6875</v>
          </cell>
          <cell r="X235">
            <v>18306.875</v>
          </cell>
          <cell r="Y235">
            <v>1464.55</v>
          </cell>
          <cell r="Z235">
            <v>439.36500000000001</v>
          </cell>
          <cell r="AA235">
            <v>3734.6025</v>
          </cell>
          <cell r="AB235">
            <v>18.673012499999999</v>
          </cell>
        </row>
        <row r="236">
          <cell r="A236" t="str">
            <v>RT Cult (Late)8R-30</v>
          </cell>
          <cell r="B236" t="str">
            <v>RT Cult (Late)</v>
          </cell>
          <cell r="C236" t="str">
            <v>8R-30</v>
          </cell>
          <cell r="D236">
            <v>20</v>
          </cell>
          <cell r="E236">
            <v>4</v>
          </cell>
          <cell r="F236">
            <v>0.8</v>
          </cell>
          <cell r="G236">
            <v>0.12890625</v>
          </cell>
          <cell r="H236">
            <v>20284</v>
          </cell>
          <cell r="I236">
            <v>25</v>
          </cell>
          <cell r="J236">
            <v>115</v>
          </cell>
          <cell r="K236">
            <v>12</v>
          </cell>
          <cell r="L236">
            <v>200</v>
          </cell>
          <cell r="M236">
            <v>0</v>
          </cell>
          <cell r="N236">
            <v>2400</v>
          </cell>
          <cell r="O236">
            <v>1</v>
          </cell>
          <cell r="P236">
            <v>0.27</v>
          </cell>
          <cell r="Q236">
            <v>1.4</v>
          </cell>
          <cell r="R236">
            <v>575.38609183288111</v>
          </cell>
          <cell r="S236">
            <v>2.8769304591644054</v>
          </cell>
          <cell r="T236">
            <v>1943.8833333333332</v>
          </cell>
          <cell r="U236">
            <v>9.7194166666666657</v>
          </cell>
          <cell r="V236">
            <v>5071</v>
          </cell>
          <cell r="W236">
            <v>1267.75</v>
          </cell>
          <cell r="X236">
            <v>12677.5</v>
          </cell>
          <cell r="Y236">
            <v>1014.2</v>
          </cell>
          <cell r="Z236">
            <v>304.26</v>
          </cell>
          <cell r="AA236">
            <v>2586.21</v>
          </cell>
          <cell r="AB236">
            <v>12.931050000000001</v>
          </cell>
        </row>
        <row r="237">
          <cell r="A237" t="str">
            <v>RT Cult + PD (Early)12R-30</v>
          </cell>
          <cell r="B237" t="str">
            <v>RT Cult + PD (Early)</v>
          </cell>
          <cell r="C237" t="str">
            <v>12R-30</v>
          </cell>
          <cell r="D237">
            <v>30</v>
          </cell>
          <cell r="E237">
            <v>5</v>
          </cell>
          <cell r="F237">
            <v>0.8</v>
          </cell>
          <cell r="G237">
            <v>6.8750000000000006E-2</v>
          </cell>
          <cell r="H237">
            <v>34660</v>
          </cell>
          <cell r="I237">
            <v>25</v>
          </cell>
          <cell r="J237">
            <v>115</v>
          </cell>
          <cell r="K237">
            <v>12</v>
          </cell>
          <cell r="L237">
            <v>200</v>
          </cell>
          <cell r="M237">
            <v>0</v>
          </cell>
          <cell r="N237">
            <v>2400</v>
          </cell>
          <cell r="O237">
            <v>1</v>
          </cell>
          <cell r="P237">
            <v>0.27</v>
          </cell>
          <cell r="Q237">
            <v>1.4</v>
          </cell>
          <cell r="R237">
            <v>983.1828999668536</v>
          </cell>
          <cell r="S237">
            <v>4.9159144998342681</v>
          </cell>
          <cell r="T237">
            <v>3321.5833333333335</v>
          </cell>
          <cell r="U237">
            <v>16.607916666666668</v>
          </cell>
          <cell r="V237">
            <v>8665</v>
          </cell>
          <cell r="W237">
            <v>2166.25</v>
          </cell>
          <cell r="X237">
            <v>21662.5</v>
          </cell>
          <cell r="Y237">
            <v>1733</v>
          </cell>
          <cell r="Z237">
            <v>519.9</v>
          </cell>
          <cell r="AA237">
            <v>4419.1499999999996</v>
          </cell>
          <cell r="AB237">
            <v>22.095749999999999</v>
          </cell>
        </row>
        <row r="238">
          <cell r="A238" t="str">
            <v>RT Cult + PD (Early)8R-30</v>
          </cell>
          <cell r="B238" t="str">
            <v>RT Cult + PD (Early)</v>
          </cell>
          <cell r="C238" t="str">
            <v>8R-30</v>
          </cell>
          <cell r="D238">
            <v>20</v>
          </cell>
          <cell r="E238">
            <v>5</v>
          </cell>
          <cell r="F238">
            <v>0.8</v>
          </cell>
          <cell r="G238">
            <v>0.10312499999999999</v>
          </cell>
          <cell r="H238">
            <v>25653</v>
          </cell>
          <cell r="I238">
            <v>25</v>
          </cell>
          <cell r="J238">
            <v>115</v>
          </cell>
          <cell r="K238">
            <v>12</v>
          </cell>
          <cell r="L238">
            <v>200</v>
          </cell>
          <cell r="M238">
            <v>0</v>
          </cell>
          <cell r="N238">
            <v>2400</v>
          </cell>
          <cell r="O238">
            <v>1</v>
          </cell>
          <cell r="P238">
            <v>0.27</v>
          </cell>
          <cell r="Q238">
            <v>1.4</v>
          </cell>
          <cell r="R238">
            <v>727.6858318767944</v>
          </cell>
          <cell r="S238">
            <v>3.6384291593839722</v>
          </cell>
          <cell r="T238">
            <v>2458.4124999999999</v>
          </cell>
          <cell r="U238">
            <v>12.2920625</v>
          </cell>
          <cell r="V238">
            <v>6413.25</v>
          </cell>
          <cell r="W238">
            <v>1603.3125</v>
          </cell>
          <cell r="X238">
            <v>16033.125</v>
          </cell>
          <cell r="Y238">
            <v>1282.6500000000001</v>
          </cell>
          <cell r="Z238">
            <v>384.79500000000002</v>
          </cell>
          <cell r="AA238">
            <v>3270.7575000000002</v>
          </cell>
          <cell r="AB238">
            <v>16.353787499999999</v>
          </cell>
        </row>
        <row r="239">
          <cell r="A239" t="str">
            <v>RT Cult + PD (Late)12R-30</v>
          </cell>
          <cell r="B239" t="str">
            <v>RT Cult + PD (Late)</v>
          </cell>
          <cell r="C239" t="str">
            <v>12R-30</v>
          </cell>
          <cell r="D239">
            <v>30</v>
          </cell>
          <cell r="E239">
            <v>4</v>
          </cell>
          <cell r="F239">
            <v>0.8</v>
          </cell>
          <cell r="G239">
            <v>8.59375E-2</v>
          </cell>
          <cell r="H239">
            <v>34660</v>
          </cell>
          <cell r="I239">
            <v>25</v>
          </cell>
          <cell r="J239">
            <v>115</v>
          </cell>
          <cell r="K239">
            <v>12</v>
          </cell>
          <cell r="L239">
            <v>200</v>
          </cell>
          <cell r="M239">
            <v>0</v>
          </cell>
          <cell r="N239">
            <v>2400</v>
          </cell>
          <cell r="O239">
            <v>1</v>
          </cell>
          <cell r="P239">
            <v>0.27</v>
          </cell>
          <cell r="Q239">
            <v>1.4</v>
          </cell>
          <cell r="R239">
            <v>983.1828999668536</v>
          </cell>
          <cell r="S239">
            <v>4.9159144998342681</v>
          </cell>
          <cell r="T239">
            <v>3321.5833333333335</v>
          </cell>
          <cell r="U239">
            <v>16.607916666666668</v>
          </cell>
          <cell r="V239">
            <v>8665</v>
          </cell>
          <cell r="W239">
            <v>2166.25</v>
          </cell>
          <cell r="X239">
            <v>21662.5</v>
          </cell>
          <cell r="Y239">
            <v>1733</v>
          </cell>
          <cell r="Z239">
            <v>519.9</v>
          </cell>
          <cell r="AA239">
            <v>4419.1499999999996</v>
          </cell>
          <cell r="AB239">
            <v>22.095749999999999</v>
          </cell>
        </row>
        <row r="240">
          <cell r="A240" t="str">
            <v>RT Cult + PD (Late)8R-30</v>
          </cell>
          <cell r="B240" t="str">
            <v>RT Cult + PD (Late)</v>
          </cell>
          <cell r="C240" t="str">
            <v>8R-30</v>
          </cell>
          <cell r="D240">
            <v>20</v>
          </cell>
          <cell r="E240">
            <v>4</v>
          </cell>
          <cell r="F240">
            <v>0.8</v>
          </cell>
          <cell r="G240">
            <v>0.12890625</v>
          </cell>
          <cell r="H240">
            <v>25653</v>
          </cell>
          <cell r="I240">
            <v>25</v>
          </cell>
          <cell r="J240">
            <v>115</v>
          </cell>
          <cell r="K240">
            <v>12</v>
          </cell>
          <cell r="L240">
            <v>200</v>
          </cell>
          <cell r="M240">
            <v>0</v>
          </cell>
          <cell r="N240">
            <v>2400</v>
          </cell>
          <cell r="O240">
            <v>1</v>
          </cell>
          <cell r="P240">
            <v>0.27</v>
          </cell>
          <cell r="Q240">
            <v>1.4</v>
          </cell>
          <cell r="R240">
            <v>727.6858318767944</v>
          </cell>
          <cell r="S240">
            <v>3.6384291593839722</v>
          </cell>
          <cell r="T240">
            <v>2458.4124999999999</v>
          </cell>
          <cell r="U240">
            <v>12.2920625</v>
          </cell>
          <cell r="V240">
            <v>6413.25</v>
          </cell>
          <cell r="W240">
            <v>1603.3125</v>
          </cell>
          <cell r="X240">
            <v>16033.125</v>
          </cell>
          <cell r="Y240">
            <v>1282.6500000000001</v>
          </cell>
          <cell r="Z240">
            <v>384.79500000000002</v>
          </cell>
          <cell r="AA240">
            <v>3270.7575000000002</v>
          </cell>
          <cell r="AB240">
            <v>16.353787499999999</v>
          </cell>
        </row>
        <row r="241">
          <cell r="A241" t="str">
            <v>Spin Spreader5 ton</v>
          </cell>
          <cell r="B241" t="str">
            <v>Spin Spreader</v>
          </cell>
          <cell r="C241" t="str">
            <v>5 ton</v>
          </cell>
          <cell r="D241">
            <v>40</v>
          </cell>
          <cell r="E241">
            <v>7</v>
          </cell>
          <cell r="F241">
            <v>0.7</v>
          </cell>
          <cell r="G241">
            <v>4.2091836734693883E-2</v>
          </cell>
          <cell r="H241">
            <v>10835</v>
          </cell>
          <cell r="I241">
            <v>40</v>
          </cell>
          <cell r="J241">
            <v>45</v>
          </cell>
          <cell r="K241">
            <v>8</v>
          </cell>
          <cell r="L241">
            <v>100</v>
          </cell>
          <cell r="M241">
            <v>0</v>
          </cell>
          <cell r="N241">
            <v>800</v>
          </cell>
          <cell r="O241">
            <v>1</v>
          </cell>
          <cell r="P241">
            <v>0.27</v>
          </cell>
          <cell r="Q241">
            <v>1.4</v>
          </cell>
          <cell r="R241">
            <v>116.46426220957294</v>
          </cell>
          <cell r="S241">
            <v>1.1646426220957293</v>
          </cell>
          <cell r="T241">
            <v>609.46875</v>
          </cell>
          <cell r="U241">
            <v>6.0946875</v>
          </cell>
          <cell r="V241">
            <v>4334</v>
          </cell>
          <cell r="W241">
            <v>812.625</v>
          </cell>
          <cell r="X241">
            <v>7584.5</v>
          </cell>
          <cell r="Y241">
            <v>606.76</v>
          </cell>
          <cell r="Z241">
            <v>182.02799999999999</v>
          </cell>
          <cell r="AA241">
            <v>1601.413</v>
          </cell>
          <cell r="AB241">
            <v>16.014130000000002</v>
          </cell>
        </row>
        <row r="242">
          <cell r="A242" t="str">
            <v>Spin Spreader5 ton</v>
          </cell>
          <cell r="B242" t="str">
            <v>Spin Spreader</v>
          </cell>
          <cell r="C242" t="str">
            <v>5 ton</v>
          </cell>
          <cell r="D242">
            <v>40</v>
          </cell>
          <cell r="E242">
            <v>7</v>
          </cell>
          <cell r="F242">
            <v>0.7</v>
          </cell>
          <cell r="G242">
            <v>4.2091836734693883E-2</v>
          </cell>
          <cell r="H242">
            <v>10835</v>
          </cell>
          <cell r="I242">
            <v>40</v>
          </cell>
          <cell r="J242">
            <v>45</v>
          </cell>
          <cell r="K242">
            <v>8</v>
          </cell>
          <cell r="L242">
            <v>100</v>
          </cell>
          <cell r="M242">
            <v>0</v>
          </cell>
          <cell r="N242">
            <v>800</v>
          </cell>
          <cell r="O242">
            <v>1</v>
          </cell>
          <cell r="P242">
            <v>0.27</v>
          </cell>
          <cell r="Q242">
            <v>1.4</v>
          </cell>
          <cell r="R242">
            <v>116.46426220957294</v>
          </cell>
          <cell r="S242">
            <v>1.1646426220957293</v>
          </cell>
          <cell r="T242">
            <v>609.46875</v>
          </cell>
          <cell r="U242">
            <v>6.0946875</v>
          </cell>
          <cell r="V242">
            <v>4334</v>
          </cell>
          <cell r="W242">
            <v>812.625</v>
          </cell>
          <cell r="X242">
            <v>7584.5</v>
          </cell>
          <cell r="Y242">
            <v>606.76</v>
          </cell>
          <cell r="Z242">
            <v>182.02799999999999</v>
          </cell>
          <cell r="AA242">
            <v>1601.413</v>
          </cell>
          <cell r="AB242">
            <v>16.014130000000002</v>
          </cell>
        </row>
        <row r="243">
          <cell r="A243" t="str">
            <v>Spray (Band)27'</v>
          </cell>
          <cell r="B243" t="str">
            <v>Spray (Band)</v>
          </cell>
          <cell r="C243" t="str">
            <v>27'</v>
          </cell>
          <cell r="D243">
            <v>27</v>
          </cell>
          <cell r="E243">
            <v>7.5</v>
          </cell>
          <cell r="F243">
            <v>0.65</v>
          </cell>
          <cell r="G243">
            <v>6.2678062678062682E-2</v>
          </cell>
          <cell r="H243">
            <v>5369</v>
          </cell>
          <cell r="I243">
            <v>40</v>
          </cell>
          <cell r="J243">
            <v>75</v>
          </cell>
          <cell r="K243">
            <v>8</v>
          </cell>
          <cell r="L243">
            <v>200</v>
          </cell>
          <cell r="M243">
            <v>0</v>
          </cell>
          <cell r="N243">
            <v>1600</v>
          </cell>
          <cell r="O243">
            <v>1</v>
          </cell>
          <cell r="P243">
            <v>0.27</v>
          </cell>
          <cell r="Q243">
            <v>1.4</v>
          </cell>
          <cell r="R243">
            <v>152.29974004391335</v>
          </cell>
          <cell r="S243">
            <v>0.76149870021956678</v>
          </cell>
          <cell r="T243">
            <v>503.34375</v>
          </cell>
          <cell r="U243">
            <v>2.5167187499999999</v>
          </cell>
          <cell r="V243">
            <v>2147.6</v>
          </cell>
          <cell r="W243">
            <v>402.67500000000001</v>
          </cell>
          <cell r="X243">
            <v>3758.3</v>
          </cell>
          <cell r="Y243">
            <v>300.66400000000004</v>
          </cell>
          <cell r="Z243">
            <v>90.199200000000005</v>
          </cell>
          <cell r="AA243">
            <v>793.53820000000007</v>
          </cell>
          <cell r="AB243">
            <v>3.9676910000000003</v>
          </cell>
        </row>
        <row r="244">
          <cell r="A244" t="str">
            <v>Spray (Band)40'</v>
          </cell>
          <cell r="B244" t="str">
            <v>Spray (Band)</v>
          </cell>
          <cell r="C244" t="str">
            <v>40'</v>
          </cell>
          <cell r="D244">
            <v>40</v>
          </cell>
          <cell r="E244">
            <v>7.5</v>
          </cell>
          <cell r="F244">
            <v>0.65</v>
          </cell>
          <cell r="G244">
            <v>4.230769230769231E-2</v>
          </cell>
          <cell r="H244">
            <v>5572</v>
          </cell>
          <cell r="I244">
            <v>40</v>
          </cell>
          <cell r="J244">
            <v>75</v>
          </cell>
          <cell r="K244">
            <v>8</v>
          </cell>
          <cell r="L244">
            <v>200</v>
          </cell>
          <cell r="M244">
            <v>0</v>
          </cell>
          <cell r="N244">
            <v>1600</v>
          </cell>
          <cell r="O244">
            <v>1</v>
          </cell>
          <cell r="P244">
            <v>0.27</v>
          </cell>
          <cell r="Q244">
            <v>1.4</v>
          </cell>
          <cell r="R244">
            <v>158.05813960228818</v>
          </cell>
          <cell r="S244">
            <v>0.79029069801144092</v>
          </cell>
          <cell r="T244">
            <v>522.375</v>
          </cell>
          <cell r="U244">
            <v>2.6118749999999999</v>
          </cell>
          <cell r="V244">
            <v>2228.8000000000002</v>
          </cell>
          <cell r="W244">
            <v>417.9</v>
          </cell>
          <cell r="X244">
            <v>3900.4</v>
          </cell>
          <cell r="Y244">
            <v>312.03200000000004</v>
          </cell>
          <cell r="Z244">
            <v>93.6096</v>
          </cell>
          <cell r="AA244">
            <v>823.54160000000002</v>
          </cell>
          <cell r="AB244">
            <v>4.1177080000000004</v>
          </cell>
        </row>
        <row r="245">
          <cell r="A245" t="str">
            <v>Spray (Band)50'</v>
          </cell>
          <cell r="B245" t="str">
            <v>Spray (Band)</v>
          </cell>
          <cell r="C245" t="str">
            <v>50'</v>
          </cell>
          <cell r="D245">
            <v>50</v>
          </cell>
          <cell r="E245">
            <v>7.5</v>
          </cell>
          <cell r="F245">
            <v>0.65</v>
          </cell>
          <cell r="G245">
            <v>3.3846153846153845E-2</v>
          </cell>
          <cell r="H245">
            <v>5461</v>
          </cell>
          <cell r="I245">
            <v>40</v>
          </cell>
          <cell r="J245">
            <v>75</v>
          </cell>
          <cell r="K245">
            <v>8</v>
          </cell>
          <cell r="L245">
            <v>200</v>
          </cell>
          <cell r="M245">
            <v>0</v>
          </cell>
          <cell r="N245">
            <v>1600</v>
          </cell>
          <cell r="O245">
            <v>1</v>
          </cell>
          <cell r="P245">
            <v>0.27</v>
          </cell>
          <cell r="Q245">
            <v>1.4</v>
          </cell>
          <cell r="R245">
            <v>154.90945807036894</v>
          </cell>
          <cell r="S245">
            <v>0.77454729035184466</v>
          </cell>
          <cell r="T245">
            <v>511.96875</v>
          </cell>
          <cell r="U245">
            <v>2.5598437500000002</v>
          </cell>
          <cell r="V245">
            <v>2184.4</v>
          </cell>
          <cell r="W245">
            <v>409.57499999999999</v>
          </cell>
          <cell r="X245">
            <v>3822.7</v>
          </cell>
          <cell r="Y245">
            <v>305.81599999999997</v>
          </cell>
          <cell r="Z245">
            <v>91.744799999999998</v>
          </cell>
          <cell r="AA245">
            <v>807.13580000000002</v>
          </cell>
          <cell r="AB245">
            <v>4.035679</v>
          </cell>
        </row>
        <row r="246">
          <cell r="A246" t="str">
            <v>Spray (Band)53'</v>
          </cell>
          <cell r="B246" t="str">
            <v>Spray (Band)</v>
          </cell>
          <cell r="C246" t="str">
            <v>53'</v>
          </cell>
          <cell r="D246">
            <v>53</v>
          </cell>
          <cell r="E246">
            <v>7.5</v>
          </cell>
          <cell r="F246">
            <v>0.65</v>
          </cell>
          <cell r="G246">
            <v>3.1930333817126275E-2</v>
          </cell>
          <cell r="H246">
            <v>6434</v>
          </cell>
          <cell r="I246">
            <v>40</v>
          </cell>
          <cell r="J246">
            <v>75</v>
          </cell>
          <cell r="K246">
            <v>8</v>
          </cell>
          <cell r="L246">
            <v>200</v>
          </cell>
          <cell r="M246">
            <v>0</v>
          </cell>
          <cell r="N246">
            <v>1600</v>
          </cell>
          <cell r="O246">
            <v>1</v>
          </cell>
          <cell r="P246">
            <v>0.27</v>
          </cell>
          <cell r="Q246">
            <v>1.4</v>
          </cell>
          <cell r="R246">
            <v>182.5100628501655</v>
          </cell>
          <cell r="S246">
            <v>0.91255031425082744</v>
          </cell>
          <cell r="T246">
            <v>603.1875</v>
          </cell>
          <cell r="U246">
            <v>3.0159375000000002</v>
          </cell>
          <cell r="V246">
            <v>2573.6</v>
          </cell>
          <cell r="W246">
            <v>482.55</v>
          </cell>
          <cell r="X246">
            <v>4503.8</v>
          </cell>
          <cell r="Y246">
            <v>360.30400000000003</v>
          </cell>
          <cell r="Z246">
            <v>108.0912</v>
          </cell>
          <cell r="AA246">
            <v>950.94520000000011</v>
          </cell>
          <cell r="AB246">
            <v>4.7547260000000007</v>
          </cell>
        </row>
        <row r="247">
          <cell r="A247" t="str">
            <v>Spray (Band)60'</v>
          </cell>
          <cell r="B247" t="str">
            <v>Spray (Band)</v>
          </cell>
          <cell r="C247" t="str">
            <v>60'</v>
          </cell>
          <cell r="D247">
            <v>60</v>
          </cell>
          <cell r="E247">
            <v>7.5</v>
          </cell>
          <cell r="F247">
            <v>0.65</v>
          </cell>
          <cell r="G247">
            <v>2.8205128205128206E-2</v>
          </cell>
          <cell r="H247">
            <v>7479</v>
          </cell>
          <cell r="I247">
            <v>40</v>
          </cell>
          <cell r="J247">
            <v>75</v>
          </cell>
          <cell r="K247">
            <v>8</v>
          </cell>
          <cell r="L247">
            <v>200</v>
          </cell>
          <cell r="M247">
            <v>0</v>
          </cell>
          <cell r="N247">
            <v>1600</v>
          </cell>
          <cell r="O247">
            <v>1</v>
          </cell>
          <cell r="P247">
            <v>0.27</v>
          </cell>
          <cell r="Q247">
            <v>1.4</v>
          </cell>
          <cell r="R247">
            <v>212.1530556506664</v>
          </cell>
          <cell r="S247">
            <v>1.0607652782533321</v>
          </cell>
          <cell r="T247">
            <v>701.15625</v>
          </cell>
          <cell r="U247">
            <v>3.5057812500000001</v>
          </cell>
          <cell r="V247">
            <v>2991.6</v>
          </cell>
          <cell r="W247">
            <v>560.92499999999995</v>
          </cell>
          <cell r="X247">
            <v>5235.3</v>
          </cell>
          <cell r="Y247">
            <v>418.82400000000001</v>
          </cell>
          <cell r="Z247">
            <v>125.64720000000001</v>
          </cell>
          <cell r="AA247">
            <v>1105.3962000000001</v>
          </cell>
          <cell r="AB247">
            <v>5.526981000000001</v>
          </cell>
        </row>
        <row r="248">
          <cell r="A248" t="str">
            <v>Spray (Bcast/HB)13' Rigid</v>
          </cell>
          <cell r="B248" t="str">
            <v>Spray (Bcast/HB)</v>
          </cell>
          <cell r="C248" t="str">
            <v>13' Rigid</v>
          </cell>
          <cell r="D248">
            <v>13</v>
          </cell>
          <cell r="E248">
            <v>7.5</v>
          </cell>
          <cell r="F248">
            <v>0.65</v>
          </cell>
          <cell r="G248">
            <v>0.13017751479289941</v>
          </cell>
          <cell r="H248">
            <v>4339</v>
          </cell>
          <cell r="I248">
            <v>40</v>
          </cell>
          <cell r="J248">
            <v>75</v>
          </cell>
          <cell r="K248">
            <v>8</v>
          </cell>
          <cell r="L248">
            <v>200</v>
          </cell>
          <cell r="M248">
            <v>0</v>
          </cell>
          <cell r="N248">
            <v>1600</v>
          </cell>
          <cell r="O248">
            <v>1</v>
          </cell>
          <cell r="P248">
            <v>0.27</v>
          </cell>
          <cell r="Q248">
            <v>1.4</v>
          </cell>
          <cell r="R248">
            <v>123.08224474772582</v>
          </cell>
          <cell r="S248">
            <v>0.61541122373862911</v>
          </cell>
          <cell r="T248">
            <v>406.78125</v>
          </cell>
          <cell r="U248">
            <v>2.0339062499999998</v>
          </cell>
          <cell r="V248">
            <v>1735.6</v>
          </cell>
          <cell r="W248">
            <v>325.42500000000001</v>
          </cell>
          <cell r="X248">
            <v>3037.3</v>
          </cell>
          <cell r="Y248">
            <v>242.98400000000001</v>
          </cell>
          <cell r="Z248">
            <v>72.895200000000003</v>
          </cell>
          <cell r="AA248">
            <v>641.30420000000004</v>
          </cell>
          <cell r="AB248">
            <v>3.2065210000000004</v>
          </cell>
        </row>
        <row r="249">
          <cell r="A249" t="str">
            <v>Spray (Bcast/HB)20' Rigid</v>
          </cell>
          <cell r="B249" t="str">
            <v>Spray (Bcast/HB)</v>
          </cell>
          <cell r="C249" t="str">
            <v>20' Rigid</v>
          </cell>
          <cell r="D249">
            <v>20</v>
          </cell>
          <cell r="E249">
            <v>7.5</v>
          </cell>
          <cell r="F249">
            <v>0.65</v>
          </cell>
          <cell r="G249">
            <v>8.461538461538462E-2</v>
          </cell>
          <cell r="H249">
            <v>5106</v>
          </cell>
          <cell r="I249">
            <v>40</v>
          </cell>
          <cell r="J249">
            <v>75</v>
          </cell>
          <cell r="K249">
            <v>8</v>
          </cell>
          <cell r="L249">
            <v>200</v>
          </cell>
          <cell r="M249">
            <v>0</v>
          </cell>
          <cell r="N249">
            <v>1600</v>
          </cell>
          <cell r="O249">
            <v>1</v>
          </cell>
          <cell r="P249">
            <v>0.27</v>
          </cell>
          <cell r="Q249">
            <v>1.4</v>
          </cell>
          <cell r="R249">
            <v>144.83935046828489</v>
          </cell>
          <cell r="S249">
            <v>0.72419675234142444</v>
          </cell>
          <cell r="T249">
            <v>478.6875</v>
          </cell>
          <cell r="U249">
            <v>2.3934375000000001</v>
          </cell>
          <cell r="V249">
            <v>2042.4</v>
          </cell>
          <cell r="W249">
            <v>382.95</v>
          </cell>
          <cell r="X249">
            <v>3574.2</v>
          </cell>
          <cell r="Y249">
            <v>285.93599999999998</v>
          </cell>
          <cell r="Z249">
            <v>85.780799999999999</v>
          </cell>
          <cell r="AA249">
            <v>754.66679999999997</v>
          </cell>
          <cell r="AB249">
            <v>3.7733339999999997</v>
          </cell>
        </row>
        <row r="250">
          <cell r="A250" t="str">
            <v>Spray (Bcast/HB)27' Fold</v>
          </cell>
          <cell r="B250" t="str">
            <v>Spray (Bcast/HB)</v>
          </cell>
          <cell r="C250" t="str">
            <v>27' Fold</v>
          </cell>
          <cell r="D250">
            <v>27</v>
          </cell>
          <cell r="E250">
            <v>7.5</v>
          </cell>
          <cell r="F250">
            <v>0.65</v>
          </cell>
          <cell r="G250">
            <v>6.2678062678062682E-2</v>
          </cell>
          <cell r="H250">
            <v>8425</v>
          </cell>
          <cell r="I250">
            <v>40</v>
          </cell>
          <cell r="J250">
            <v>75</v>
          </cell>
          <cell r="K250">
            <v>8</v>
          </cell>
          <cell r="L250">
            <v>200</v>
          </cell>
          <cell r="M250">
            <v>0</v>
          </cell>
          <cell r="N250">
            <v>1600</v>
          </cell>
          <cell r="O250">
            <v>1</v>
          </cell>
          <cell r="P250">
            <v>0.27</v>
          </cell>
          <cell r="Q250">
            <v>1.4</v>
          </cell>
          <cell r="R250">
            <v>238.9877649226988</v>
          </cell>
          <cell r="S250">
            <v>1.194938824613494</v>
          </cell>
          <cell r="T250">
            <v>789.84375</v>
          </cell>
          <cell r="U250">
            <v>3.94921875</v>
          </cell>
          <cell r="V250">
            <v>3370</v>
          </cell>
          <cell r="W250">
            <v>631.875</v>
          </cell>
          <cell r="X250">
            <v>5897.5</v>
          </cell>
          <cell r="Y250">
            <v>471.8</v>
          </cell>
          <cell r="Z250">
            <v>141.54</v>
          </cell>
          <cell r="AA250">
            <v>1245.2150000000001</v>
          </cell>
          <cell r="AB250">
            <v>6.2260750000000007</v>
          </cell>
        </row>
        <row r="251">
          <cell r="A251" t="str">
            <v>Spray (Bcast/HB)27' Rigid</v>
          </cell>
          <cell r="B251" t="str">
            <v>Spray (Bcast/HB)</v>
          </cell>
          <cell r="C251" t="str">
            <v>27' Rigid</v>
          </cell>
          <cell r="D251">
            <v>27</v>
          </cell>
          <cell r="E251">
            <v>7.5</v>
          </cell>
          <cell r="F251">
            <v>0.65</v>
          </cell>
          <cell r="G251">
            <v>6.2678062678062682E-2</v>
          </cell>
          <cell r="H251">
            <v>5928</v>
          </cell>
          <cell r="I251">
            <v>40</v>
          </cell>
          <cell r="J251">
            <v>75</v>
          </cell>
          <cell r="K251">
            <v>8</v>
          </cell>
          <cell r="L251">
            <v>200</v>
          </cell>
          <cell r="M251">
            <v>0</v>
          </cell>
          <cell r="N251">
            <v>1600</v>
          </cell>
          <cell r="O251">
            <v>1</v>
          </cell>
          <cell r="P251">
            <v>0.27</v>
          </cell>
          <cell r="Q251">
            <v>1.4</v>
          </cell>
          <cell r="R251">
            <v>168.15661370465978</v>
          </cell>
          <cell r="S251">
            <v>0.84078306852329887</v>
          </cell>
          <cell r="T251">
            <v>555.75</v>
          </cell>
          <cell r="U251">
            <v>2.7787500000000001</v>
          </cell>
          <cell r="V251">
            <v>2371.1999999999998</v>
          </cell>
          <cell r="W251">
            <v>444.6</v>
          </cell>
          <cell r="X251">
            <v>4149.6000000000004</v>
          </cell>
          <cell r="Y251">
            <v>331.96800000000002</v>
          </cell>
          <cell r="Z251">
            <v>99.590400000000017</v>
          </cell>
          <cell r="AA251">
            <v>876.15840000000003</v>
          </cell>
          <cell r="AB251">
            <v>4.3807920000000005</v>
          </cell>
        </row>
        <row r="252">
          <cell r="A252" t="str">
            <v>Spray (Bcast/HB)30' Fold</v>
          </cell>
          <cell r="B252" t="str">
            <v>Spray (Bcast/HB)</v>
          </cell>
          <cell r="C252" t="str">
            <v>30' Fold</v>
          </cell>
          <cell r="D252">
            <v>30</v>
          </cell>
          <cell r="E252">
            <v>7.5</v>
          </cell>
          <cell r="F252">
            <v>0.65</v>
          </cell>
          <cell r="G252">
            <v>5.6410256410256411E-2</v>
          </cell>
          <cell r="H252">
            <v>12103</v>
          </cell>
          <cell r="I252">
            <v>40</v>
          </cell>
          <cell r="J252">
            <v>75</v>
          </cell>
          <cell r="K252">
            <v>8</v>
          </cell>
          <cell r="L252">
            <v>200</v>
          </cell>
          <cell r="M252">
            <v>0</v>
          </cell>
          <cell r="N252">
            <v>1600</v>
          </cell>
          <cell r="O252">
            <v>1</v>
          </cell>
          <cell r="P252">
            <v>0.27</v>
          </cell>
          <cell r="Q252">
            <v>1.4</v>
          </cell>
          <cell r="R252">
            <v>343.31975298034706</v>
          </cell>
          <cell r="S252">
            <v>1.7165987649017354</v>
          </cell>
          <cell r="T252">
            <v>1134.65625</v>
          </cell>
          <cell r="U252">
            <v>5.6732812499999996</v>
          </cell>
          <cell r="V252">
            <v>4841.2</v>
          </cell>
          <cell r="W252">
            <v>907.72500000000002</v>
          </cell>
          <cell r="X252">
            <v>8472.1</v>
          </cell>
          <cell r="Y252">
            <v>677.76800000000003</v>
          </cell>
          <cell r="Z252">
            <v>203.33040000000003</v>
          </cell>
          <cell r="AA252">
            <v>1788.8234000000002</v>
          </cell>
          <cell r="AB252">
            <v>8.9441170000000003</v>
          </cell>
        </row>
        <row r="253">
          <cell r="A253" t="str">
            <v>Spray (Bcast/HB)40' Fold</v>
          </cell>
          <cell r="B253" t="str">
            <v>Spray (Bcast/HB)</v>
          </cell>
          <cell r="C253" t="str">
            <v>40' Fold</v>
          </cell>
          <cell r="D253">
            <v>40</v>
          </cell>
          <cell r="E253">
            <v>7.5</v>
          </cell>
          <cell r="F253">
            <v>0.65</v>
          </cell>
          <cell r="G253">
            <v>4.230769230769231E-2</v>
          </cell>
          <cell r="H253">
            <v>11746</v>
          </cell>
          <cell r="I253">
            <v>40</v>
          </cell>
          <cell r="J253">
            <v>75</v>
          </cell>
          <cell r="K253">
            <v>8</v>
          </cell>
          <cell r="L253">
            <v>200</v>
          </cell>
          <cell r="M253">
            <v>0</v>
          </cell>
          <cell r="N253">
            <v>1600</v>
          </cell>
          <cell r="O253">
            <v>1</v>
          </cell>
          <cell r="P253">
            <v>0.27</v>
          </cell>
          <cell r="Q253">
            <v>1.4</v>
          </cell>
          <cell r="R253">
            <v>333.19291237768789</v>
          </cell>
          <cell r="S253">
            <v>1.6659645618884396</v>
          </cell>
          <cell r="T253">
            <v>1101.1875</v>
          </cell>
          <cell r="U253">
            <v>5.5059374999999999</v>
          </cell>
          <cell r="V253">
            <v>4698.3999999999996</v>
          </cell>
          <cell r="W253">
            <v>880.95</v>
          </cell>
          <cell r="X253">
            <v>8222.2000000000007</v>
          </cell>
          <cell r="Y253">
            <v>657.77600000000007</v>
          </cell>
          <cell r="Z253">
            <v>197.33280000000002</v>
          </cell>
          <cell r="AA253">
            <v>1736.0588000000002</v>
          </cell>
          <cell r="AB253">
            <v>8.6802940000000017</v>
          </cell>
        </row>
        <row r="254">
          <cell r="A254" t="str">
            <v>Spray (Bcast/HB/HD)27'</v>
          </cell>
          <cell r="B254" t="str">
            <v>Spray (Bcast/HB/HD)</v>
          </cell>
          <cell r="C254" t="str">
            <v>27'</v>
          </cell>
          <cell r="D254">
            <v>27</v>
          </cell>
          <cell r="E254">
            <v>7.5</v>
          </cell>
          <cell r="F254">
            <v>0.65</v>
          </cell>
          <cell r="G254">
            <v>6.2678062678062682E-2</v>
          </cell>
          <cell r="H254">
            <v>19279</v>
          </cell>
          <cell r="I254">
            <v>40</v>
          </cell>
          <cell r="J254">
            <v>75</v>
          </cell>
          <cell r="K254">
            <v>8</v>
          </cell>
          <cell r="L254">
            <v>200</v>
          </cell>
          <cell r="M254">
            <v>0</v>
          </cell>
          <cell r="N254">
            <v>1600</v>
          </cell>
          <cell r="O254">
            <v>1</v>
          </cell>
          <cell r="P254">
            <v>0.27</v>
          </cell>
          <cell r="Q254">
            <v>1.4</v>
          </cell>
          <cell r="R254">
            <v>546.87775904388252</v>
          </cell>
          <cell r="S254">
            <v>2.7343887952194126</v>
          </cell>
          <cell r="T254">
            <v>1807.40625</v>
          </cell>
          <cell r="U254">
            <v>9.0370312500000001</v>
          </cell>
          <cell r="V254">
            <v>7711.6</v>
          </cell>
          <cell r="W254">
            <v>1445.925</v>
          </cell>
          <cell r="X254">
            <v>13495.3</v>
          </cell>
          <cell r="Y254">
            <v>1079.624</v>
          </cell>
          <cell r="Z254">
            <v>323.88720000000001</v>
          </cell>
          <cell r="AA254">
            <v>2849.4362000000001</v>
          </cell>
          <cell r="AB254">
            <v>14.247181000000001</v>
          </cell>
        </row>
        <row r="255">
          <cell r="A255" t="str">
            <v>Spray (Bcast/HB/HD)40'</v>
          </cell>
          <cell r="B255" t="str">
            <v>Spray (Bcast/HB/HD)</v>
          </cell>
          <cell r="C255" t="str">
            <v>40'</v>
          </cell>
          <cell r="D255">
            <v>40</v>
          </cell>
          <cell r="E255">
            <v>7.5</v>
          </cell>
          <cell r="F255">
            <v>0.65</v>
          </cell>
          <cell r="G255">
            <v>4.230769230769231E-2</v>
          </cell>
          <cell r="H255">
            <v>23062</v>
          </cell>
          <cell r="I255">
            <v>40</v>
          </cell>
          <cell r="J255">
            <v>75</v>
          </cell>
          <cell r="K255">
            <v>8</v>
          </cell>
          <cell r="L255">
            <v>200</v>
          </cell>
          <cell r="M255">
            <v>0</v>
          </cell>
          <cell r="N255">
            <v>1600</v>
          </cell>
          <cell r="O255">
            <v>1</v>
          </cell>
          <cell r="P255">
            <v>0.27</v>
          </cell>
          <cell r="Q255">
            <v>1.4</v>
          </cell>
          <cell r="R255">
            <v>654.18822963172465</v>
          </cell>
          <cell r="S255">
            <v>3.2709411481586232</v>
          </cell>
          <cell r="T255">
            <v>2162.0625</v>
          </cell>
          <cell r="U255">
            <v>10.8103125</v>
          </cell>
          <cell r="V255">
            <v>9224.7999999999993</v>
          </cell>
          <cell r="W255">
            <v>1729.65</v>
          </cell>
          <cell r="X255">
            <v>16143.4</v>
          </cell>
          <cell r="Y255">
            <v>1291.472</v>
          </cell>
          <cell r="Z255">
            <v>387.44159999999999</v>
          </cell>
          <cell r="AA255">
            <v>3408.5636</v>
          </cell>
          <cell r="AB255">
            <v>17.042818</v>
          </cell>
        </row>
        <row r="256">
          <cell r="A256" t="str">
            <v>Spray (Broadcast)27'</v>
          </cell>
          <cell r="B256" t="str">
            <v>Spray (Broadcast)</v>
          </cell>
          <cell r="C256" t="str">
            <v>27'</v>
          </cell>
          <cell r="D256">
            <v>27</v>
          </cell>
          <cell r="E256">
            <v>7.5</v>
          </cell>
          <cell r="F256">
            <v>0.65</v>
          </cell>
          <cell r="G256">
            <v>6.2678062678062682E-2</v>
          </cell>
          <cell r="H256">
            <v>5369</v>
          </cell>
          <cell r="I256">
            <v>40</v>
          </cell>
          <cell r="J256">
            <v>75</v>
          </cell>
          <cell r="K256">
            <v>8</v>
          </cell>
          <cell r="L256">
            <v>200</v>
          </cell>
          <cell r="M256">
            <v>0</v>
          </cell>
          <cell r="N256">
            <v>1600</v>
          </cell>
          <cell r="O256">
            <v>1</v>
          </cell>
          <cell r="P256">
            <v>0.27</v>
          </cell>
          <cell r="Q256">
            <v>1.4</v>
          </cell>
          <cell r="R256">
            <v>152.29974004391335</v>
          </cell>
          <cell r="S256">
            <v>0.76149870021956678</v>
          </cell>
          <cell r="T256">
            <v>503.34375</v>
          </cell>
          <cell r="U256">
            <v>2.5167187499999999</v>
          </cell>
          <cell r="V256">
            <v>2147.6</v>
          </cell>
          <cell r="W256">
            <v>402.67500000000001</v>
          </cell>
          <cell r="X256">
            <v>3758.3</v>
          </cell>
          <cell r="Y256">
            <v>300.66400000000004</v>
          </cell>
          <cell r="Z256">
            <v>90.199200000000005</v>
          </cell>
          <cell r="AA256">
            <v>793.53820000000007</v>
          </cell>
          <cell r="AB256">
            <v>3.9676910000000003</v>
          </cell>
        </row>
        <row r="257">
          <cell r="A257" t="str">
            <v>Spray (Broadcast)40'</v>
          </cell>
          <cell r="B257" t="str">
            <v>Spray (Broadcast)</v>
          </cell>
          <cell r="C257" t="str">
            <v>40'</v>
          </cell>
          <cell r="D257">
            <v>40</v>
          </cell>
          <cell r="E257">
            <v>7.5</v>
          </cell>
          <cell r="F257">
            <v>0.65</v>
          </cell>
          <cell r="G257">
            <v>4.230769230769231E-2</v>
          </cell>
          <cell r="H257">
            <v>5572</v>
          </cell>
          <cell r="I257">
            <v>40</v>
          </cell>
          <cell r="J257">
            <v>75</v>
          </cell>
          <cell r="K257">
            <v>8</v>
          </cell>
          <cell r="L257">
            <v>200</v>
          </cell>
          <cell r="M257">
            <v>0</v>
          </cell>
          <cell r="N257">
            <v>1600</v>
          </cell>
          <cell r="O257">
            <v>1</v>
          </cell>
          <cell r="P257">
            <v>0.27</v>
          </cell>
          <cell r="Q257">
            <v>1.4</v>
          </cell>
          <cell r="R257">
            <v>158.05813960228818</v>
          </cell>
          <cell r="S257">
            <v>0.79029069801144092</v>
          </cell>
          <cell r="T257">
            <v>522.375</v>
          </cell>
          <cell r="U257">
            <v>2.6118749999999999</v>
          </cell>
          <cell r="V257">
            <v>2228.8000000000002</v>
          </cell>
          <cell r="W257">
            <v>417.9</v>
          </cell>
          <cell r="X257">
            <v>3900.4</v>
          </cell>
          <cell r="Y257">
            <v>312.03200000000004</v>
          </cell>
          <cell r="Z257">
            <v>93.6096</v>
          </cell>
          <cell r="AA257">
            <v>823.54160000000002</v>
          </cell>
          <cell r="AB257">
            <v>4.1177080000000004</v>
          </cell>
        </row>
        <row r="258">
          <cell r="A258" t="str">
            <v>Spray (Broadcast)50'</v>
          </cell>
          <cell r="B258" t="str">
            <v>Spray (Broadcast)</v>
          </cell>
          <cell r="C258" t="str">
            <v>50'</v>
          </cell>
          <cell r="D258">
            <v>50</v>
          </cell>
          <cell r="E258">
            <v>7.5</v>
          </cell>
          <cell r="F258">
            <v>0.65</v>
          </cell>
          <cell r="G258">
            <v>3.3846153846153845E-2</v>
          </cell>
          <cell r="H258">
            <v>5461</v>
          </cell>
          <cell r="I258">
            <v>40</v>
          </cell>
          <cell r="J258">
            <v>75</v>
          </cell>
          <cell r="K258">
            <v>8</v>
          </cell>
          <cell r="L258">
            <v>200</v>
          </cell>
          <cell r="M258">
            <v>0</v>
          </cell>
          <cell r="N258">
            <v>1600</v>
          </cell>
          <cell r="O258">
            <v>1</v>
          </cell>
          <cell r="P258">
            <v>0.27</v>
          </cell>
          <cell r="Q258">
            <v>1.4</v>
          </cell>
          <cell r="R258">
            <v>154.90945807036894</v>
          </cell>
          <cell r="S258">
            <v>0.77454729035184466</v>
          </cell>
          <cell r="T258">
            <v>511.96875</v>
          </cell>
          <cell r="U258">
            <v>2.5598437500000002</v>
          </cell>
          <cell r="V258">
            <v>2184.4</v>
          </cell>
          <cell r="W258">
            <v>409.57499999999999</v>
          </cell>
          <cell r="X258">
            <v>3822.7</v>
          </cell>
          <cell r="Y258">
            <v>305.81599999999997</v>
          </cell>
          <cell r="Z258">
            <v>91.744799999999998</v>
          </cell>
          <cell r="AA258">
            <v>807.13580000000002</v>
          </cell>
          <cell r="AB258">
            <v>4.035679</v>
          </cell>
        </row>
        <row r="259">
          <cell r="A259" t="str">
            <v>Spray (Broadcast)53'</v>
          </cell>
          <cell r="B259" t="str">
            <v>Spray (Broadcast)</v>
          </cell>
          <cell r="C259" t="str">
            <v>53'</v>
          </cell>
          <cell r="D259">
            <v>53</v>
          </cell>
          <cell r="E259">
            <v>7.5</v>
          </cell>
          <cell r="F259">
            <v>0.65</v>
          </cell>
          <cell r="G259">
            <v>3.1930333817126275E-2</v>
          </cell>
          <cell r="H259">
            <v>6434</v>
          </cell>
          <cell r="I259">
            <v>40</v>
          </cell>
          <cell r="J259">
            <v>75</v>
          </cell>
          <cell r="K259">
            <v>8</v>
          </cell>
          <cell r="L259">
            <v>200</v>
          </cell>
          <cell r="M259">
            <v>0</v>
          </cell>
          <cell r="N259">
            <v>1600</v>
          </cell>
          <cell r="O259">
            <v>1</v>
          </cell>
          <cell r="P259">
            <v>0.27</v>
          </cell>
          <cell r="Q259">
            <v>1.4</v>
          </cell>
          <cell r="R259">
            <v>182.5100628501655</v>
          </cell>
          <cell r="S259">
            <v>0.91255031425082744</v>
          </cell>
          <cell r="T259">
            <v>603.1875</v>
          </cell>
          <cell r="U259">
            <v>3.0159375000000002</v>
          </cell>
          <cell r="V259">
            <v>2573.6</v>
          </cell>
          <cell r="W259">
            <v>482.55</v>
          </cell>
          <cell r="X259">
            <v>4503.8</v>
          </cell>
          <cell r="Y259">
            <v>360.30400000000003</v>
          </cell>
          <cell r="Z259">
            <v>108.0912</v>
          </cell>
          <cell r="AA259">
            <v>950.94520000000011</v>
          </cell>
          <cell r="AB259">
            <v>4.7547260000000007</v>
          </cell>
        </row>
        <row r="260">
          <cell r="A260" t="str">
            <v>Spray (Broadcast)60'</v>
          </cell>
          <cell r="B260" t="str">
            <v>Spray (Broadcast)</v>
          </cell>
          <cell r="C260" t="str">
            <v>60'</v>
          </cell>
          <cell r="D260">
            <v>60</v>
          </cell>
          <cell r="E260">
            <v>7.5</v>
          </cell>
          <cell r="F260">
            <v>0.65</v>
          </cell>
          <cell r="G260">
            <v>2.8205128205128206E-2</v>
          </cell>
          <cell r="H260">
            <v>7479</v>
          </cell>
          <cell r="I260">
            <v>40</v>
          </cell>
          <cell r="J260">
            <v>75</v>
          </cell>
          <cell r="K260">
            <v>8</v>
          </cell>
          <cell r="L260">
            <v>200</v>
          </cell>
          <cell r="M260">
            <v>0</v>
          </cell>
          <cell r="N260">
            <v>1600</v>
          </cell>
          <cell r="O260">
            <v>1</v>
          </cell>
          <cell r="P260">
            <v>0.27</v>
          </cell>
          <cell r="Q260">
            <v>1.4</v>
          </cell>
          <cell r="R260">
            <v>212.1530556506664</v>
          </cell>
          <cell r="S260">
            <v>1.0607652782533321</v>
          </cell>
          <cell r="T260">
            <v>701.15625</v>
          </cell>
          <cell r="U260">
            <v>3.5057812500000001</v>
          </cell>
          <cell r="V260">
            <v>2991.6</v>
          </cell>
          <cell r="W260">
            <v>560.92499999999995</v>
          </cell>
          <cell r="X260">
            <v>5235.3</v>
          </cell>
          <cell r="Y260">
            <v>418.82400000000001</v>
          </cell>
          <cell r="Z260">
            <v>125.64720000000001</v>
          </cell>
          <cell r="AA260">
            <v>1105.3962000000001</v>
          </cell>
          <cell r="AB260">
            <v>5.526981000000001</v>
          </cell>
        </row>
        <row r="261">
          <cell r="A261" t="str">
            <v>Spray (Direct/Hood)12R-30</v>
          </cell>
          <cell r="B261" t="str">
            <v>Spray (Direct/Hood)</v>
          </cell>
          <cell r="C261" t="str">
            <v>12R-30</v>
          </cell>
          <cell r="D261">
            <v>30</v>
          </cell>
          <cell r="E261">
            <v>7.5</v>
          </cell>
          <cell r="F261">
            <v>0.65</v>
          </cell>
          <cell r="G261">
            <v>5.6410256410256411E-2</v>
          </cell>
          <cell r="H261">
            <v>16475</v>
          </cell>
          <cell r="I261">
            <v>40</v>
          </cell>
          <cell r="J261">
            <v>75</v>
          </cell>
          <cell r="K261">
            <v>8</v>
          </cell>
          <cell r="L261">
            <v>200</v>
          </cell>
          <cell r="M261">
            <v>0</v>
          </cell>
          <cell r="N261">
            <v>1600</v>
          </cell>
          <cell r="O261">
            <v>1</v>
          </cell>
          <cell r="P261">
            <v>0.27</v>
          </cell>
          <cell r="Q261">
            <v>1.4</v>
          </cell>
          <cell r="R261">
            <v>467.33809223756236</v>
          </cell>
          <cell r="S261">
            <v>2.3366904611878119</v>
          </cell>
          <cell r="T261">
            <v>1544.53125</v>
          </cell>
          <cell r="U261">
            <v>7.72265625</v>
          </cell>
          <cell r="V261">
            <v>6590</v>
          </cell>
          <cell r="W261">
            <v>1235.625</v>
          </cell>
          <cell r="X261">
            <v>11532.5</v>
          </cell>
          <cell r="Y261">
            <v>922.6</v>
          </cell>
          <cell r="Z261">
            <v>276.78000000000003</v>
          </cell>
          <cell r="AA261">
            <v>2435.0050000000001</v>
          </cell>
          <cell r="AB261">
            <v>12.175025</v>
          </cell>
        </row>
        <row r="262">
          <cell r="A262" t="str">
            <v>Spray (Direct/Hood)12R-36</v>
          </cell>
          <cell r="B262" t="str">
            <v>Spray (Direct/Hood)</v>
          </cell>
          <cell r="C262" t="str">
            <v>12R-36</v>
          </cell>
          <cell r="D262">
            <v>36</v>
          </cell>
          <cell r="E262">
            <v>7.5</v>
          </cell>
          <cell r="F262">
            <v>0.65</v>
          </cell>
          <cell r="G262">
            <v>4.7008547008547008E-2</v>
          </cell>
          <cell r="H262">
            <v>16877</v>
          </cell>
          <cell r="I262">
            <v>40</v>
          </cell>
          <cell r="J262">
            <v>75</v>
          </cell>
          <cell r="K262">
            <v>8</v>
          </cell>
          <cell r="L262">
            <v>200</v>
          </cell>
          <cell r="M262">
            <v>0</v>
          </cell>
          <cell r="N262">
            <v>1600</v>
          </cell>
          <cell r="O262">
            <v>1</v>
          </cell>
          <cell r="P262">
            <v>0.27</v>
          </cell>
          <cell r="Q262">
            <v>1.4</v>
          </cell>
          <cell r="R262">
            <v>478.74142535316179</v>
          </cell>
          <cell r="S262">
            <v>2.393707126765809</v>
          </cell>
          <cell r="T262">
            <v>1582.21875</v>
          </cell>
          <cell r="U262">
            <v>7.91109375</v>
          </cell>
          <cell r="V262">
            <v>6750.8</v>
          </cell>
          <cell r="W262">
            <v>1265.7750000000001</v>
          </cell>
          <cell r="X262">
            <v>11813.9</v>
          </cell>
          <cell r="Y262">
            <v>945.11199999999997</v>
          </cell>
          <cell r="Z262">
            <v>283.53359999999998</v>
          </cell>
          <cell r="AA262">
            <v>2494.4205999999999</v>
          </cell>
          <cell r="AB262">
            <v>12.472102999999999</v>
          </cell>
        </row>
        <row r="263">
          <cell r="A263" t="str">
            <v>Spray (Direct/Hood)8R-30</v>
          </cell>
          <cell r="B263" t="str">
            <v>Spray (Direct/Hood)</v>
          </cell>
          <cell r="C263" t="str">
            <v>8R-30</v>
          </cell>
          <cell r="D263">
            <v>20</v>
          </cell>
          <cell r="E263">
            <v>7.5</v>
          </cell>
          <cell r="F263">
            <v>0.65</v>
          </cell>
          <cell r="G263">
            <v>8.461538461538462E-2</v>
          </cell>
          <cell r="H263">
            <v>12824</v>
          </cell>
          <cell r="I263">
            <v>40</v>
          </cell>
          <cell r="J263">
            <v>75</v>
          </cell>
          <cell r="K263">
            <v>8</v>
          </cell>
          <cell r="L263">
            <v>200</v>
          </cell>
          <cell r="M263">
            <v>0</v>
          </cell>
          <cell r="N263">
            <v>1600</v>
          </cell>
          <cell r="O263">
            <v>1</v>
          </cell>
          <cell r="P263">
            <v>0.27</v>
          </cell>
          <cell r="Q263">
            <v>1.4</v>
          </cell>
          <cell r="R263">
            <v>363.77199968767832</v>
          </cell>
          <cell r="S263">
            <v>1.8188599984383915</v>
          </cell>
          <cell r="T263">
            <v>1202.25</v>
          </cell>
          <cell r="U263">
            <v>6.0112500000000004</v>
          </cell>
          <cell r="V263">
            <v>5129.6000000000004</v>
          </cell>
          <cell r="W263">
            <v>961.8</v>
          </cell>
          <cell r="X263">
            <v>8976.7999999999993</v>
          </cell>
          <cell r="Y263">
            <v>718.14400000000001</v>
          </cell>
          <cell r="Z263">
            <v>215.44319999999999</v>
          </cell>
          <cell r="AA263">
            <v>1895.3871999999999</v>
          </cell>
          <cell r="AB263">
            <v>9.4769360000000002</v>
          </cell>
        </row>
        <row r="264">
          <cell r="A264" t="str">
            <v>Spray (Direct/Hood)8R-36</v>
          </cell>
          <cell r="B264" t="str">
            <v>Spray (Direct/Hood)</v>
          </cell>
          <cell r="C264" t="str">
            <v>8R-36</v>
          </cell>
          <cell r="D264">
            <v>24</v>
          </cell>
          <cell r="E264">
            <v>7.5</v>
          </cell>
          <cell r="F264">
            <v>0.65</v>
          </cell>
          <cell r="G264">
            <v>7.0512820512820512E-2</v>
          </cell>
          <cell r="H264">
            <v>13749</v>
          </cell>
          <cell r="I264">
            <v>40</v>
          </cell>
          <cell r="J264">
            <v>75</v>
          </cell>
          <cell r="K264">
            <v>8</v>
          </cell>
          <cell r="L264">
            <v>200</v>
          </cell>
          <cell r="M264">
            <v>0</v>
          </cell>
          <cell r="N264">
            <v>1600</v>
          </cell>
          <cell r="O264">
            <v>1</v>
          </cell>
          <cell r="P264">
            <v>0.27</v>
          </cell>
          <cell r="Q264">
            <v>1.4</v>
          </cell>
          <cell r="R264">
            <v>390.01101245367192</v>
          </cell>
          <cell r="S264">
            <v>1.9500550622683597</v>
          </cell>
          <cell r="T264">
            <v>1288.96875</v>
          </cell>
          <cell r="U264">
            <v>6.4448437500000004</v>
          </cell>
          <cell r="V264">
            <v>5499.6</v>
          </cell>
          <cell r="W264">
            <v>1031.175</v>
          </cell>
          <cell r="X264">
            <v>9624.2999999999993</v>
          </cell>
          <cell r="Y264">
            <v>769.94399999999996</v>
          </cell>
          <cell r="Z264">
            <v>230.98319999999998</v>
          </cell>
          <cell r="AA264">
            <v>2032.1021999999998</v>
          </cell>
          <cell r="AB264">
            <v>10.160511</v>
          </cell>
        </row>
        <row r="265">
          <cell r="A265" t="str">
            <v>Spray (Direct/Layby)10R-30</v>
          </cell>
          <cell r="B265" t="str">
            <v>Spray (Direct/Layby)</v>
          </cell>
          <cell r="C265" t="str">
            <v>10R-30</v>
          </cell>
          <cell r="D265">
            <v>25</v>
          </cell>
          <cell r="E265">
            <v>7.5</v>
          </cell>
          <cell r="F265">
            <v>0.65</v>
          </cell>
          <cell r="G265">
            <v>6.7692307692307691E-2</v>
          </cell>
          <cell r="H265">
            <v>8141</v>
          </cell>
          <cell r="I265">
            <v>40</v>
          </cell>
          <cell r="J265">
            <v>75</v>
          </cell>
          <cell r="K265">
            <v>8</v>
          </cell>
          <cell r="L265">
            <v>200</v>
          </cell>
          <cell r="M265">
            <v>0</v>
          </cell>
          <cell r="N265">
            <v>1600</v>
          </cell>
          <cell r="O265">
            <v>1</v>
          </cell>
          <cell r="P265">
            <v>0.27</v>
          </cell>
          <cell r="Q265">
            <v>1.4</v>
          </cell>
          <cell r="R265">
            <v>230.93167884103158</v>
          </cell>
          <cell r="S265">
            <v>1.1546583942051578</v>
          </cell>
          <cell r="T265">
            <v>763.21875</v>
          </cell>
          <cell r="U265">
            <v>3.8160937499999998</v>
          </cell>
          <cell r="V265">
            <v>3256.4</v>
          </cell>
          <cell r="W265">
            <v>610.57500000000005</v>
          </cell>
          <cell r="X265">
            <v>5698.7</v>
          </cell>
          <cell r="Y265">
            <v>455.89600000000002</v>
          </cell>
          <cell r="Z265">
            <v>136.7688</v>
          </cell>
          <cell r="AA265">
            <v>1203.2398000000001</v>
          </cell>
          <cell r="AB265">
            <v>6.0161990000000003</v>
          </cell>
        </row>
        <row r="266">
          <cell r="A266" t="str">
            <v>Spray (Direct/Layby)12R-30</v>
          </cell>
          <cell r="B266" t="str">
            <v>Spray (Direct/Layby)</v>
          </cell>
          <cell r="C266" t="str">
            <v>12R-30</v>
          </cell>
          <cell r="D266">
            <v>30</v>
          </cell>
          <cell r="E266">
            <v>7.5</v>
          </cell>
          <cell r="F266">
            <v>0.65</v>
          </cell>
          <cell r="G266">
            <v>5.6410256410256411E-2</v>
          </cell>
          <cell r="H266">
            <v>9168</v>
          </cell>
          <cell r="I266">
            <v>40</v>
          </cell>
          <cell r="J266">
            <v>75</v>
          </cell>
          <cell r="K266">
            <v>8</v>
          </cell>
          <cell r="L266">
            <v>200</v>
          </cell>
          <cell r="M266">
            <v>0</v>
          </cell>
          <cell r="N266">
            <v>1600</v>
          </cell>
          <cell r="O266">
            <v>1</v>
          </cell>
          <cell r="P266">
            <v>0.27</v>
          </cell>
          <cell r="Q266">
            <v>1.4</v>
          </cell>
          <cell r="R266">
            <v>260.06407463635639</v>
          </cell>
          <cell r="S266">
            <v>1.3003203731817821</v>
          </cell>
          <cell r="T266">
            <v>859.5</v>
          </cell>
          <cell r="U266">
            <v>4.2975000000000003</v>
          </cell>
          <cell r="V266">
            <v>3667.2</v>
          </cell>
          <cell r="W266">
            <v>687.6</v>
          </cell>
          <cell r="X266">
            <v>6417.6</v>
          </cell>
          <cell r="Y266">
            <v>513.40800000000002</v>
          </cell>
          <cell r="Z266">
            <v>154.0224</v>
          </cell>
          <cell r="AA266">
            <v>1355.0304000000001</v>
          </cell>
          <cell r="AB266">
            <v>6.7751520000000003</v>
          </cell>
        </row>
        <row r="267">
          <cell r="A267" t="str">
            <v>Spray (Direct/Layby)12R-36</v>
          </cell>
          <cell r="B267" t="str">
            <v>Spray (Direct/Layby)</v>
          </cell>
          <cell r="C267" t="str">
            <v>12R-36</v>
          </cell>
          <cell r="D267">
            <v>36</v>
          </cell>
          <cell r="E267">
            <v>7.5</v>
          </cell>
          <cell r="F267">
            <v>0.65</v>
          </cell>
          <cell r="G267">
            <v>4.7008547008547008E-2</v>
          </cell>
          <cell r="H267">
            <v>13882</v>
          </cell>
          <cell r="I267">
            <v>40</v>
          </cell>
          <cell r="J267">
            <v>75</v>
          </cell>
          <cell r="K267">
            <v>8</v>
          </cell>
          <cell r="L267">
            <v>200</v>
          </cell>
          <cell r="M267">
            <v>0</v>
          </cell>
          <cell r="N267">
            <v>1600</v>
          </cell>
          <cell r="O267">
            <v>1</v>
          </cell>
          <cell r="P267">
            <v>0.27</v>
          </cell>
          <cell r="Q267">
            <v>1.4</v>
          </cell>
          <cell r="R267">
            <v>393.78375699191753</v>
          </cell>
          <cell r="S267">
            <v>1.9689187849595877</v>
          </cell>
          <cell r="T267">
            <v>1301.4375</v>
          </cell>
          <cell r="U267">
            <v>6.5071874999999997</v>
          </cell>
          <cell r="V267">
            <v>5552.8</v>
          </cell>
          <cell r="W267">
            <v>1041.1500000000001</v>
          </cell>
          <cell r="X267">
            <v>9717.4</v>
          </cell>
          <cell r="Y267">
            <v>777.39199999999994</v>
          </cell>
          <cell r="Z267">
            <v>233.2176</v>
          </cell>
          <cell r="AA267">
            <v>2051.7596000000003</v>
          </cell>
          <cell r="AB267">
            <v>10.258798000000002</v>
          </cell>
        </row>
        <row r="268">
          <cell r="A268" t="str">
            <v>Spray (Direct/Layby)16R-20</v>
          </cell>
          <cell r="B268" t="str">
            <v>Spray (Direct/Layby)</v>
          </cell>
          <cell r="C268" t="str">
            <v>16R-20</v>
          </cell>
          <cell r="D268">
            <v>26.7</v>
          </cell>
          <cell r="E268">
            <v>7.5</v>
          </cell>
          <cell r="F268">
            <v>0.65</v>
          </cell>
          <cell r="G268">
            <v>6.3382310573321804E-2</v>
          </cell>
          <cell r="H268">
            <v>8768</v>
          </cell>
          <cell r="I268">
            <v>40</v>
          </cell>
          <cell r="J268">
            <v>75</v>
          </cell>
          <cell r="K268">
            <v>8</v>
          </cell>
          <cell r="L268">
            <v>200</v>
          </cell>
          <cell r="M268">
            <v>0</v>
          </cell>
          <cell r="N268">
            <v>1600</v>
          </cell>
          <cell r="O268">
            <v>1</v>
          </cell>
          <cell r="P268">
            <v>0.27</v>
          </cell>
          <cell r="Q268">
            <v>1.4</v>
          </cell>
          <cell r="R268">
            <v>248.71747452133215</v>
          </cell>
          <cell r="S268">
            <v>1.2435873726066609</v>
          </cell>
          <cell r="T268">
            <v>822</v>
          </cell>
          <cell r="U268">
            <v>4.1100000000000003</v>
          </cell>
          <cell r="V268">
            <v>3507.2</v>
          </cell>
          <cell r="W268">
            <v>657.6</v>
          </cell>
          <cell r="X268">
            <v>6137.6</v>
          </cell>
          <cell r="Y268">
            <v>491.00800000000004</v>
          </cell>
          <cell r="Z268">
            <v>147.30240000000001</v>
          </cell>
          <cell r="AA268">
            <v>1295.9104000000002</v>
          </cell>
          <cell r="AB268">
            <v>6.4795520000000009</v>
          </cell>
        </row>
        <row r="269">
          <cell r="A269" t="str">
            <v>Spray (Direct/Layby)8R-30</v>
          </cell>
          <cell r="B269" t="str">
            <v>Spray (Direct/Layby)</v>
          </cell>
          <cell r="C269" t="str">
            <v>8R-30</v>
          </cell>
          <cell r="D269">
            <v>20</v>
          </cell>
          <cell r="E269">
            <v>7.5</v>
          </cell>
          <cell r="F269">
            <v>0.65</v>
          </cell>
          <cell r="G269">
            <v>8.461538461538462E-2</v>
          </cell>
          <cell r="H269">
            <v>7340</v>
          </cell>
          <cell r="I269">
            <v>40</v>
          </cell>
          <cell r="J269">
            <v>75</v>
          </cell>
          <cell r="K269">
            <v>8</v>
          </cell>
          <cell r="L269">
            <v>200</v>
          </cell>
          <cell r="M269">
            <v>0</v>
          </cell>
          <cell r="N269">
            <v>1600</v>
          </cell>
          <cell r="O269">
            <v>1</v>
          </cell>
          <cell r="P269">
            <v>0.27</v>
          </cell>
          <cell r="Q269">
            <v>1.4</v>
          </cell>
          <cell r="R269">
            <v>208.21011211069549</v>
          </cell>
          <cell r="S269">
            <v>1.0410505605534774</v>
          </cell>
          <cell r="T269">
            <v>688.125</v>
          </cell>
          <cell r="U269">
            <v>3.4406249999999998</v>
          </cell>
          <cell r="V269">
            <v>2936</v>
          </cell>
          <cell r="W269">
            <v>550.5</v>
          </cell>
          <cell r="X269">
            <v>5138</v>
          </cell>
          <cell r="Y269">
            <v>411.04</v>
          </cell>
          <cell r="Z269">
            <v>123.312</v>
          </cell>
          <cell r="AA269">
            <v>1084.8519999999999</v>
          </cell>
          <cell r="AB269">
            <v>5.4242599999999994</v>
          </cell>
        </row>
        <row r="270">
          <cell r="A270" t="str">
            <v>Spray (Direct/Layby)8R-36</v>
          </cell>
          <cell r="B270" t="str">
            <v>Spray (Direct/Layby)</v>
          </cell>
          <cell r="C270" t="str">
            <v>8R-36</v>
          </cell>
          <cell r="D270">
            <v>24</v>
          </cell>
          <cell r="E270">
            <v>7.5</v>
          </cell>
          <cell r="F270">
            <v>0.65</v>
          </cell>
          <cell r="G270">
            <v>7.0512820512820512E-2</v>
          </cell>
          <cell r="H270">
            <v>7988</v>
          </cell>
          <cell r="I270">
            <v>40</v>
          </cell>
          <cell r="J270">
            <v>75</v>
          </cell>
          <cell r="K270">
            <v>8</v>
          </cell>
          <cell r="L270">
            <v>200</v>
          </cell>
          <cell r="M270">
            <v>0</v>
          </cell>
          <cell r="N270">
            <v>1600</v>
          </cell>
          <cell r="O270">
            <v>1</v>
          </cell>
          <cell r="P270">
            <v>0.27</v>
          </cell>
          <cell r="Q270">
            <v>1.4</v>
          </cell>
          <cell r="R270">
            <v>226.59160429703482</v>
          </cell>
          <cell r="S270">
            <v>1.132958021485174</v>
          </cell>
          <cell r="T270">
            <v>748.875</v>
          </cell>
          <cell r="U270">
            <v>3.7443749999999998</v>
          </cell>
          <cell r="V270">
            <v>3195.2</v>
          </cell>
          <cell r="W270">
            <v>599.1</v>
          </cell>
          <cell r="X270">
            <v>5591.6</v>
          </cell>
          <cell r="Y270">
            <v>447.32800000000003</v>
          </cell>
          <cell r="Z270">
            <v>134.19840000000002</v>
          </cell>
          <cell r="AA270">
            <v>1180.6264000000001</v>
          </cell>
          <cell r="AB270">
            <v>5.9031320000000003</v>
          </cell>
        </row>
        <row r="271">
          <cell r="A271" t="str">
            <v>Spray (Direct/Layby)8R-40 2x1</v>
          </cell>
          <cell r="B271" t="str">
            <v>Spray (Direct/Layby)</v>
          </cell>
          <cell r="C271" t="str">
            <v>8R-40 2x1</v>
          </cell>
          <cell r="D271">
            <v>40</v>
          </cell>
          <cell r="E271">
            <v>7.5</v>
          </cell>
          <cell r="F271">
            <v>0.65</v>
          </cell>
          <cell r="G271">
            <v>4.230769230769231E-2</v>
          </cell>
          <cell r="H271">
            <v>13882</v>
          </cell>
          <cell r="I271">
            <v>40</v>
          </cell>
          <cell r="J271">
            <v>75</v>
          </cell>
          <cell r="K271">
            <v>8</v>
          </cell>
          <cell r="L271">
            <v>200</v>
          </cell>
          <cell r="M271">
            <v>0</v>
          </cell>
          <cell r="N271">
            <v>1600</v>
          </cell>
          <cell r="O271">
            <v>1</v>
          </cell>
          <cell r="P271">
            <v>0.27</v>
          </cell>
          <cell r="Q271">
            <v>1.4</v>
          </cell>
          <cell r="R271">
            <v>393.78375699191753</v>
          </cell>
          <cell r="S271">
            <v>1.9689187849595877</v>
          </cell>
          <cell r="T271">
            <v>1301.4375</v>
          </cell>
          <cell r="U271">
            <v>6.5071874999999997</v>
          </cell>
          <cell r="V271">
            <v>5552.8</v>
          </cell>
          <cell r="W271">
            <v>1041.1500000000001</v>
          </cell>
          <cell r="X271">
            <v>9717.4</v>
          </cell>
          <cell r="Y271">
            <v>777.39199999999994</v>
          </cell>
          <cell r="Z271">
            <v>233.2176</v>
          </cell>
          <cell r="AA271">
            <v>2051.7596000000003</v>
          </cell>
          <cell r="AB271">
            <v>10.258798000000002</v>
          </cell>
        </row>
        <row r="272">
          <cell r="A272" t="str">
            <v>Spray (Spot)27'</v>
          </cell>
          <cell r="B272" t="str">
            <v>Spray (Spot)</v>
          </cell>
          <cell r="C272" t="str">
            <v>27'</v>
          </cell>
          <cell r="D272">
            <v>27</v>
          </cell>
          <cell r="E272">
            <v>7.5</v>
          </cell>
          <cell r="F272">
            <v>0.65</v>
          </cell>
          <cell r="G272">
            <v>6.2678062678062682E-2</v>
          </cell>
          <cell r="H272">
            <v>5369</v>
          </cell>
          <cell r="I272">
            <v>40</v>
          </cell>
          <cell r="J272">
            <v>75</v>
          </cell>
          <cell r="K272">
            <v>8</v>
          </cell>
          <cell r="L272">
            <v>200</v>
          </cell>
          <cell r="M272">
            <v>0</v>
          </cell>
          <cell r="N272">
            <v>1600</v>
          </cell>
          <cell r="O272">
            <v>1</v>
          </cell>
          <cell r="P272">
            <v>0.27</v>
          </cell>
          <cell r="Q272">
            <v>1.4</v>
          </cell>
          <cell r="R272">
            <v>152.29974004391335</v>
          </cell>
          <cell r="S272">
            <v>0.76149870021956678</v>
          </cell>
          <cell r="T272">
            <v>503.34375</v>
          </cell>
          <cell r="U272">
            <v>2.5167187499999999</v>
          </cell>
          <cell r="V272">
            <v>2147.6</v>
          </cell>
          <cell r="W272">
            <v>402.67500000000001</v>
          </cell>
          <cell r="X272">
            <v>3758.3</v>
          </cell>
          <cell r="Y272">
            <v>300.66400000000004</v>
          </cell>
          <cell r="Z272">
            <v>90.199200000000005</v>
          </cell>
          <cell r="AA272">
            <v>793.53820000000007</v>
          </cell>
          <cell r="AB272">
            <v>3.9676910000000003</v>
          </cell>
        </row>
        <row r="273">
          <cell r="A273" t="str">
            <v>Spray (Spot)40'</v>
          </cell>
          <cell r="B273" t="str">
            <v>Spray (Spot)</v>
          </cell>
          <cell r="C273" t="str">
            <v>40'</v>
          </cell>
          <cell r="D273">
            <v>40</v>
          </cell>
          <cell r="E273">
            <v>7.5</v>
          </cell>
          <cell r="F273">
            <v>0.65</v>
          </cell>
          <cell r="G273">
            <v>4.230769230769231E-2</v>
          </cell>
          <cell r="H273">
            <v>5572</v>
          </cell>
          <cell r="I273">
            <v>40</v>
          </cell>
          <cell r="J273">
            <v>75</v>
          </cell>
          <cell r="K273">
            <v>8</v>
          </cell>
          <cell r="L273">
            <v>200</v>
          </cell>
          <cell r="M273">
            <v>0</v>
          </cell>
          <cell r="N273">
            <v>1600</v>
          </cell>
          <cell r="O273">
            <v>1</v>
          </cell>
          <cell r="P273">
            <v>0.27</v>
          </cell>
          <cell r="Q273">
            <v>1.4</v>
          </cell>
          <cell r="R273">
            <v>158.05813960228818</v>
          </cell>
          <cell r="S273">
            <v>0.79029069801144092</v>
          </cell>
          <cell r="T273">
            <v>522.375</v>
          </cell>
          <cell r="U273">
            <v>2.6118749999999999</v>
          </cell>
          <cell r="V273">
            <v>2228.8000000000002</v>
          </cell>
          <cell r="W273">
            <v>417.9</v>
          </cell>
          <cell r="X273">
            <v>3900.4</v>
          </cell>
          <cell r="Y273">
            <v>312.03200000000004</v>
          </cell>
          <cell r="Z273">
            <v>93.6096</v>
          </cell>
          <cell r="AA273">
            <v>823.54160000000002</v>
          </cell>
          <cell r="AB273">
            <v>4.1177080000000004</v>
          </cell>
        </row>
        <row r="274">
          <cell r="A274" t="str">
            <v>Spray (Spot)50'</v>
          </cell>
          <cell r="B274" t="str">
            <v>Spray (Spot)</v>
          </cell>
          <cell r="C274" t="str">
            <v>50'</v>
          </cell>
          <cell r="D274">
            <v>50</v>
          </cell>
          <cell r="E274">
            <v>7.5</v>
          </cell>
          <cell r="F274">
            <v>0.65</v>
          </cell>
          <cell r="G274">
            <v>3.3846153846153845E-2</v>
          </cell>
          <cell r="H274">
            <v>5461</v>
          </cell>
          <cell r="I274">
            <v>40</v>
          </cell>
          <cell r="J274">
            <v>75</v>
          </cell>
          <cell r="K274">
            <v>8</v>
          </cell>
          <cell r="L274">
            <v>200</v>
          </cell>
          <cell r="M274">
            <v>0</v>
          </cell>
          <cell r="N274">
            <v>1600</v>
          </cell>
          <cell r="O274">
            <v>1</v>
          </cell>
          <cell r="P274">
            <v>0.27</v>
          </cell>
          <cell r="Q274">
            <v>1.4</v>
          </cell>
          <cell r="R274">
            <v>154.90945807036894</v>
          </cell>
          <cell r="S274">
            <v>0.77454729035184466</v>
          </cell>
          <cell r="T274">
            <v>511.96875</v>
          </cell>
          <cell r="U274">
            <v>2.5598437500000002</v>
          </cell>
          <cell r="V274">
            <v>2184.4</v>
          </cell>
          <cell r="W274">
            <v>409.57499999999999</v>
          </cell>
          <cell r="X274">
            <v>3822.7</v>
          </cell>
          <cell r="Y274">
            <v>305.81599999999997</v>
          </cell>
          <cell r="Z274">
            <v>91.744799999999998</v>
          </cell>
          <cell r="AA274">
            <v>807.13580000000002</v>
          </cell>
          <cell r="AB274">
            <v>4.035679</v>
          </cell>
        </row>
        <row r="275">
          <cell r="A275" t="str">
            <v>Spray (Spot)53'</v>
          </cell>
          <cell r="B275" t="str">
            <v>Spray (Spot)</v>
          </cell>
          <cell r="C275" t="str">
            <v>53'</v>
          </cell>
          <cell r="D275">
            <v>53</v>
          </cell>
          <cell r="E275">
            <v>7.5</v>
          </cell>
          <cell r="F275">
            <v>0.65</v>
          </cell>
          <cell r="G275">
            <v>3.1930333817126275E-2</v>
          </cell>
          <cell r="H275">
            <v>6434</v>
          </cell>
          <cell r="I275">
            <v>40</v>
          </cell>
          <cell r="J275">
            <v>75</v>
          </cell>
          <cell r="K275">
            <v>8</v>
          </cell>
          <cell r="L275">
            <v>200</v>
          </cell>
          <cell r="M275">
            <v>0</v>
          </cell>
          <cell r="N275">
            <v>1600</v>
          </cell>
          <cell r="O275">
            <v>1</v>
          </cell>
          <cell r="P275">
            <v>0.27</v>
          </cell>
          <cell r="Q275">
            <v>1.4</v>
          </cell>
          <cell r="R275">
            <v>182.5100628501655</v>
          </cell>
          <cell r="S275">
            <v>0.91255031425082744</v>
          </cell>
          <cell r="T275">
            <v>603.1875</v>
          </cell>
          <cell r="U275">
            <v>3.0159375000000002</v>
          </cell>
          <cell r="V275">
            <v>2573.6</v>
          </cell>
          <cell r="W275">
            <v>482.55</v>
          </cell>
          <cell r="X275">
            <v>4503.8</v>
          </cell>
          <cell r="Y275">
            <v>360.30400000000003</v>
          </cell>
          <cell r="Z275">
            <v>108.0912</v>
          </cell>
          <cell r="AA275">
            <v>950.94520000000011</v>
          </cell>
          <cell r="AB275">
            <v>4.7547260000000007</v>
          </cell>
        </row>
        <row r="276">
          <cell r="A276" t="str">
            <v>Spray (Spot)60'</v>
          </cell>
          <cell r="B276" t="str">
            <v>Spray (Spot)</v>
          </cell>
          <cell r="C276" t="str">
            <v>60'</v>
          </cell>
          <cell r="D276">
            <v>60</v>
          </cell>
          <cell r="E276">
            <v>7.5</v>
          </cell>
          <cell r="F276">
            <v>0.65</v>
          </cell>
          <cell r="G276">
            <v>2.8205128205128206E-2</v>
          </cell>
          <cell r="H276">
            <v>7479</v>
          </cell>
          <cell r="I276">
            <v>40</v>
          </cell>
          <cell r="J276">
            <v>75</v>
          </cell>
          <cell r="K276">
            <v>8</v>
          </cell>
          <cell r="L276">
            <v>200</v>
          </cell>
          <cell r="M276">
            <v>0</v>
          </cell>
          <cell r="N276">
            <v>1600</v>
          </cell>
          <cell r="O276">
            <v>1</v>
          </cell>
          <cell r="P276">
            <v>0.27</v>
          </cell>
          <cell r="Q276">
            <v>1.4</v>
          </cell>
          <cell r="R276">
            <v>212.1530556506664</v>
          </cell>
          <cell r="S276">
            <v>1.0607652782533321</v>
          </cell>
          <cell r="T276">
            <v>701.15625</v>
          </cell>
          <cell r="U276">
            <v>3.5057812500000001</v>
          </cell>
          <cell r="V276">
            <v>2991.6</v>
          </cell>
          <cell r="W276">
            <v>560.92499999999995</v>
          </cell>
          <cell r="X276">
            <v>5235.3</v>
          </cell>
          <cell r="Y276">
            <v>418.82400000000001</v>
          </cell>
          <cell r="Z276">
            <v>125.64720000000001</v>
          </cell>
          <cell r="AA276">
            <v>1105.3962000000001</v>
          </cell>
          <cell r="AB276">
            <v>5.526981000000001</v>
          </cell>
        </row>
        <row r="277">
          <cell r="A277" t="str">
            <v>Stalk Shredder14'</v>
          </cell>
          <cell r="B277" t="str">
            <v>Stalk Shredder</v>
          </cell>
          <cell r="C277" t="str">
            <v>14'</v>
          </cell>
          <cell r="D277">
            <v>14</v>
          </cell>
          <cell r="E277">
            <v>6.25</v>
          </cell>
          <cell r="F277">
            <v>0.8</v>
          </cell>
          <cell r="G277">
            <v>0.11785714285714287</v>
          </cell>
          <cell r="H277">
            <v>10277</v>
          </cell>
          <cell r="I277">
            <v>30</v>
          </cell>
          <cell r="J277">
            <v>175</v>
          </cell>
          <cell r="K277">
            <v>10</v>
          </cell>
          <cell r="L277">
            <v>200</v>
          </cell>
          <cell r="M277">
            <v>0</v>
          </cell>
          <cell r="N277">
            <v>2000</v>
          </cell>
          <cell r="O277">
            <v>1</v>
          </cell>
          <cell r="P277">
            <v>0.27</v>
          </cell>
          <cell r="Q277">
            <v>1.4</v>
          </cell>
          <cell r="R277">
            <v>291.52252345526119</v>
          </cell>
          <cell r="S277">
            <v>1.457612617276306</v>
          </cell>
          <cell r="T277">
            <v>1798.4749999999999</v>
          </cell>
          <cell r="U277">
            <v>8.9923749999999991</v>
          </cell>
          <cell r="V277">
            <v>3083.1</v>
          </cell>
          <cell r="W277">
            <v>719.39</v>
          </cell>
          <cell r="X277">
            <v>6680.05</v>
          </cell>
          <cell r="Y277">
            <v>534.404</v>
          </cell>
          <cell r="Z277">
            <v>160.3212</v>
          </cell>
          <cell r="AA277">
            <v>1414.1152</v>
          </cell>
          <cell r="AB277">
            <v>7.070576</v>
          </cell>
        </row>
        <row r="278">
          <cell r="A278" t="str">
            <v>Stalk Shredder20'</v>
          </cell>
          <cell r="B278" t="str">
            <v>Stalk Shredder</v>
          </cell>
          <cell r="C278" t="str">
            <v>20'</v>
          </cell>
          <cell r="D278">
            <v>20</v>
          </cell>
          <cell r="E278">
            <v>6.25</v>
          </cell>
          <cell r="F278">
            <v>0.8</v>
          </cell>
          <cell r="G278">
            <v>8.2500000000000004E-2</v>
          </cell>
          <cell r="H278">
            <v>22023</v>
          </cell>
          <cell r="I278">
            <v>30</v>
          </cell>
          <cell r="J278">
            <v>175</v>
          </cell>
          <cell r="K278">
            <v>10</v>
          </cell>
          <cell r="L278">
            <v>200</v>
          </cell>
          <cell r="M278">
            <v>0</v>
          </cell>
          <cell r="N278">
            <v>2000</v>
          </cell>
          <cell r="O278">
            <v>1</v>
          </cell>
          <cell r="P278">
            <v>0.27</v>
          </cell>
          <cell r="Q278">
            <v>1.4</v>
          </cell>
          <cell r="R278">
            <v>624.71543583294908</v>
          </cell>
          <cell r="S278">
            <v>3.1235771791647453</v>
          </cell>
          <cell r="T278">
            <v>3854.0250000000001</v>
          </cell>
          <cell r="U278">
            <v>19.270125</v>
          </cell>
          <cell r="V278">
            <v>6606.9</v>
          </cell>
          <cell r="W278">
            <v>1541.6100000000001</v>
          </cell>
          <cell r="X278">
            <v>14314.95</v>
          </cell>
          <cell r="Y278">
            <v>1145.1960000000001</v>
          </cell>
          <cell r="Z278">
            <v>343.55880000000002</v>
          </cell>
          <cell r="AA278">
            <v>3030.3648000000003</v>
          </cell>
          <cell r="AB278">
            <v>15.151824000000001</v>
          </cell>
        </row>
        <row r="279">
          <cell r="A279" t="str">
            <v>Stalk Shredder-Flail12'</v>
          </cell>
          <cell r="B279" t="str">
            <v>Stalk Shredder-Flail</v>
          </cell>
          <cell r="C279" t="str">
            <v>12'</v>
          </cell>
          <cell r="D279">
            <v>12</v>
          </cell>
          <cell r="E279">
            <v>6.25</v>
          </cell>
          <cell r="F279">
            <v>0.8</v>
          </cell>
          <cell r="G279">
            <v>0.13750000000000001</v>
          </cell>
          <cell r="H279">
            <v>11507</v>
          </cell>
          <cell r="I279">
            <v>30</v>
          </cell>
          <cell r="J279">
            <v>175</v>
          </cell>
          <cell r="K279">
            <v>10</v>
          </cell>
          <cell r="L279">
            <v>200</v>
          </cell>
          <cell r="M279">
            <v>0</v>
          </cell>
          <cell r="N279">
            <v>2000</v>
          </cell>
          <cell r="O279">
            <v>1</v>
          </cell>
          <cell r="P279">
            <v>0.27</v>
          </cell>
          <cell r="Q279">
            <v>1.4</v>
          </cell>
          <cell r="R279">
            <v>326.41331880896087</v>
          </cell>
          <cell r="S279">
            <v>1.6320665940448043</v>
          </cell>
          <cell r="T279">
            <v>2013.7249999999999</v>
          </cell>
          <cell r="U279">
            <v>10.068624999999999</v>
          </cell>
          <cell r="V279">
            <v>3452.1</v>
          </cell>
          <cell r="W279">
            <v>805.49</v>
          </cell>
          <cell r="X279">
            <v>7479.55</v>
          </cell>
          <cell r="Y279">
            <v>598.36400000000003</v>
          </cell>
          <cell r="Z279">
            <v>179.50920000000002</v>
          </cell>
          <cell r="AA279">
            <v>1583.3632</v>
          </cell>
          <cell r="AB279">
            <v>7.9168159999999999</v>
          </cell>
        </row>
        <row r="280">
          <cell r="A280" t="str">
            <v>Stalk Shredder-Flail20'</v>
          </cell>
          <cell r="B280" t="str">
            <v>Stalk Shredder-Flail</v>
          </cell>
          <cell r="C280" t="str">
            <v>20'</v>
          </cell>
          <cell r="D280">
            <v>20</v>
          </cell>
          <cell r="E280">
            <v>6.25</v>
          </cell>
          <cell r="F280">
            <v>0.8</v>
          </cell>
          <cell r="G280">
            <v>8.2500000000000004E-2</v>
          </cell>
          <cell r="H280">
            <v>17931</v>
          </cell>
          <cell r="I280">
            <v>30</v>
          </cell>
          <cell r="J280">
            <v>175</v>
          </cell>
          <cell r="K280">
            <v>10</v>
          </cell>
          <cell r="L280">
            <v>200</v>
          </cell>
          <cell r="M280">
            <v>0</v>
          </cell>
          <cell r="N280">
            <v>2000</v>
          </cell>
          <cell r="O280">
            <v>1</v>
          </cell>
          <cell r="P280">
            <v>0.27</v>
          </cell>
          <cell r="Q280">
            <v>1.4</v>
          </cell>
          <cell r="R280">
            <v>508.6397166562507</v>
          </cell>
          <cell r="S280">
            <v>2.5431985832812534</v>
          </cell>
          <cell r="T280">
            <v>3137.9250000000002</v>
          </cell>
          <cell r="U280">
            <v>15.689625000000001</v>
          </cell>
          <cell r="V280">
            <v>5379.3</v>
          </cell>
          <cell r="W280">
            <v>1255.17</v>
          </cell>
          <cell r="X280">
            <v>11655.15</v>
          </cell>
          <cell r="Y280">
            <v>932.41200000000003</v>
          </cell>
          <cell r="Z280">
            <v>279.72359999999998</v>
          </cell>
          <cell r="AA280">
            <v>2467.3056000000001</v>
          </cell>
          <cell r="AB280">
            <v>12.336528000000001</v>
          </cell>
        </row>
        <row r="281">
          <cell r="A281" t="str">
            <v>Subsoiler low-till4 shank</v>
          </cell>
          <cell r="B281" t="str">
            <v>Subsoiler low-till</v>
          </cell>
          <cell r="C281" t="str">
            <v>4 shank</v>
          </cell>
          <cell r="D281">
            <v>12</v>
          </cell>
          <cell r="E281">
            <v>4.75</v>
          </cell>
          <cell r="F281">
            <v>0.85</v>
          </cell>
          <cell r="G281">
            <v>0.17027863777089783</v>
          </cell>
          <cell r="H281">
            <v>8415</v>
          </cell>
          <cell r="I281">
            <v>30</v>
          </cell>
          <cell r="J281">
            <v>50</v>
          </cell>
          <cell r="K281">
            <v>15</v>
          </cell>
          <cell r="L281">
            <v>100</v>
          </cell>
          <cell r="M281">
            <v>0</v>
          </cell>
          <cell r="N281">
            <v>1500</v>
          </cell>
          <cell r="O281">
            <v>1</v>
          </cell>
          <cell r="P281">
            <v>0.27</v>
          </cell>
          <cell r="Q281">
            <v>1.4</v>
          </cell>
          <cell r="R281">
            <v>90.4519396856074</v>
          </cell>
          <cell r="S281">
            <v>0.90451939685607397</v>
          </cell>
          <cell r="T281">
            <v>280.5</v>
          </cell>
          <cell r="U281">
            <v>2.8050000000000002</v>
          </cell>
          <cell r="V281">
            <v>2524.5</v>
          </cell>
          <cell r="W281">
            <v>392.7</v>
          </cell>
          <cell r="X281">
            <v>5469.75</v>
          </cell>
          <cell r="Y281">
            <v>437.58</v>
          </cell>
          <cell r="Z281">
            <v>131.274</v>
          </cell>
          <cell r="AA281">
            <v>961.55400000000009</v>
          </cell>
          <cell r="AB281">
            <v>9.6155400000000011</v>
          </cell>
        </row>
        <row r="282">
          <cell r="A282" t="str">
            <v>Subsoiler low-till6 shank</v>
          </cell>
          <cell r="B282" t="str">
            <v>Subsoiler low-till</v>
          </cell>
          <cell r="C282" t="str">
            <v>6 shank</v>
          </cell>
          <cell r="D282">
            <v>18</v>
          </cell>
          <cell r="E282">
            <v>4.75</v>
          </cell>
          <cell r="F282">
            <v>0.85</v>
          </cell>
          <cell r="G282">
            <v>0.11351909184726523</v>
          </cell>
          <cell r="H282">
            <v>11624</v>
          </cell>
          <cell r="I282">
            <v>30</v>
          </cell>
          <cell r="J282">
            <v>50</v>
          </cell>
          <cell r="K282">
            <v>15</v>
          </cell>
          <cell r="L282">
            <v>100</v>
          </cell>
          <cell r="M282">
            <v>0</v>
          </cell>
          <cell r="N282">
            <v>1500</v>
          </cell>
          <cell r="O282">
            <v>1</v>
          </cell>
          <cell r="P282">
            <v>0.27</v>
          </cell>
          <cell r="Q282">
            <v>1.4</v>
          </cell>
          <cell r="R282">
            <v>124.94513926387408</v>
          </cell>
          <cell r="S282">
            <v>1.2494513926387407</v>
          </cell>
          <cell r="T282">
            <v>387.46666666666664</v>
          </cell>
          <cell r="U282">
            <v>3.8746666666666663</v>
          </cell>
          <cell r="V282">
            <v>3487.2</v>
          </cell>
          <cell r="W282">
            <v>542.45333333333338</v>
          </cell>
          <cell r="X282">
            <v>7555.6</v>
          </cell>
          <cell r="Y282">
            <v>604.44800000000009</v>
          </cell>
          <cell r="Z282">
            <v>181.33440000000002</v>
          </cell>
          <cell r="AA282">
            <v>1328.2357333333334</v>
          </cell>
          <cell r="AB282">
            <v>13.282357333333334</v>
          </cell>
        </row>
        <row r="283">
          <cell r="A283" t="str">
            <v>Subsoiler low-till8 shank</v>
          </cell>
          <cell r="B283" t="str">
            <v>Subsoiler low-till</v>
          </cell>
          <cell r="C283" t="str">
            <v>8 shank</v>
          </cell>
          <cell r="D283">
            <v>24</v>
          </cell>
          <cell r="E283">
            <v>4.75</v>
          </cell>
          <cell r="F283">
            <v>0.85</v>
          </cell>
          <cell r="G283">
            <v>8.5139318885448914E-2</v>
          </cell>
          <cell r="H283">
            <v>16226</v>
          </cell>
          <cell r="I283">
            <v>30</v>
          </cell>
          <cell r="J283">
            <v>50</v>
          </cell>
          <cell r="K283">
            <v>15</v>
          </cell>
          <cell r="L283">
            <v>100</v>
          </cell>
          <cell r="M283">
            <v>0</v>
          </cell>
          <cell r="N283">
            <v>1500</v>
          </cell>
          <cell r="O283">
            <v>1</v>
          </cell>
          <cell r="P283">
            <v>0.27</v>
          </cell>
          <cell r="Q283">
            <v>1.4</v>
          </cell>
          <cell r="R283">
            <v>174.41154763382838</v>
          </cell>
          <cell r="S283">
            <v>1.7441154763382838</v>
          </cell>
          <cell r="T283">
            <v>540.86666666666667</v>
          </cell>
          <cell r="U283">
            <v>5.408666666666667</v>
          </cell>
          <cell r="V283">
            <v>4867.8</v>
          </cell>
          <cell r="W283">
            <v>757.21333333333337</v>
          </cell>
          <cell r="X283">
            <v>10546.9</v>
          </cell>
          <cell r="Y283">
            <v>843.75199999999995</v>
          </cell>
          <cell r="Z283">
            <v>253.12559999999999</v>
          </cell>
          <cell r="AA283">
            <v>1854.0909333333334</v>
          </cell>
          <cell r="AB283">
            <v>18.540909333333335</v>
          </cell>
        </row>
        <row r="284">
          <cell r="A284" t="str">
            <v>Subsoiler3 shank</v>
          </cell>
          <cell r="B284" t="str">
            <v>Subsoiler</v>
          </cell>
          <cell r="C284" t="str">
            <v>3 shank</v>
          </cell>
          <cell r="D284">
            <v>9</v>
          </cell>
          <cell r="E284">
            <v>4.75</v>
          </cell>
          <cell r="F284">
            <v>0.85</v>
          </cell>
          <cell r="G284">
            <v>0.22703818369453047</v>
          </cell>
          <cell r="H284">
            <v>3966</v>
          </cell>
          <cell r="I284">
            <v>30</v>
          </cell>
          <cell r="J284">
            <v>50</v>
          </cell>
          <cell r="K284">
            <v>15</v>
          </cell>
          <cell r="L284">
            <v>100</v>
          </cell>
          <cell r="M284">
            <v>0</v>
          </cell>
          <cell r="N284">
            <v>1500</v>
          </cell>
          <cell r="O284">
            <v>1</v>
          </cell>
          <cell r="P284">
            <v>0.27</v>
          </cell>
          <cell r="Q284">
            <v>1.4</v>
          </cell>
          <cell r="R284">
            <v>42.630112037209621</v>
          </cell>
          <cell r="S284">
            <v>0.42630112037209622</v>
          </cell>
          <cell r="T284">
            <v>132.19999999999999</v>
          </cell>
          <cell r="U284">
            <v>1.3219999999999998</v>
          </cell>
          <cell r="V284">
            <v>1189.8</v>
          </cell>
          <cell r="W284">
            <v>185.07999999999998</v>
          </cell>
          <cell r="X284">
            <v>2577.9</v>
          </cell>
          <cell r="Y284">
            <v>206.232</v>
          </cell>
          <cell r="Z284">
            <v>61.869600000000005</v>
          </cell>
          <cell r="AA284">
            <v>453.1816</v>
          </cell>
          <cell r="AB284">
            <v>4.5318160000000001</v>
          </cell>
        </row>
        <row r="285">
          <cell r="A285" t="str">
            <v>Subsoiler4 shank</v>
          </cell>
          <cell r="B285" t="str">
            <v>Subsoiler</v>
          </cell>
          <cell r="C285" t="str">
            <v>4 shank</v>
          </cell>
          <cell r="D285">
            <v>12</v>
          </cell>
          <cell r="E285">
            <v>4.75</v>
          </cell>
          <cell r="F285">
            <v>0.85</v>
          </cell>
          <cell r="G285">
            <v>0.17027863777089783</v>
          </cell>
          <cell r="H285">
            <v>5324</v>
          </cell>
          <cell r="I285">
            <v>30</v>
          </cell>
          <cell r="J285">
            <v>50</v>
          </cell>
          <cell r="K285">
            <v>15</v>
          </cell>
          <cell r="L285">
            <v>100</v>
          </cell>
          <cell r="M285">
            <v>0</v>
          </cell>
          <cell r="N285">
            <v>1500</v>
          </cell>
          <cell r="O285">
            <v>1</v>
          </cell>
          <cell r="P285">
            <v>0.27</v>
          </cell>
          <cell r="Q285">
            <v>1.4</v>
          </cell>
          <cell r="R285">
            <v>57.227109552724158</v>
          </cell>
          <cell r="S285">
            <v>0.57227109552724154</v>
          </cell>
          <cell r="T285">
            <v>177.46666666666667</v>
          </cell>
          <cell r="U285">
            <v>1.7746666666666666</v>
          </cell>
          <cell r="V285">
            <v>1597.2</v>
          </cell>
          <cell r="W285">
            <v>248.45333333333335</v>
          </cell>
          <cell r="X285">
            <v>3460.6</v>
          </cell>
          <cell r="Y285">
            <v>276.84800000000001</v>
          </cell>
          <cell r="Z285">
            <v>83.054400000000001</v>
          </cell>
          <cell r="AA285">
            <v>608.35573333333332</v>
          </cell>
          <cell r="AB285">
            <v>6.0835573333333333</v>
          </cell>
        </row>
        <row r="286">
          <cell r="A286" t="str">
            <v>Subsoiler5 shank</v>
          </cell>
          <cell r="B286" t="str">
            <v>Subsoiler</v>
          </cell>
          <cell r="C286" t="str">
            <v>5 shank</v>
          </cell>
          <cell r="D286">
            <v>15</v>
          </cell>
          <cell r="E286">
            <v>4.75</v>
          </cell>
          <cell r="F286">
            <v>0.85</v>
          </cell>
          <cell r="G286">
            <v>0.13622291021671826</v>
          </cell>
          <cell r="H286">
            <v>6056</v>
          </cell>
          <cell r="I286">
            <v>30</v>
          </cell>
          <cell r="J286">
            <v>50</v>
          </cell>
          <cell r="K286">
            <v>15</v>
          </cell>
          <cell r="L286">
            <v>100</v>
          </cell>
          <cell r="M286">
            <v>0</v>
          </cell>
          <cell r="N286">
            <v>1500</v>
          </cell>
          <cell r="O286">
            <v>1</v>
          </cell>
          <cell r="P286">
            <v>0.27</v>
          </cell>
          <cell r="Q286">
            <v>1.4</v>
          </cell>
          <cell r="R286">
            <v>65.095299671543486</v>
          </cell>
          <cell r="S286">
            <v>0.65095299671543483</v>
          </cell>
          <cell r="T286">
            <v>201.86666666666667</v>
          </cell>
          <cell r="U286">
            <v>2.0186666666666668</v>
          </cell>
          <cell r="V286">
            <v>1816.8</v>
          </cell>
          <cell r="W286">
            <v>282.61333333333334</v>
          </cell>
          <cell r="X286">
            <v>3936.4</v>
          </cell>
          <cell r="Y286">
            <v>314.91200000000003</v>
          </cell>
          <cell r="Z286">
            <v>94.473600000000005</v>
          </cell>
          <cell r="AA286">
            <v>691.99893333333341</v>
          </cell>
          <cell r="AB286">
            <v>6.9199893333333344</v>
          </cell>
        </row>
        <row r="287">
          <cell r="A287" t="str">
            <v>TerraTill Bed w/roll4R30</v>
          </cell>
          <cell r="B287" t="str">
            <v>TerraTill Bed w/roll</v>
          </cell>
          <cell r="C287" t="str">
            <v>4R30</v>
          </cell>
          <cell r="D287">
            <v>10</v>
          </cell>
          <cell r="E287">
            <v>4.75</v>
          </cell>
          <cell r="F287">
            <v>0.85</v>
          </cell>
          <cell r="G287">
            <v>0.20433436532507743</v>
          </cell>
          <cell r="H287">
            <v>11308</v>
          </cell>
          <cell r="I287">
            <v>30</v>
          </cell>
          <cell r="J287">
            <v>65</v>
          </cell>
          <cell r="K287">
            <v>12</v>
          </cell>
          <cell r="L287">
            <v>150</v>
          </cell>
          <cell r="M287">
            <v>0</v>
          </cell>
          <cell r="N287">
            <v>1800</v>
          </cell>
          <cell r="O287">
            <v>1</v>
          </cell>
          <cell r="P287">
            <v>0.27</v>
          </cell>
          <cell r="Q287">
            <v>1.4</v>
          </cell>
          <cell r="R287">
            <v>214.42594199532414</v>
          </cell>
          <cell r="S287">
            <v>1.4295062799688276</v>
          </cell>
          <cell r="T287">
            <v>612.51666666666665</v>
          </cell>
          <cell r="U287">
            <v>4.083444444444444</v>
          </cell>
          <cell r="V287">
            <v>3392.4</v>
          </cell>
          <cell r="W287">
            <v>659.63333333333333</v>
          </cell>
          <cell r="X287">
            <v>7350.2</v>
          </cell>
          <cell r="Y287">
            <v>588.01599999999996</v>
          </cell>
          <cell r="Z287">
            <v>176.40479999999999</v>
          </cell>
          <cell r="AA287">
            <v>1424.0541333333333</v>
          </cell>
          <cell r="AB287">
            <v>9.4936942222222225</v>
          </cell>
        </row>
        <row r="288">
          <cell r="A288" t="str">
            <v>TerraTill Bed w/roll4R-36</v>
          </cell>
          <cell r="B288" t="str">
            <v>TerraTill Bed w/roll</v>
          </cell>
          <cell r="C288" t="str">
            <v>4R-36</v>
          </cell>
          <cell r="D288">
            <v>12</v>
          </cell>
          <cell r="E288">
            <v>4.75</v>
          </cell>
          <cell r="F288">
            <v>0.85</v>
          </cell>
          <cell r="G288">
            <v>0.17027863777089783</v>
          </cell>
          <cell r="H288">
            <v>11308</v>
          </cell>
          <cell r="I288">
            <v>30</v>
          </cell>
          <cell r="J288">
            <v>65</v>
          </cell>
          <cell r="K288">
            <v>12</v>
          </cell>
          <cell r="L288">
            <v>150</v>
          </cell>
          <cell r="M288">
            <v>0</v>
          </cell>
          <cell r="N288">
            <v>1800</v>
          </cell>
          <cell r="O288">
            <v>1</v>
          </cell>
          <cell r="P288">
            <v>0.27</v>
          </cell>
          <cell r="Q288">
            <v>1.4</v>
          </cell>
          <cell r="R288">
            <v>214.42594199532414</v>
          </cell>
          <cell r="S288">
            <v>1.4295062799688276</v>
          </cell>
          <cell r="T288">
            <v>612.51666666666665</v>
          </cell>
          <cell r="U288">
            <v>4.083444444444444</v>
          </cell>
          <cell r="V288">
            <v>3392.4</v>
          </cell>
          <cell r="W288">
            <v>659.63333333333333</v>
          </cell>
          <cell r="X288">
            <v>7350.2</v>
          </cell>
          <cell r="Y288">
            <v>588.01599999999996</v>
          </cell>
          <cell r="Z288">
            <v>176.40479999999999</v>
          </cell>
          <cell r="AA288">
            <v>1424.0541333333333</v>
          </cell>
          <cell r="AB288">
            <v>9.4936942222222225</v>
          </cell>
        </row>
        <row r="289">
          <cell r="A289" t="str">
            <v>TerraTill Bed w/roll6R30</v>
          </cell>
          <cell r="B289" t="str">
            <v>TerraTill Bed w/roll</v>
          </cell>
          <cell r="C289" t="str">
            <v>6R30</v>
          </cell>
          <cell r="D289">
            <v>15</v>
          </cell>
          <cell r="E289">
            <v>4.75</v>
          </cell>
          <cell r="F289">
            <v>0.85</v>
          </cell>
          <cell r="G289">
            <v>0.13622291021671826</v>
          </cell>
          <cell r="H289">
            <v>15310</v>
          </cell>
          <cell r="I289">
            <v>30</v>
          </cell>
          <cell r="J289">
            <v>65</v>
          </cell>
          <cell r="K289">
            <v>12</v>
          </cell>
          <cell r="L289">
            <v>150</v>
          </cell>
          <cell r="M289">
            <v>0</v>
          </cell>
          <cell r="N289">
            <v>1800</v>
          </cell>
          <cell r="O289">
            <v>1</v>
          </cell>
          <cell r="P289">
            <v>0.27</v>
          </cell>
          <cell r="Q289">
            <v>1.4</v>
          </cell>
          <cell r="R289">
            <v>290.31315634492501</v>
          </cell>
          <cell r="S289">
            <v>1.9354210422995</v>
          </cell>
          <cell r="T289">
            <v>829.29166666666663</v>
          </cell>
          <cell r="U289">
            <v>5.5286111111111111</v>
          </cell>
          <cell r="V289">
            <v>4593</v>
          </cell>
          <cell r="W289">
            <v>893.08333333333337</v>
          </cell>
          <cell r="X289">
            <v>9951.5</v>
          </cell>
          <cell r="Y289">
            <v>796.12</v>
          </cell>
          <cell r="Z289">
            <v>238.83600000000001</v>
          </cell>
          <cell r="AA289">
            <v>1928.0393333333336</v>
          </cell>
          <cell r="AB289">
            <v>12.853595555555557</v>
          </cell>
        </row>
        <row r="290">
          <cell r="A290" t="str">
            <v>TerraTill Bed w/roll6R-36</v>
          </cell>
          <cell r="B290" t="str">
            <v>TerraTill Bed w/roll</v>
          </cell>
          <cell r="C290" t="str">
            <v>6R-36</v>
          </cell>
          <cell r="D290">
            <v>18</v>
          </cell>
          <cell r="E290">
            <v>4.75</v>
          </cell>
          <cell r="F290">
            <v>0.85</v>
          </cell>
          <cell r="G290">
            <v>0.11351909184726523</v>
          </cell>
          <cell r="H290">
            <v>15310</v>
          </cell>
          <cell r="I290">
            <v>30</v>
          </cell>
          <cell r="J290">
            <v>65</v>
          </cell>
          <cell r="K290">
            <v>12</v>
          </cell>
          <cell r="L290">
            <v>150</v>
          </cell>
          <cell r="M290">
            <v>0</v>
          </cell>
          <cell r="N290">
            <v>1800</v>
          </cell>
          <cell r="O290">
            <v>1</v>
          </cell>
          <cell r="P290">
            <v>0.27</v>
          </cell>
          <cell r="Q290">
            <v>1.4</v>
          </cell>
          <cell r="R290">
            <v>290.31315634492501</v>
          </cell>
          <cell r="S290">
            <v>1.9354210422995</v>
          </cell>
          <cell r="T290">
            <v>829.29166666666663</v>
          </cell>
          <cell r="U290">
            <v>5.5286111111111111</v>
          </cell>
          <cell r="V290">
            <v>4593</v>
          </cell>
          <cell r="W290">
            <v>893.08333333333337</v>
          </cell>
          <cell r="X290">
            <v>9951.5</v>
          </cell>
          <cell r="Y290">
            <v>796.12</v>
          </cell>
          <cell r="Z290">
            <v>238.83600000000001</v>
          </cell>
          <cell r="AA290">
            <v>1928.0393333333336</v>
          </cell>
          <cell r="AB290">
            <v>12.853595555555557</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7">
          <cell r="A307" t="str">
            <v>Boll Buggy 2R 40"</v>
          </cell>
          <cell r="B307" t="str">
            <v>Boll Buggy</v>
          </cell>
          <cell r="C307" t="str">
            <v>2R 40"</v>
          </cell>
          <cell r="D307">
            <v>6.666666666666667</v>
          </cell>
          <cell r="E307">
            <v>3.6</v>
          </cell>
          <cell r="F307">
            <v>0.7</v>
          </cell>
          <cell r="G307">
            <v>2.0363636363636362E-2</v>
          </cell>
          <cell r="H307">
            <v>25614</v>
          </cell>
          <cell r="I307">
            <v>35</v>
          </cell>
          <cell r="J307">
            <v>50</v>
          </cell>
          <cell r="K307">
            <v>10</v>
          </cell>
          <cell r="L307">
            <v>200</v>
          </cell>
          <cell r="N307">
            <v>2000</v>
          </cell>
          <cell r="O307">
            <v>1</v>
          </cell>
          <cell r="P307">
            <v>0.32</v>
          </cell>
          <cell r="Q307">
            <v>2.1</v>
          </cell>
          <cell r="R307">
            <v>279.1196259257265</v>
          </cell>
          <cell r="S307">
            <v>1.3955981296286324</v>
          </cell>
          <cell r="T307">
            <v>1280.7</v>
          </cell>
          <cell r="U307">
            <v>6.4035000000000002</v>
          </cell>
          <cell r="V307">
            <v>8964.9</v>
          </cell>
          <cell r="W307">
            <v>1664.9099999999999</v>
          </cell>
          <cell r="X307">
            <v>17289.45</v>
          </cell>
          <cell r="Y307">
            <v>1383.1560000000002</v>
          </cell>
          <cell r="Z307">
            <v>414.94680000000005</v>
          </cell>
          <cell r="AA307">
            <v>3463.0128</v>
          </cell>
          <cell r="AB307">
            <v>17.315064</v>
          </cell>
        </row>
        <row r="308">
          <cell r="A308" t="str">
            <v>Boll Buggy 4R 30"</v>
          </cell>
          <cell r="B308" t="str">
            <v>Boll Buggy</v>
          </cell>
          <cell r="C308" t="str">
            <v>4R 30"</v>
          </cell>
          <cell r="D308">
            <v>10</v>
          </cell>
          <cell r="E308">
            <v>3.6</v>
          </cell>
          <cell r="F308">
            <v>0.7</v>
          </cell>
          <cell r="G308">
            <v>3.0545454545454546E-2</v>
          </cell>
          <cell r="H308">
            <v>25614</v>
          </cell>
          <cell r="I308">
            <v>35</v>
          </cell>
          <cell r="J308">
            <v>50</v>
          </cell>
          <cell r="K308">
            <v>10</v>
          </cell>
          <cell r="L308">
            <v>200</v>
          </cell>
          <cell r="N308">
            <v>2000</v>
          </cell>
          <cell r="O308">
            <v>1</v>
          </cell>
          <cell r="P308">
            <v>0.32</v>
          </cell>
          <cell r="Q308">
            <v>2.1</v>
          </cell>
          <cell r="R308">
            <v>279.1196259257265</v>
          </cell>
          <cell r="S308">
            <v>1.3955981296286324</v>
          </cell>
          <cell r="T308">
            <v>1280.7</v>
          </cell>
          <cell r="U308">
            <v>6.4035000000000002</v>
          </cell>
          <cell r="V308">
            <v>8964.9</v>
          </cell>
          <cell r="W308">
            <v>1664.9099999999999</v>
          </cell>
          <cell r="X308">
            <v>17289.45</v>
          </cell>
          <cell r="Y308">
            <v>1383.1560000000002</v>
          </cell>
          <cell r="Z308">
            <v>414.94680000000005</v>
          </cell>
          <cell r="AA308">
            <v>3463.0128</v>
          </cell>
          <cell r="AB308">
            <v>17.315064</v>
          </cell>
        </row>
        <row r="309">
          <cell r="A309" t="str">
            <v>Boll Buggy 4R 40"</v>
          </cell>
          <cell r="B309" t="str">
            <v>Boll Buggy</v>
          </cell>
          <cell r="C309" t="str">
            <v>4R 40"</v>
          </cell>
          <cell r="D309">
            <v>13.333333333333334</v>
          </cell>
          <cell r="E309">
            <v>3.6</v>
          </cell>
          <cell r="F309">
            <v>0.7</v>
          </cell>
          <cell r="G309">
            <v>4.0727272727272723E-2</v>
          </cell>
          <cell r="H309">
            <v>25614</v>
          </cell>
          <cell r="I309">
            <v>35</v>
          </cell>
          <cell r="J309">
            <v>50</v>
          </cell>
          <cell r="K309">
            <v>10</v>
          </cell>
          <cell r="L309">
            <v>200</v>
          </cell>
          <cell r="N309">
            <v>2000</v>
          </cell>
          <cell r="O309">
            <v>1</v>
          </cell>
          <cell r="P309">
            <v>0.32</v>
          </cell>
          <cell r="Q309">
            <v>2.1</v>
          </cell>
          <cell r="R309">
            <v>279.1196259257265</v>
          </cell>
          <cell r="S309">
            <v>1.3955981296286324</v>
          </cell>
          <cell r="T309">
            <v>1280.7</v>
          </cell>
          <cell r="U309">
            <v>6.4035000000000002</v>
          </cell>
          <cell r="V309">
            <v>8964.9</v>
          </cell>
          <cell r="W309">
            <v>1664.9099999999999</v>
          </cell>
          <cell r="X309">
            <v>17289.45</v>
          </cell>
          <cell r="Y309">
            <v>1383.1560000000002</v>
          </cell>
          <cell r="Z309">
            <v>414.94680000000005</v>
          </cell>
          <cell r="AA309">
            <v>3463.0128</v>
          </cell>
          <cell r="AB309">
            <v>17.315064</v>
          </cell>
        </row>
        <row r="310">
          <cell r="A310" t="str">
            <v>Boll Buggy 5R 30"</v>
          </cell>
          <cell r="B310" t="str">
            <v>Boll Buggy</v>
          </cell>
          <cell r="C310" t="str">
            <v>5R 30"</v>
          </cell>
          <cell r="D310">
            <v>12.5</v>
          </cell>
          <cell r="E310">
            <v>3.6</v>
          </cell>
          <cell r="F310">
            <v>0.7</v>
          </cell>
          <cell r="G310">
            <v>3.8181818181818185E-2</v>
          </cell>
          <cell r="H310">
            <v>25614</v>
          </cell>
          <cell r="I310">
            <v>35</v>
          </cell>
          <cell r="J310">
            <v>50</v>
          </cell>
          <cell r="K310">
            <v>10</v>
          </cell>
          <cell r="L310">
            <v>200</v>
          </cell>
          <cell r="N310">
            <v>2000</v>
          </cell>
          <cell r="O310">
            <v>1</v>
          </cell>
          <cell r="P310">
            <v>0.32</v>
          </cell>
          <cell r="Q310">
            <v>2.1</v>
          </cell>
          <cell r="R310">
            <v>279.1196259257265</v>
          </cell>
          <cell r="S310">
            <v>1.3955981296286324</v>
          </cell>
          <cell r="T310">
            <v>1280.7</v>
          </cell>
          <cell r="U310">
            <v>6.4035000000000002</v>
          </cell>
          <cell r="V310">
            <v>8964.9</v>
          </cell>
          <cell r="W310">
            <v>1664.9099999999999</v>
          </cell>
          <cell r="X310">
            <v>17289.45</v>
          </cell>
          <cell r="Y310">
            <v>1383.1560000000002</v>
          </cell>
          <cell r="Z310">
            <v>414.94680000000005</v>
          </cell>
          <cell r="AA310">
            <v>3463.0128</v>
          </cell>
          <cell r="AB310">
            <v>17.315064</v>
          </cell>
        </row>
        <row r="311">
          <cell r="A311" t="str">
            <v>Boll Buggy 5R 40"</v>
          </cell>
          <cell r="B311" t="str">
            <v>Boll Buggy</v>
          </cell>
          <cell r="C311" t="str">
            <v>5R 40"</v>
          </cell>
          <cell r="D311">
            <v>16.666666666666668</v>
          </cell>
          <cell r="E311">
            <v>3.6</v>
          </cell>
          <cell r="F311">
            <v>0.7</v>
          </cell>
          <cell r="G311">
            <v>5.0909090909090918E-2</v>
          </cell>
          <cell r="H311">
            <v>25614</v>
          </cell>
          <cell r="I311">
            <v>35</v>
          </cell>
          <cell r="J311">
            <v>50</v>
          </cell>
          <cell r="K311">
            <v>10</v>
          </cell>
          <cell r="L311">
            <v>200</v>
          </cell>
          <cell r="N311">
            <v>2000</v>
          </cell>
          <cell r="O311">
            <v>1</v>
          </cell>
          <cell r="P311">
            <v>0.32</v>
          </cell>
          <cell r="Q311">
            <v>2.1</v>
          </cell>
          <cell r="R311">
            <v>279.1196259257265</v>
          </cell>
          <cell r="S311">
            <v>1.3955981296286324</v>
          </cell>
          <cell r="T311">
            <v>1280.7</v>
          </cell>
          <cell r="U311">
            <v>6.4035000000000002</v>
          </cell>
          <cell r="V311">
            <v>8964.9</v>
          </cell>
          <cell r="W311">
            <v>1664.9099999999999</v>
          </cell>
          <cell r="X311">
            <v>17289.45</v>
          </cell>
          <cell r="Y311">
            <v>1383.1560000000002</v>
          </cell>
          <cell r="Z311">
            <v>414.94680000000005</v>
          </cell>
          <cell r="AA311">
            <v>3463.0128</v>
          </cell>
          <cell r="AB311">
            <v>17.315064</v>
          </cell>
        </row>
        <row r="312">
          <cell r="A312" t="str">
            <v>Boll Buggy 6R 30"</v>
          </cell>
          <cell r="B312" t="str">
            <v>Boll Buggy</v>
          </cell>
          <cell r="C312" t="str">
            <v>6R 30"</v>
          </cell>
          <cell r="D312">
            <v>15</v>
          </cell>
          <cell r="E312">
            <v>3.6</v>
          </cell>
          <cell r="F312">
            <v>0.7</v>
          </cell>
          <cell r="G312">
            <v>4.5818181818181813E-2</v>
          </cell>
          <cell r="H312">
            <v>25614</v>
          </cell>
          <cell r="I312">
            <v>35</v>
          </cell>
          <cell r="J312">
            <v>50</v>
          </cell>
          <cell r="K312">
            <v>10</v>
          </cell>
          <cell r="L312">
            <v>200</v>
          </cell>
          <cell r="N312">
            <v>2000</v>
          </cell>
          <cell r="O312">
            <v>1</v>
          </cell>
          <cell r="P312">
            <v>0.32</v>
          </cell>
          <cell r="Q312">
            <v>2.1</v>
          </cell>
          <cell r="R312">
            <v>279.1196259257265</v>
          </cell>
          <cell r="S312">
            <v>1.3955981296286324</v>
          </cell>
          <cell r="T312">
            <v>1280.7</v>
          </cell>
          <cell r="U312">
            <v>6.4035000000000002</v>
          </cell>
          <cell r="V312">
            <v>8964.9</v>
          </cell>
          <cell r="W312">
            <v>1664.9099999999999</v>
          </cell>
          <cell r="X312">
            <v>17289.45</v>
          </cell>
          <cell r="Y312">
            <v>1383.1560000000002</v>
          </cell>
          <cell r="Z312">
            <v>414.94680000000005</v>
          </cell>
          <cell r="AA312">
            <v>3463.0128</v>
          </cell>
          <cell r="AB312">
            <v>17.315064</v>
          </cell>
        </row>
        <row r="313">
          <cell r="A313" t="str">
            <v>Boll Buggy 6R 40"</v>
          </cell>
          <cell r="B313" t="str">
            <v>Boll Buggy</v>
          </cell>
          <cell r="C313" t="str">
            <v>6R 40"</v>
          </cell>
          <cell r="D313">
            <v>20</v>
          </cell>
          <cell r="E313">
            <v>3.6</v>
          </cell>
          <cell r="F313">
            <v>0.7</v>
          </cell>
          <cell r="G313">
            <v>6.1090909090909092E-2</v>
          </cell>
          <cell r="H313">
            <v>25614</v>
          </cell>
          <cell r="I313">
            <v>35</v>
          </cell>
          <cell r="J313">
            <v>50</v>
          </cell>
          <cell r="K313">
            <v>10</v>
          </cell>
          <cell r="L313">
            <v>200</v>
          </cell>
          <cell r="N313">
            <v>2000</v>
          </cell>
          <cell r="O313">
            <v>1</v>
          </cell>
          <cell r="P313">
            <v>0.32</v>
          </cell>
          <cell r="Q313">
            <v>2.1</v>
          </cell>
          <cell r="R313">
            <v>279.1196259257265</v>
          </cell>
          <cell r="S313">
            <v>1.3955981296286324</v>
          </cell>
          <cell r="T313">
            <v>1280.7</v>
          </cell>
          <cell r="U313">
            <v>6.4035000000000002</v>
          </cell>
          <cell r="V313">
            <v>8964.9</v>
          </cell>
          <cell r="W313">
            <v>1664.9099999999999</v>
          </cell>
          <cell r="X313">
            <v>17289.45</v>
          </cell>
          <cell r="Y313">
            <v>1383.1560000000002</v>
          </cell>
          <cell r="Z313">
            <v>414.94680000000005</v>
          </cell>
          <cell r="AA313">
            <v>3463.0128</v>
          </cell>
          <cell r="AB313">
            <v>17.315064</v>
          </cell>
        </row>
        <row r="314">
          <cell r="A314" t="str">
            <v>Corn Grain Cart 8R36500 bu</v>
          </cell>
          <cell r="B314" t="str">
            <v>Corn Grain Cart 8R36</v>
          </cell>
          <cell r="C314" t="str">
            <v>500 bu</v>
          </cell>
          <cell r="D314">
            <v>24</v>
          </cell>
          <cell r="E314">
            <v>3.8</v>
          </cell>
          <cell r="F314">
            <v>0.85</v>
          </cell>
          <cell r="G314">
            <v>9.3963636363636346E-2</v>
          </cell>
          <cell r="H314">
            <v>14774</v>
          </cell>
          <cell r="I314">
            <v>30</v>
          </cell>
          <cell r="J314">
            <v>65</v>
          </cell>
          <cell r="K314">
            <v>12</v>
          </cell>
          <cell r="L314">
            <v>200</v>
          </cell>
          <cell r="N314">
            <v>2400</v>
          </cell>
          <cell r="O314">
            <v>1</v>
          </cell>
          <cell r="P314">
            <v>0.32</v>
          </cell>
          <cell r="Q314">
            <v>2.1</v>
          </cell>
          <cell r="R314">
            <v>160.99450899612256</v>
          </cell>
          <cell r="S314">
            <v>0.80497254498061277</v>
          </cell>
          <cell r="T314">
            <v>800.25833333333333</v>
          </cell>
          <cell r="U314">
            <v>4.0012916666666669</v>
          </cell>
          <cell r="V314">
            <v>4432.2</v>
          </cell>
          <cell r="W314">
            <v>861.81666666666661</v>
          </cell>
          <cell r="X314">
            <v>9603.1</v>
          </cell>
          <cell r="Y314">
            <v>768.24800000000005</v>
          </cell>
          <cell r="Z314">
            <v>230.4744</v>
          </cell>
          <cell r="AA314">
            <v>1860.5390666666667</v>
          </cell>
          <cell r="AB314">
            <v>9.3026953333333342</v>
          </cell>
        </row>
        <row r="315">
          <cell r="A315" t="str">
            <v>Corn Grain Cart 8R36700bu</v>
          </cell>
          <cell r="B315" t="str">
            <v>Corn Grain Cart 8R36</v>
          </cell>
          <cell r="C315" t="str">
            <v>700bu</v>
          </cell>
          <cell r="D315">
            <v>24</v>
          </cell>
          <cell r="E315">
            <v>3.8</v>
          </cell>
          <cell r="F315">
            <v>0.85</v>
          </cell>
          <cell r="G315">
            <v>9.3963636363636346E-2</v>
          </cell>
          <cell r="H315">
            <v>19783</v>
          </cell>
          <cell r="I315">
            <v>30</v>
          </cell>
          <cell r="J315">
            <v>65</v>
          </cell>
          <cell r="K315">
            <v>12</v>
          </cell>
          <cell r="L315">
            <v>200</v>
          </cell>
          <cell r="N315">
            <v>2400</v>
          </cell>
          <cell r="O315">
            <v>1</v>
          </cell>
          <cell r="P315">
            <v>0.32</v>
          </cell>
          <cell r="Q315">
            <v>2.1</v>
          </cell>
          <cell r="R315">
            <v>215.57833839652722</v>
          </cell>
          <cell r="S315">
            <v>1.077891691982636</v>
          </cell>
          <cell r="T315">
            <v>1071.5791666666667</v>
          </cell>
          <cell r="U315">
            <v>5.3578958333333331</v>
          </cell>
          <cell r="V315">
            <v>5934.9</v>
          </cell>
          <cell r="W315">
            <v>1154.0083333333334</v>
          </cell>
          <cell r="X315">
            <v>12858.95</v>
          </cell>
          <cell r="Y315">
            <v>1028.7160000000001</v>
          </cell>
          <cell r="Z315">
            <v>308.6148</v>
          </cell>
          <cell r="AA315">
            <v>2491.3391333333338</v>
          </cell>
          <cell r="AB315">
            <v>12.456695666666668</v>
          </cell>
        </row>
        <row r="316">
          <cell r="A316" t="str">
            <v>Hay Baler-Lg Round</v>
          </cell>
          <cell r="B316" t="str">
            <v>Hay Baler-</v>
          </cell>
          <cell r="C316" t="str">
            <v>Lg Round</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918.16399999999999</v>
          </cell>
          <cell r="Z316">
            <v>275.44919999999996</v>
          </cell>
          <cell r="AA316">
            <v>2738.6007</v>
          </cell>
          <cell r="AB316">
            <v>13.6930035</v>
          </cell>
        </row>
        <row r="317">
          <cell r="A317" t="str">
            <v>Hay Baler-Med Rnd</v>
          </cell>
          <cell r="B317" t="str">
            <v>Hay Baler-</v>
          </cell>
          <cell r="C317" t="str">
            <v>Med Rnd</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777.97199999999998</v>
          </cell>
          <cell r="Z317">
            <v>233.39159999999998</v>
          </cell>
          <cell r="AA317">
            <v>2320.4511000000002</v>
          </cell>
          <cell r="AB317">
            <v>11.602255500000002</v>
          </cell>
        </row>
        <row r="318">
          <cell r="A318" t="str">
            <v>Hay Baler-Sm Round</v>
          </cell>
          <cell r="B318" t="str">
            <v>Hay Baler-</v>
          </cell>
          <cell r="C318" t="str">
            <v>Sm Round</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671.58</v>
          </cell>
          <cell r="Z319">
            <v>201.47400000000002</v>
          </cell>
          <cell r="AA319">
            <v>2003.1165000000001</v>
          </cell>
          <cell r="AB319">
            <v>10.015582500000001</v>
          </cell>
        </row>
        <row r="320">
          <cell r="A320" t="str">
            <v>Hay Cut-Cond-12'</v>
          </cell>
          <cell r="B320" t="str">
            <v>Hay Cut-Cond-</v>
          </cell>
          <cell r="C320" t="str">
            <v>12'</v>
          </cell>
          <cell r="D320">
            <v>12</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955.5</v>
          </cell>
          <cell r="Z320">
            <v>286.65000000000003</v>
          </cell>
          <cell r="AA320">
            <v>2849.9625000000001</v>
          </cell>
          <cell r="AB320">
            <v>14.249812500000001</v>
          </cell>
        </row>
        <row r="321">
          <cell r="A321" t="str">
            <v>Hay Cut-Cond-7'</v>
          </cell>
          <cell r="B321" t="str">
            <v>Hay Cut-Cond-</v>
          </cell>
          <cell r="C321" t="str">
            <v>7'</v>
          </cell>
          <cell r="D321">
            <v>7</v>
          </cell>
          <cell r="G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661.12800000000004</v>
          </cell>
          <cell r="Z322">
            <v>198.33840000000001</v>
          </cell>
          <cell r="AA322">
            <v>1971.9413999999999</v>
          </cell>
          <cell r="AB322">
            <v>9.8597070000000002</v>
          </cell>
        </row>
        <row r="323">
          <cell r="A323" t="str">
            <v>Hay Disc Mower-8'</v>
          </cell>
          <cell r="B323" t="str">
            <v>Hay Disc Mower-</v>
          </cell>
          <cell r="C323" t="str">
            <v>8'</v>
          </cell>
          <cell r="D323">
            <v>8</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312.93599999999998</v>
          </cell>
          <cell r="Z323">
            <v>93.880799999999994</v>
          </cell>
          <cell r="AA323">
            <v>933.39179999999999</v>
          </cell>
          <cell r="AB323">
            <v>4.6669590000000003</v>
          </cell>
        </row>
        <row r="324">
          <cell r="A324" t="str">
            <v>Hay Loader-Pop-Up</v>
          </cell>
          <cell r="B324" t="str">
            <v>Hay Loader-</v>
          </cell>
          <cell r="C324" t="str">
            <v>Pop-Up</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15.860000000000001</v>
          </cell>
          <cell r="Z325">
            <v>4.758</v>
          </cell>
          <cell r="AA325">
            <v>41.968000000000004</v>
          </cell>
          <cell r="AB325">
            <v>0.20984000000000003</v>
          </cell>
        </row>
        <row r="326">
          <cell r="A326" t="str">
            <v>Hay Mover-2 Bale</v>
          </cell>
          <cell r="B326" t="str">
            <v>Hay Mover-</v>
          </cell>
          <cell r="C326" t="str">
            <v>2 Bale</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94.952000000000012</v>
          </cell>
          <cell r="Z326">
            <v>28.485600000000002</v>
          </cell>
          <cell r="AA326">
            <v>208.65093333333334</v>
          </cell>
          <cell r="AB326">
            <v>1.0432546666666667</v>
          </cell>
        </row>
        <row r="327">
          <cell r="A327" t="str">
            <v>Hay Mower-6'</v>
          </cell>
          <cell r="B327" t="str">
            <v>Hay Mower-</v>
          </cell>
          <cell r="C327" t="str">
            <v>6'</v>
          </cell>
          <cell r="D327">
            <v>6</v>
          </cell>
          <cell r="G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115.44</v>
          </cell>
          <cell r="Z328">
            <v>34.631999999999998</v>
          </cell>
          <cell r="AA328">
            <v>344.322</v>
          </cell>
          <cell r="AB328">
            <v>1.7216100000000001</v>
          </cell>
        </row>
        <row r="329">
          <cell r="A329" t="str">
            <v>Hay Rake-Double-17'</v>
          </cell>
          <cell r="B329" t="str">
            <v>Hay Rake-Double-</v>
          </cell>
          <cell r="C329" t="str">
            <v>17'</v>
          </cell>
          <cell r="D329">
            <v>17</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136.292</v>
          </cell>
          <cell r="Z329">
            <v>40.887600000000006</v>
          </cell>
          <cell r="AA329">
            <v>406.51710000000003</v>
          </cell>
          <cell r="AB329">
            <v>2.0325855000000002</v>
          </cell>
        </row>
        <row r="330">
          <cell r="A330" t="str">
            <v>Hay Tedder-17'</v>
          </cell>
          <cell r="B330" t="str">
            <v>Hay Tedder-</v>
          </cell>
          <cell r="C330" t="str">
            <v>17'</v>
          </cell>
          <cell r="D330">
            <v>17</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234</v>
          </cell>
          <cell r="Z330">
            <v>70.2</v>
          </cell>
          <cell r="AA330">
            <v>697.95</v>
          </cell>
          <cell r="AB330">
            <v>3.4897500000000004</v>
          </cell>
        </row>
        <row r="331">
          <cell r="A331" t="str">
            <v>Hay Trailer-20'</v>
          </cell>
          <cell r="B331" t="str">
            <v>Hay Trailer-</v>
          </cell>
          <cell r="C331" t="str">
            <v>20'</v>
          </cell>
          <cell r="D331">
            <v>20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142.11600000000001</v>
          </cell>
          <cell r="Z331">
            <v>42.634799999999998</v>
          </cell>
          <cell r="AA331">
            <v>312.29079999999999</v>
          </cell>
          <cell r="AB331">
            <v>1.5614539999999999</v>
          </cell>
        </row>
        <row r="332">
          <cell r="A332" t="str">
            <v>Header - Corn12R 20"</v>
          </cell>
          <cell r="B332" t="str">
            <v>Header - Corn</v>
          </cell>
          <cell r="C332" t="str">
            <v>12R 20"</v>
          </cell>
          <cell r="D332">
            <v>13.3</v>
          </cell>
          <cell r="E332">
            <v>3.8</v>
          </cell>
          <cell r="F332">
            <v>0.85</v>
          </cell>
          <cell r="G332">
            <v>0.19204357643334344</v>
          </cell>
          <cell r="H332">
            <v>54754</v>
          </cell>
          <cell r="I332">
            <v>40</v>
          </cell>
          <cell r="J332">
            <v>60</v>
          </cell>
          <cell r="K332">
            <v>8</v>
          </cell>
          <cell r="L332">
            <v>300</v>
          </cell>
          <cell r="M332">
            <v>0</v>
          </cell>
          <cell r="N332">
            <v>2400</v>
          </cell>
          <cell r="O332">
            <v>1</v>
          </cell>
          <cell r="P332">
            <v>0.32</v>
          </cell>
          <cell r="Q332">
            <v>2.1</v>
          </cell>
          <cell r="R332">
            <v>1398.0427924621729</v>
          </cell>
          <cell r="S332">
            <v>4.6601426415405767</v>
          </cell>
          <cell r="T332">
            <v>4106.55</v>
          </cell>
          <cell r="U332">
            <v>13.688500000000001</v>
          </cell>
          <cell r="V332">
            <v>21901.599999999999</v>
          </cell>
          <cell r="W332">
            <v>4106.55</v>
          </cell>
          <cell r="X332">
            <v>38327.800000000003</v>
          </cell>
          <cell r="Y332">
            <v>3066.2240000000002</v>
          </cell>
          <cell r="Z332">
            <v>919.86720000000014</v>
          </cell>
          <cell r="AA332">
            <v>8092.6412</v>
          </cell>
          <cell r="AB332">
            <v>26.975470666666666</v>
          </cell>
        </row>
        <row r="333">
          <cell r="A333" t="str">
            <v>Header - Corn12R 30"</v>
          </cell>
          <cell r="B333" t="str">
            <v>Header - Corn</v>
          </cell>
          <cell r="C333" t="str">
            <v>12R 30"</v>
          </cell>
          <cell r="D333">
            <v>15</v>
          </cell>
          <cell r="E333">
            <v>3.8</v>
          </cell>
          <cell r="F333">
            <v>0.85</v>
          </cell>
          <cell r="G333">
            <v>0.17027863777089783</v>
          </cell>
          <cell r="H333">
            <v>60328</v>
          </cell>
          <cell r="I333">
            <v>40</v>
          </cell>
          <cell r="J333">
            <v>60</v>
          </cell>
          <cell r="K333">
            <v>8</v>
          </cell>
          <cell r="L333">
            <v>300</v>
          </cell>
          <cell r="M333">
            <v>0</v>
          </cell>
          <cell r="N333">
            <v>2400</v>
          </cell>
          <cell r="O333">
            <v>1</v>
          </cell>
          <cell r="P333">
            <v>0.32</v>
          </cell>
          <cell r="Q333">
            <v>2.1</v>
          </cell>
          <cell r="R333">
            <v>1540.3646415541873</v>
          </cell>
          <cell r="S333">
            <v>5.1345488051806241</v>
          </cell>
          <cell r="T333">
            <v>4524.6000000000004</v>
          </cell>
          <cell r="U333">
            <v>15.082000000000001</v>
          </cell>
          <cell r="V333">
            <v>24131.200000000001</v>
          </cell>
          <cell r="W333">
            <v>4524.6000000000004</v>
          </cell>
          <cell r="X333">
            <v>42229.599999999999</v>
          </cell>
          <cell r="Y333">
            <v>3378.3679999999999</v>
          </cell>
          <cell r="Z333">
            <v>1013.5104</v>
          </cell>
          <cell r="AA333">
            <v>8916.4784</v>
          </cell>
          <cell r="AB333">
            <v>29.721594666666668</v>
          </cell>
        </row>
        <row r="334">
          <cell r="A334" t="str">
            <v>Header - Corn4R 36"</v>
          </cell>
          <cell r="B334" t="str">
            <v>Header - Corn</v>
          </cell>
          <cell r="C334" t="str">
            <v>4R 36"</v>
          </cell>
          <cell r="D334">
            <v>12</v>
          </cell>
          <cell r="E334">
            <v>3.8</v>
          </cell>
          <cell r="F334">
            <v>0.85</v>
          </cell>
          <cell r="G334">
            <v>0.21284829721362233</v>
          </cell>
          <cell r="H334">
            <v>22681</v>
          </cell>
          <cell r="I334">
            <v>40</v>
          </cell>
          <cell r="J334">
            <v>60</v>
          </cell>
          <cell r="K334">
            <v>8</v>
          </cell>
          <cell r="L334">
            <v>300</v>
          </cell>
          <cell r="M334">
            <v>0</v>
          </cell>
          <cell r="N334">
            <v>2400</v>
          </cell>
          <cell r="O334">
            <v>1</v>
          </cell>
          <cell r="P334">
            <v>0.32</v>
          </cell>
          <cell r="Q334">
            <v>2.1</v>
          </cell>
          <cell r="R334">
            <v>579.11766402152432</v>
          </cell>
          <cell r="S334">
            <v>1.930392213405081</v>
          </cell>
          <cell r="T334">
            <v>1701.075</v>
          </cell>
          <cell r="U334">
            <v>5.6702500000000002</v>
          </cell>
          <cell r="V334">
            <v>9072.4</v>
          </cell>
          <cell r="W334">
            <v>1701.075</v>
          </cell>
          <cell r="X334">
            <v>15876.7</v>
          </cell>
          <cell r="Y334">
            <v>1270.1360000000002</v>
          </cell>
          <cell r="Z334">
            <v>381.04080000000005</v>
          </cell>
          <cell r="AA334">
            <v>3352.2518</v>
          </cell>
          <cell r="AB334">
            <v>11.174172666666667</v>
          </cell>
        </row>
        <row r="335">
          <cell r="A335" t="str">
            <v>Header - Corn6R 30"</v>
          </cell>
          <cell r="B335" t="str">
            <v>Header - Corn</v>
          </cell>
          <cell r="C335" t="str">
            <v>6R 30"</v>
          </cell>
          <cell r="D335">
            <v>20</v>
          </cell>
          <cell r="E335">
            <v>3.8</v>
          </cell>
          <cell r="F335">
            <v>0.85</v>
          </cell>
          <cell r="G335">
            <v>0.12770897832817338</v>
          </cell>
          <cell r="H335">
            <v>29750</v>
          </cell>
          <cell r="I335">
            <v>40</v>
          </cell>
          <cell r="J335">
            <v>60</v>
          </cell>
          <cell r="K335">
            <v>8</v>
          </cell>
          <cell r="L335">
            <v>300</v>
          </cell>
          <cell r="M335">
            <v>0</v>
          </cell>
          <cell r="N335">
            <v>2400</v>
          </cell>
          <cell r="O335">
            <v>1</v>
          </cell>
          <cell r="P335">
            <v>0.32</v>
          </cell>
          <cell r="Q335">
            <v>2.1</v>
          </cell>
          <cell r="R335">
            <v>759.61159140427446</v>
          </cell>
          <cell r="S335">
            <v>2.5320386380142481</v>
          </cell>
          <cell r="T335">
            <v>2231.25</v>
          </cell>
          <cell r="U335">
            <v>7.4375</v>
          </cell>
          <cell r="V335">
            <v>11900</v>
          </cell>
          <cell r="W335">
            <v>2231.25</v>
          </cell>
          <cell r="X335">
            <v>20825</v>
          </cell>
          <cell r="Y335">
            <v>1666</v>
          </cell>
          <cell r="Z335">
            <v>499.8</v>
          </cell>
          <cell r="AA335">
            <v>4397.05</v>
          </cell>
          <cell r="AB335">
            <v>14.656833333333333</v>
          </cell>
        </row>
        <row r="336">
          <cell r="A336" t="str">
            <v>Header - Corn6R 36"</v>
          </cell>
          <cell r="B336" t="str">
            <v>Header - Corn</v>
          </cell>
          <cell r="C336" t="str">
            <v>6R 36"</v>
          </cell>
          <cell r="D336">
            <v>18</v>
          </cell>
          <cell r="E336">
            <v>3.5</v>
          </cell>
          <cell r="F336">
            <v>0.8</v>
          </cell>
          <cell r="G336">
            <v>0.16369047619047619</v>
          </cell>
          <cell r="H336">
            <v>32388</v>
          </cell>
          <cell r="I336">
            <v>40</v>
          </cell>
          <cell r="J336">
            <v>60</v>
          </cell>
          <cell r="K336">
            <v>12</v>
          </cell>
          <cell r="L336">
            <v>200</v>
          </cell>
          <cell r="M336">
            <v>0</v>
          </cell>
          <cell r="N336">
            <v>2400</v>
          </cell>
          <cell r="O336">
            <v>1</v>
          </cell>
          <cell r="P336">
            <v>0.32</v>
          </cell>
          <cell r="Q336">
            <v>2.1</v>
          </cell>
          <cell r="R336">
            <v>352.93692685572069</v>
          </cell>
          <cell r="S336">
            <v>1.7646846342786033</v>
          </cell>
          <cell r="T336">
            <v>1619.3999999999999</v>
          </cell>
          <cell r="U336">
            <v>8.0969999999999995</v>
          </cell>
          <cell r="V336">
            <v>12955.2</v>
          </cell>
          <cell r="W336">
            <v>1619.3999999999999</v>
          </cell>
          <cell r="X336">
            <v>22671.599999999999</v>
          </cell>
          <cell r="Y336">
            <v>1813.7279999999998</v>
          </cell>
          <cell r="Z336">
            <v>544.11839999999995</v>
          </cell>
          <cell r="AA336">
            <v>3977.2464</v>
          </cell>
          <cell r="AB336">
            <v>19.886232</v>
          </cell>
        </row>
        <row r="337">
          <cell r="A337" t="str">
            <v>Header - Corn8R 30"</v>
          </cell>
          <cell r="B337" t="str">
            <v>Header - Corn</v>
          </cell>
          <cell r="C337" t="str">
            <v>8R 30"</v>
          </cell>
          <cell r="D337">
            <v>20</v>
          </cell>
          <cell r="E337">
            <v>3.5</v>
          </cell>
          <cell r="F337">
            <v>0.8</v>
          </cell>
          <cell r="G337">
            <v>0.14732142857142858</v>
          </cell>
          <cell r="H337">
            <v>39099</v>
          </cell>
          <cell r="I337">
            <v>40</v>
          </cell>
          <cell r="J337">
            <v>60</v>
          </cell>
          <cell r="K337">
            <v>12</v>
          </cell>
          <cell r="L337">
            <v>200</v>
          </cell>
          <cell r="M337">
            <v>0</v>
          </cell>
          <cell r="N337">
            <v>2400</v>
          </cell>
          <cell r="O337">
            <v>1</v>
          </cell>
          <cell r="P337">
            <v>0.32</v>
          </cell>
          <cell r="Q337">
            <v>2.1</v>
          </cell>
          <cell r="R337">
            <v>426.06770727219413</v>
          </cell>
          <cell r="S337">
            <v>2.1303385363609708</v>
          </cell>
          <cell r="T337">
            <v>1954.95</v>
          </cell>
          <cell r="U337">
            <v>9.7747500000000009</v>
          </cell>
          <cell r="V337">
            <v>15639.6</v>
          </cell>
          <cell r="W337">
            <v>1954.95</v>
          </cell>
          <cell r="X337">
            <v>27369.3</v>
          </cell>
          <cell r="Y337">
            <v>2189.5439999999999</v>
          </cell>
          <cell r="Z337">
            <v>656.86320000000001</v>
          </cell>
          <cell r="AA337">
            <v>4801.3571999999995</v>
          </cell>
          <cell r="AB337">
            <v>24.006785999999998</v>
          </cell>
        </row>
        <row r="338">
          <cell r="A338" t="str">
            <v>Header - Corn8R 36"</v>
          </cell>
          <cell r="B338" t="str">
            <v>Header - Corn</v>
          </cell>
          <cell r="C338" t="str">
            <v>8R 36"</v>
          </cell>
          <cell r="D338">
            <v>24</v>
          </cell>
          <cell r="E338">
            <v>3.5</v>
          </cell>
          <cell r="F338">
            <v>0.8</v>
          </cell>
          <cell r="G338">
            <v>0.12276785714285715</v>
          </cell>
          <cell r="H338">
            <v>41473</v>
          </cell>
          <cell r="I338">
            <v>40</v>
          </cell>
          <cell r="J338">
            <v>60</v>
          </cell>
          <cell r="K338">
            <v>12</v>
          </cell>
          <cell r="L338">
            <v>200</v>
          </cell>
          <cell r="M338">
            <v>0</v>
          </cell>
          <cell r="N338">
            <v>2400</v>
          </cell>
          <cell r="O338">
            <v>1</v>
          </cell>
          <cell r="P338">
            <v>0.32</v>
          </cell>
          <cell r="Q338">
            <v>2.1</v>
          </cell>
          <cell r="R338">
            <v>451.93754376581774</v>
          </cell>
          <cell r="S338">
            <v>2.2596877188290887</v>
          </cell>
          <cell r="T338">
            <v>2073.65</v>
          </cell>
          <cell r="U338">
            <v>10.36825</v>
          </cell>
          <cell r="V338">
            <v>16589.2</v>
          </cell>
          <cell r="W338">
            <v>2073.65</v>
          </cell>
          <cell r="X338">
            <v>29031.1</v>
          </cell>
          <cell r="Y338">
            <v>2322.4879999999998</v>
          </cell>
          <cell r="Z338">
            <v>696.74639999999999</v>
          </cell>
          <cell r="AA338">
            <v>5092.8843999999999</v>
          </cell>
          <cell r="AB338">
            <v>25.464421999999999</v>
          </cell>
        </row>
        <row r="339">
          <cell r="A339" t="str">
            <v>Header - Soybean15' Flex</v>
          </cell>
          <cell r="B339" t="str">
            <v>Header - Soybean</v>
          </cell>
          <cell r="C339" t="str">
            <v>15' Flex</v>
          </cell>
          <cell r="D339">
            <v>22</v>
          </cell>
          <cell r="E339">
            <v>3.8</v>
          </cell>
          <cell r="F339">
            <v>0.85</v>
          </cell>
          <cell r="G339">
            <v>0.11609907120743036</v>
          </cell>
          <cell r="H339">
            <v>15023</v>
          </cell>
          <cell r="I339">
            <v>40</v>
          </cell>
          <cell r="J339">
            <v>60</v>
          </cell>
          <cell r="K339">
            <v>8</v>
          </cell>
          <cell r="L339">
            <v>300</v>
          </cell>
          <cell r="M339">
            <v>0</v>
          </cell>
          <cell r="N339">
            <v>2400</v>
          </cell>
          <cell r="O339">
            <v>1</v>
          </cell>
          <cell r="P339">
            <v>0.32</v>
          </cell>
          <cell r="Q339">
            <v>2.1</v>
          </cell>
          <cell r="R339">
            <v>383.58470378710638</v>
          </cell>
          <cell r="S339">
            <v>1.2786156792903547</v>
          </cell>
          <cell r="T339">
            <v>1126.7249999999999</v>
          </cell>
          <cell r="U339">
            <v>3.7557499999999995</v>
          </cell>
          <cell r="V339">
            <v>6009.2</v>
          </cell>
          <cell r="W339">
            <v>1126.7249999999999</v>
          </cell>
          <cell r="X339">
            <v>10516.1</v>
          </cell>
          <cell r="Y339">
            <v>841.28800000000001</v>
          </cell>
          <cell r="Z339">
            <v>252.38640000000001</v>
          </cell>
          <cell r="AA339">
            <v>2220.3994000000002</v>
          </cell>
          <cell r="AB339">
            <v>7.4013313333333342</v>
          </cell>
        </row>
        <row r="340">
          <cell r="A340" t="str">
            <v>Header - Soybean18' Flex</v>
          </cell>
          <cell r="B340" t="str">
            <v>Header - Soybean</v>
          </cell>
          <cell r="C340" t="str">
            <v>18' Flex</v>
          </cell>
          <cell r="D340">
            <v>25</v>
          </cell>
          <cell r="E340">
            <v>3.8</v>
          </cell>
          <cell r="F340">
            <v>0.85</v>
          </cell>
          <cell r="G340">
            <v>0.10216718266253871</v>
          </cell>
          <cell r="H340">
            <v>18729</v>
          </cell>
          <cell r="I340">
            <v>40</v>
          </cell>
          <cell r="J340">
            <v>60</v>
          </cell>
          <cell r="K340">
            <v>8</v>
          </cell>
          <cell r="L340">
            <v>300</v>
          </cell>
          <cell r="M340">
            <v>0</v>
          </cell>
          <cell r="N340">
            <v>2400</v>
          </cell>
          <cell r="O340">
            <v>1</v>
          </cell>
          <cell r="P340">
            <v>0.32</v>
          </cell>
          <cell r="Q340">
            <v>2.1</v>
          </cell>
          <cell r="R340">
            <v>478.21060488775316</v>
          </cell>
          <cell r="S340">
            <v>1.5940353496258439</v>
          </cell>
          <cell r="T340">
            <v>1404.675</v>
          </cell>
          <cell r="U340">
            <v>4.6822499999999998</v>
          </cell>
          <cell r="V340">
            <v>7491.6</v>
          </cell>
          <cell r="W340">
            <v>1404.675</v>
          </cell>
          <cell r="X340">
            <v>13110.3</v>
          </cell>
          <cell r="Y340">
            <v>1048.8240000000001</v>
          </cell>
          <cell r="Z340">
            <v>314.6472</v>
          </cell>
          <cell r="AA340">
            <v>2768.1462000000001</v>
          </cell>
          <cell r="AB340">
            <v>9.2271540000000005</v>
          </cell>
        </row>
        <row r="341">
          <cell r="A341" t="str">
            <v>Header - Soybean22' Flex</v>
          </cell>
          <cell r="B341" t="str">
            <v>Header - Soybean</v>
          </cell>
          <cell r="C341" t="str">
            <v>22' Flex</v>
          </cell>
          <cell r="D341">
            <v>30</v>
          </cell>
          <cell r="E341">
            <v>3.8</v>
          </cell>
          <cell r="F341">
            <v>0.85</v>
          </cell>
          <cell r="G341">
            <v>8.5139318885448914E-2</v>
          </cell>
          <cell r="H341">
            <v>17376</v>
          </cell>
          <cell r="I341">
            <v>40</v>
          </cell>
          <cell r="J341">
            <v>60</v>
          </cell>
          <cell r="K341">
            <v>8</v>
          </cell>
          <cell r="L341">
            <v>300</v>
          </cell>
          <cell r="M341">
            <v>0</v>
          </cell>
          <cell r="N341">
            <v>2400</v>
          </cell>
          <cell r="O341">
            <v>1</v>
          </cell>
          <cell r="P341">
            <v>0.32</v>
          </cell>
          <cell r="Q341">
            <v>2.1</v>
          </cell>
          <cell r="R341">
            <v>443.66423570556884</v>
          </cell>
          <cell r="S341">
            <v>1.4788807856852295</v>
          </cell>
          <cell r="T341">
            <v>1303.2</v>
          </cell>
          <cell r="U341">
            <v>4.3440000000000003</v>
          </cell>
          <cell r="V341">
            <v>6950.4</v>
          </cell>
          <cell r="W341">
            <v>1303.2</v>
          </cell>
          <cell r="X341">
            <v>12163.2</v>
          </cell>
          <cell r="Y341">
            <v>973.05600000000004</v>
          </cell>
          <cell r="Z341">
            <v>291.91680000000002</v>
          </cell>
          <cell r="AA341">
            <v>2568.1728000000003</v>
          </cell>
          <cell r="AB341">
            <v>8.5605760000000011</v>
          </cell>
        </row>
        <row r="342">
          <cell r="A342" t="str">
            <v>Header - Soybean25' Flex</v>
          </cell>
          <cell r="B342" t="str">
            <v>Header - Soybean</v>
          </cell>
          <cell r="C342" t="str">
            <v>25' Flex</v>
          </cell>
          <cell r="D342">
            <v>15</v>
          </cell>
          <cell r="E342">
            <v>3.8</v>
          </cell>
          <cell r="F342">
            <v>0.85</v>
          </cell>
          <cell r="G342">
            <v>0.17027863777089783</v>
          </cell>
          <cell r="H342">
            <v>19271</v>
          </cell>
          <cell r="I342">
            <v>40</v>
          </cell>
          <cell r="J342">
            <v>60</v>
          </cell>
          <cell r="K342">
            <v>8</v>
          </cell>
          <cell r="L342">
            <v>300</v>
          </cell>
          <cell r="M342">
            <v>0</v>
          </cell>
          <cell r="N342">
            <v>2400</v>
          </cell>
          <cell r="O342">
            <v>1</v>
          </cell>
          <cell r="P342">
            <v>0.32</v>
          </cell>
          <cell r="Q342">
            <v>2.1</v>
          </cell>
          <cell r="R342">
            <v>492.04957909081594</v>
          </cell>
          <cell r="S342">
            <v>1.6401652636360531</v>
          </cell>
          <cell r="T342">
            <v>1445.325</v>
          </cell>
          <cell r="U342">
            <v>4.8177500000000002</v>
          </cell>
          <cell r="V342">
            <v>7708.4</v>
          </cell>
          <cell r="W342">
            <v>1445.325</v>
          </cell>
          <cell r="X342">
            <v>13489.7</v>
          </cell>
          <cell r="Y342">
            <v>1079.1760000000002</v>
          </cell>
          <cell r="Z342">
            <v>323.75280000000004</v>
          </cell>
          <cell r="AA342">
            <v>2848.2538000000004</v>
          </cell>
          <cell r="AB342">
            <v>9.4941793333333351</v>
          </cell>
        </row>
        <row r="343">
          <cell r="A343" t="str">
            <v>Header - Soybean30' Flex</v>
          </cell>
          <cell r="B343" t="str">
            <v>Header - Soybean</v>
          </cell>
          <cell r="C343" t="str">
            <v>30' Flex</v>
          </cell>
          <cell r="D343">
            <v>18</v>
          </cell>
          <cell r="E343">
            <v>3.8</v>
          </cell>
          <cell r="F343">
            <v>0.85</v>
          </cell>
          <cell r="G343">
            <v>0.14189886480908157</v>
          </cell>
          <cell r="H343">
            <v>22029</v>
          </cell>
          <cell r="I343">
            <v>40</v>
          </cell>
          <cell r="J343">
            <v>60</v>
          </cell>
          <cell r="K343">
            <v>8</v>
          </cell>
          <cell r="L343">
            <v>300</v>
          </cell>
          <cell r="M343">
            <v>0</v>
          </cell>
          <cell r="N343">
            <v>2400</v>
          </cell>
          <cell r="O343">
            <v>1</v>
          </cell>
          <cell r="P343">
            <v>0.32</v>
          </cell>
          <cell r="Q343">
            <v>2.1</v>
          </cell>
          <cell r="R343">
            <v>562.47004191747101</v>
          </cell>
          <cell r="S343">
            <v>1.8749001397249034</v>
          </cell>
          <cell r="T343">
            <v>1652.175</v>
          </cell>
          <cell r="U343">
            <v>5.50725</v>
          </cell>
          <cell r="V343">
            <v>8811.6</v>
          </cell>
          <cell r="W343">
            <v>1652.175</v>
          </cell>
          <cell r="X343">
            <v>15420.3</v>
          </cell>
          <cell r="Y343">
            <v>1233.624</v>
          </cell>
          <cell r="Z343">
            <v>370.0872</v>
          </cell>
          <cell r="AA343">
            <v>3255.8861999999999</v>
          </cell>
          <cell r="AB343">
            <v>10.852954</v>
          </cell>
        </row>
        <row r="344">
          <cell r="A344" t="str">
            <v>Header Wheat/Sorghum18' Rigid</v>
          </cell>
          <cell r="B344" t="str">
            <v>Header Wheat/Sorghum</v>
          </cell>
          <cell r="C344" t="str">
            <v>18' Rigid</v>
          </cell>
          <cell r="D344">
            <v>22</v>
          </cell>
          <cell r="E344">
            <v>3.8</v>
          </cell>
          <cell r="F344">
            <v>0.85</v>
          </cell>
          <cell r="G344">
            <v>0.11609907120743036</v>
          </cell>
          <cell r="H344">
            <v>17184</v>
          </cell>
          <cell r="I344">
            <v>40</v>
          </cell>
          <cell r="J344">
            <v>60</v>
          </cell>
          <cell r="K344">
            <v>8</v>
          </cell>
          <cell r="L344">
            <v>300</v>
          </cell>
          <cell r="M344">
            <v>0</v>
          </cell>
          <cell r="N344">
            <v>2400</v>
          </cell>
          <cell r="O344">
            <v>1</v>
          </cell>
          <cell r="P344">
            <v>0.32</v>
          </cell>
          <cell r="Q344">
            <v>2.1</v>
          </cell>
          <cell r="R344">
            <v>438.76186846020346</v>
          </cell>
          <cell r="S344">
            <v>1.4625395615340115</v>
          </cell>
          <cell r="T344">
            <v>1288.8</v>
          </cell>
          <cell r="U344">
            <v>4.2960000000000003</v>
          </cell>
          <cell r="V344">
            <v>6873.6</v>
          </cell>
          <cell r="W344">
            <v>1288.8</v>
          </cell>
          <cell r="X344">
            <v>12028.8</v>
          </cell>
          <cell r="Y344">
            <v>962.30399999999997</v>
          </cell>
          <cell r="Z344">
            <v>288.69119999999998</v>
          </cell>
          <cell r="AA344">
            <v>2539.7951999999996</v>
          </cell>
          <cell r="AB344">
            <v>8.4659839999999988</v>
          </cell>
        </row>
        <row r="345">
          <cell r="A345" t="str">
            <v>Header Wheat/Sorghum22' Rigid</v>
          </cell>
          <cell r="B345" t="str">
            <v>Header Wheat/Sorghum</v>
          </cell>
          <cell r="C345" t="str">
            <v>22' Rigid</v>
          </cell>
          <cell r="D345">
            <v>25</v>
          </cell>
          <cell r="E345">
            <v>3.8</v>
          </cell>
          <cell r="F345">
            <v>0.85</v>
          </cell>
          <cell r="G345">
            <v>0.10216718266253871</v>
          </cell>
          <cell r="H345">
            <v>18225</v>
          </cell>
          <cell r="I345">
            <v>40</v>
          </cell>
          <cell r="J345">
            <v>60</v>
          </cell>
          <cell r="K345">
            <v>8</v>
          </cell>
          <cell r="L345">
            <v>300</v>
          </cell>
          <cell r="M345">
            <v>0</v>
          </cell>
          <cell r="N345">
            <v>2400</v>
          </cell>
          <cell r="O345">
            <v>1</v>
          </cell>
          <cell r="P345">
            <v>0.32</v>
          </cell>
          <cell r="Q345">
            <v>2.1</v>
          </cell>
          <cell r="R345">
            <v>465.341890868669</v>
          </cell>
          <cell r="S345">
            <v>1.5511396362288967</v>
          </cell>
          <cell r="T345">
            <v>1366.875</v>
          </cell>
          <cell r="U345">
            <v>4.5562500000000004</v>
          </cell>
          <cell r="V345">
            <v>7290</v>
          </cell>
          <cell r="W345">
            <v>1366.875</v>
          </cell>
          <cell r="X345">
            <v>12757.5</v>
          </cell>
          <cell r="Y345">
            <v>1020.6</v>
          </cell>
          <cell r="Z345">
            <v>306.18</v>
          </cell>
          <cell r="AA345">
            <v>2693.6549999999997</v>
          </cell>
          <cell r="AB345">
            <v>8.9788499999999996</v>
          </cell>
        </row>
        <row r="346">
          <cell r="A346" t="str">
            <v>Header Wheat/Sorghum25' Rigid</v>
          </cell>
          <cell r="B346" t="str">
            <v>Header Wheat/Sorghum</v>
          </cell>
          <cell r="C346" t="str">
            <v>25' Rigid</v>
          </cell>
          <cell r="D346">
            <v>30</v>
          </cell>
          <cell r="E346">
            <v>3.8</v>
          </cell>
          <cell r="F346">
            <v>0.85</v>
          </cell>
          <cell r="G346">
            <v>8.5139318885448914E-2</v>
          </cell>
          <cell r="H346">
            <v>18472</v>
          </cell>
          <cell r="I346">
            <v>40</v>
          </cell>
          <cell r="J346">
            <v>60</v>
          </cell>
          <cell r="K346">
            <v>8</v>
          </cell>
          <cell r="L346">
            <v>300</v>
          </cell>
          <cell r="M346">
            <v>0</v>
          </cell>
          <cell r="N346">
            <v>2400</v>
          </cell>
          <cell r="O346">
            <v>1</v>
          </cell>
          <cell r="P346">
            <v>0.32</v>
          </cell>
          <cell r="Q346">
            <v>2.1</v>
          </cell>
          <cell r="R346">
            <v>471.64858206452971</v>
          </cell>
          <cell r="S346">
            <v>1.572161940215099</v>
          </cell>
          <cell r="T346">
            <v>1385.4</v>
          </cell>
          <cell r="U346">
            <v>4.6180000000000003</v>
          </cell>
          <cell r="V346">
            <v>7388.8</v>
          </cell>
          <cell r="W346">
            <v>1385.4</v>
          </cell>
          <cell r="X346">
            <v>12930.4</v>
          </cell>
          <cell r="Y346">
            <v>1034.432</v>
          </cell>
          <cell r="Z346">
            <v>310.32959999999997</v>
          </cell>
          <cell r="AA346">
            <v>2730.1616000000004</v>
          </cell>
          <cell r="AB346">
            <v>9.100538666666667</v>
          </cell>
        </row>
        <row r="347">
          <cell r="A347" t="str">
            <v>Header Wheat/Sorghum30'  Rigid</v>
          </cell>
          <cell r="B347" t="str">
            <v>Header Wheat/Sorghum</v>
          </cell>
          <cell r="C347" t="str">
            <v>30'  Rigid</v>
          </cell>
          <cell r="D347">
            <v>18</v>
          </cell>
          <cell r="E347">
            <v>3.8</v>
          </cell>
          <cell r="F347">
            <v>0.85</v>
          </cell>
          <cell r="G347">
            <v>0.14189886480908157</v>
          </cell>
          <cell r="H347">
            <v>20826</v>
          </cell>
          <cell r="I347">
            <v>40</v>
          </cell>
          <cell r="J347">
            <v>60</v>
          </cell>
          <cell r="K347">
            <v>8</v>
          </cell>
          <cell r="L347">
            <v>300</v>
          </cell>
          <cell r="M347">
            <v>0</v>
          </cell>
          <cell r="N347">
            <v>2400</v>
          </cell>
          <cell r="O347">
            <v>1</v>
          </cell>
          <cell r="P347">
            <v>0.32</v>
          </cell>
          <cell r="Q347">
            <v>2.1</v>
          </cell>
          <cell r="R347">
            <v>531.75364714572845</v>
          </cell>
          <cell r="S347">
            <v>1.7725121571524283</v>
          </cell>
          <cell r="T347">
            <v>1561.95</v>
          </cell>
          <cell r="U347">
            <v>5.2065000000000001</v>
          </cell>
          <cell r="V347">
            <v>8330.4</v>
          </cell>
          <cell r="W347">
            <v>1561.95</v>
          </cell>
          <cell r="X347">
            <v>14578.2</v>
          </cell>
          <cell r="Y347">
            <v>1166.2560000000001</v>
          </cell>
          <cell r="Z347">
            <v>349.8768</v>
          </cell>
          <cell r="AA347">
            <v>3078.0828000000001</v>
          </cell>
          <cell r="AB347">
            <v>10.260276000000001</v>
          </cell>
        </row>
      </sheetData>
      <sheetData sheetId="7">
        <row r="4">
          <cell r="A4" t="str">
            <v>Combine (200-249 hp)-240hp</v>
          </cell>
          <cell r="B4" t="str">
            <v>Combine (200-249 hp)-</v>
          </cell>
          <cell r="C4" t="str">
            <v>240hp</v>
          </cell>
          <cell r="D4">
            <v>12.35</v>
          </cell>
          <cell r="E4">
            <v>164962</v>
          </cell>
          <cell r="F4">
            <v>30</v>
          </cell>
          <cell r="G4">
            <v>25</v>
          </cell>
          <cell r="H4">
            <v>12</v>
          </cell>
          <cell r="I4">
            <v>200</v>
          </cell>
          <cell r="J4">
            <v>2400</v>
          </cell>
          <cell r="K4">
            <v>17.183541666666667</v>
          </cell>
          <cell r="L4">
            <v>1</v>
          </cell>
          <cell r="M4">
            <v>1</v>
          </cell>
          <cell r="O4">
            <v>49488.6</v>
          </cell>
          <cell r="P4">
            <v>9622.7833333333328</v>
          </cell>
          <cell r="Q4">
            <v>107225.3</v>
          </cell>
          <cell r="R4">
            <v>8578.0240000000013</v>
          </cell>
          <cell r="S4">
            <v>2573.4072000000001</v>
          </cell>
          <cell r="T4">
            <v>20774.214533333332</v>
          </cell>
          <cell r="U4">
            <v>103.87107266666666</v>
          </cell>
        </row>
        <row r="5">
          <cell r="A5" t="str">
            <v>Combine (250-299 hp)275hp</v>
          </cell>
          <cell r="B5" t="str">
            <v>Combine (250-299 hp)</v>
          </cell>
          <cell r="C5" t="str">
            <v>275hp</v>
          </cell>
          <cell r="D5">
            <v>14.15</v>
          </cell>
          <cell r="E5">
            <v>186987</v>
          </cell>
          <cell r="F5">
            <v>30</v>
          </cell>
          <cell r="G5">
            <v>25</v>
          </cell>
          <cell r="H5">
            <v>12</v>
          </cell>
          <cell r="I5">
            <v>200</v>
          </cell>
          <cell r="J5">
            <v>2400</v>
          </cell>
          <cell r="K5">
            <v>19.477812499999999</v>
          </cell>
          <cell r="L5">
            <v>1</v>
          </cell>
          <cell r="M5">
            <v>1</v>
          </cell>
          <cell r="O5">
            <v>56096.1</v>
          </cell>
          <cell r="P5">
            <v>10907.574999999999</v>
          </cell>
          <cell r="Q5">
            <v>121541.55</v>
          </cell>
          <cell r="R5">
            <v>9723.3240000000005</v>
          </cell>
          <cell r="S5">
            <v>2916.9972000000002</v>
          </cell>
          <cell r="T5">
            <v>23547.896199999999</v>
          </cell>
          <cell r="U5">
            <v>117.739481</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O6">
            <v>63374.400000000001</v>
          </cell>
          <cell r="P6">
            <v>18484.2</v>
          </cell>
          <cell r="Q6">
            <v>137311.20000000001</v>
          </cell>
          <cell r="R6">
            <v>10984.896000000001</v>
          </cell>
          <cell r="S6">
            <v>3295.4688000000006</v>
          </cell>
          <cell r="T6">
            <v>32764.5648</v>
          </cell>
          <cell r="U6">
            <v>109.215216</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O7">
            <v>73980</v>
          </cell>
          <cell r="P7">
            <v>21577.5</v>
          </cell>
          <cell r="Q7">
            <v>160290</v>
          </cell>
          <cell r="R7">
            <v>12823.2</v>
          </cell>
          <cell r="S7">
            <v>3846.96</v>
          </cell>
          <cell r="T7">
            <v>38247.660000000003</v>
          </cell>
          <cell r="U7">
            <v>127.49220000000001</v>
          </cell>
        </row>
        <row r="8">
          <cell r="A8" t="str">
            <v>Combine (300-349 hp)-325hp</v>
          </cell>
          <cell r="B8" t="str">
            <v>Combine (300-349 hp)-</v>
          </cell>
          <cell r="C8" t="str">
            <v>325hp</v>
          </cell>
          <cell r="D8">
            <v>16.73</v>
          </cell>
          <cell r="E8">
            <v>214178</v>
          </cell>
          <cell r="F8">
            <v>30</v>
          </cell>
          <cell r="G8">
            <v>25</v>
          </cell>
          <cell r="H8">
            <v>8</v>
          </cell>
          <cell r="I8">
            <v>300</v>
          </cell>
          <cell r="J8">
            <v>2400</v>
          </cell>
          <cell r="K8">
            <v>22.310208333333332</v>
          </cell>
          <cell r="L8">
            <v>1</v>
          </cell>
          <cell r="M8">
            <v>1</v>
          </cell>
          <cell r="O8">
            <v>64253.4</v>
          </cell>
          <cell r="P8">
            <v>18740.575000000001</v>
          </cell>
          <cell r="Q8">
            <v>139215.70000000001</v>
          </cell>
          <cell r="R8">
            <v>11137.256000000001</v>
          </cell>
          <cell r="S8">
            <v>3341.1768000000002</v>
          </cell>
          <cell r="T8">
            <v>33219.007800000007</v>
          </cell>
          <cell r="U8">
            <v>110.73002600000002</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O9">
            <v>76140</v>
          </cell>
          <cell r="P9">
            <v>22207.5</v>
          </cell>
          <cell r="Q9">
            <v>164970</v>
          </cell>
          <cell r="R9">
            <v>13197.6</v>
          </cell>
          <cell r="S9">
            <v>3959.28</v>
          </cell>
          <cell r="T9">
            <v>39364.380000000005</v>
          </cell>
          <cell r="U9">
            <v>131.21460000000002</v>
          </cell>
        </row>
        <row r="10">
          <cell r="A10" t="str">
            <v>Combine (350-379 hp)-370hp</v>
          </cell>
          <cell r="B10" t="str">
            <v>Combine (350-379 hp)-</v>
          </cell>
          <cell r="C10" t="str">
            <v>370hp</v>
          </cell>
          <cell r="D10">
            <v>19.04</v>
          </cell>
          <cell r="E10">
            <v>235707</v>
          </cell>
          <cell r="F10">
            <v>30</v>
          </cell>
          <cell r="G10">
            <v>25</v>
          </cell>
          <cell r="H10">
            <v>8</v>
          </cell>
          <cell r="I10">
            <v>300</v>
          </cell>
          <cell r="J10">
            <v>2400</v>
          </cell>
          <cell r="K10">
            <v>24.552812500000002</v>
          </cell>
          <cell r="L10">
            <v>1</v>
          </cell>
          <cell r="M10">
            <v>1</v>
          </cell>
          <cell r="O10">
            <v>70712.100000000006</v>
          </cell>
          <cell r="P10">
            <v>20624.362499999999</v>
          </cell>
          <cell r="Q10">
            <v>153209.54999999999</v>
          </cell>
          <cell r="R10">
            <v>12256.763999999999</v>
          </cell>
          <cell r="S10">
            <v>3677.0291999999999</v>
          </cell>
          <cell r="T10">
            <v>36558.155700000003</v>
          </cell>
          <cell r="U10">
            <v>121.86051900000001</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O11">
            <v>85927.8</v>
          </cell>
          <cell r="P11">
            <v>25062.275000000001</v>
          </cell>
          <cell r="Q11">
            <v>186176.9</v>
          </cell>
          <cell r="R11">
            <v>14894.152</v>
          </cell>
          <cell r="S11">
            <v>4468.2456000000002</v>
          </cell>
          <cell r="T11">
            <v>44424.672600000005</v>
          </cell>
          <cell r="U11">
            <v>148.08224200000001</v>
          </cell>
        </row>
        <row r="12">
          <cell r="A12" t="str">
            <v>Tractor ( 40-59 hp)-2WD 50</v>
          </cell>
          <cell r="B12" t="str">
            <v>Tractor ( 40-59 hp)-</v>
          </cell>
          <cell r="C12" t="str">
            <v>2WD 50</v>
          </cell>
          <cell r="D12">
            <v>2.5735999999999999</v>
          </cell>
          <cell r="E12">
            <v>27788</v>
          </cell>
          <cell r="F12">
            <v>20</v>
          </cell>
          <cell r="G12">
            <v>75</v>
          </cell>
          <cell r="H12">
            <v>14</v>
          </cell>
          <cell r="I12">
            <v>600</v>
          </cell>
          <cell r="J12">
            <v>8400</v>
          </cell>
          <cell r="K12">
            <v>2.4810714285714286</v>
          </cell>
          <cell r="L12">
            <v>1</v>
          </cell>
          <cell r="M12">
            <v>7.0000000000000001E-3</v>
          </cell>
          <cell r="N12">
            <v>2</v>
          </cell>
          <cell r="O12">
            <v>5557.6</v>
          </cell>
          <cell r="P12">
            <v>1587.8857142857144</v>
          </cell>
          <cell r="Q12">
            <v>16672.8</v>
          </cell>
          <cell r="R12">
            <v>1333.8240000000001</v>
          </cell>
          <cell r="S12">
            <v>400.1472</v>
          </cell>
          <cell r="T12">
            <v>3321.8569142857141</v>
          </cell>
          <cell r="U12">
            <v>5.5364281904761903</v>
          </cell>
        </row>
        <row r="13">
          <cell r="A13" t="str">
            <v>Tractor ( 60-89 hp)-2WD 75</v>
          </cell>
          <cell r="B13" t="str">
            <v>Tractor ( 60-89 hp)-</v>
          </cell>
          <cell r="C13" t="str">
            <v>2WD 75</v>
          </cell>
          <cell r="D13">
            <v>3.8603999999999998</v>
          </cell>
          <cell r="E13">
            <v>37673</v>
          </cell>
          <cell r="F13">
            <v>20</v>
          </cell>
          <cell r="G13">
            <v>75</v>
          </cell>
          <cell r="H13">
            <v>14</v>
          </cell>
          <cell r="I13">
            <v>600</v>
          </cell>
          <cell r="J13">
            <v>8400</v>
          </cell>
          <cell r="K13">
            <v>3.3636607142857144</v>
          </cell>
          <cell r="L13">
            <v>1</v>
          </cell>
          <cell r="M13">
            <v>7.0000000000000001E-3</v>
          </cell>
          <cell r="N13">
            <v>2</v>
          </cell>
          <cell r="O13">
            <v>7534.6</v>
          </cell>
          <cell r="P13">
            <v>2152.7428571428572</v>
          </cell>
          <cell r="Q13">
            <v>22603.8</v>
          </cell>
          <cell r="R13">
            <v>1808.3040000000001</v>
          </cell>
          <cell r="S13">
            <v>542.49120000000005</v>
          </cell>
          <cell r="T13">
            <v>4503.5380571428577</v>
          </cell>
          <cell r="U13">
            <v>7.5058967619047632</v>
          </cell>
        </row>
        <row r="14">
          <cell r="A14" t="str">
            <v>Tractor ( 90-119 hp)-2WD 105</v>
          </cell>
          <cell r="B14" t="str">
            <v>Tractor ( 90-119 hp)-</v>
          </cell>
          <cell r="C14" t="str">
            <v>2WD 105</v>
          </cell>
          <cell r="D14">
            <v>5.4046000000000003</v>
          </cell>
          <cell r="E14">
            <v>55050</v>
          </cell>
          <cell r="F14">
            <v>20</v>
          </cell>
          <cell r="G14">
            <v>60</v>
          </cell>
          <cell r="H14">
            <v>14</v>
          </cell>
          <cell r="I14">
            <v>600</v>
          </cell>
          <cell r="J14">
            <v>8400</v>
          </cell>
          <cell r="K14">
            <v>3.9321428571428569</v>
          </cell>
          <cell r="L14">
            <v>1</v>
          </cell>
          <cell r="M14">
            <v>7.0000000000000001E-3</v>
          </cell>
          <cell r="N14">
            <v>2</v>
          </cell>
          <cell r="O14">
            <v>11010</v>
          </cell>
          <cell r="P14">
            <v>3145.7142857142858</v>
          </cell>
          <cell r="Q14">
            <v>33030</v>
          </cell>
          <cell r="R14">
            <v>2642.4</v>
          </cell>
          <cell r="S14">
            <v>792.72</v>
          </cell>
          <cell r="T14">
            <v>6580.8342857142852</v>
          </cell>
          <cell r="U14">
            <v>10.968057142857141</v>
          </cell>
        </row>
        <row r="15">
          <cell r="A15" t="str">
            <v>Tractor (120-139 hp)-2WD 130</v>
          </cell>
          <cell r="B15" t="str">
            <v>Tractor (120-139 hp)-</v>
          </cell>
          <cell r="C15" t="str">
            <v>2WD 130</v>
          </cell>
          <cell r="D15">
            <v>6.6913999999999998</v>
          </cell>
          <cell r="E15">
            <v>72389</v>
          </cell>
          <cell r="F15">
            <v>20</v>
          </cell>
          <cell r="G15">
            <v>60</v>
          </cell>
          <cell r="H15">
            <v>14</v>
          </cell>
          <cell r="I15">
            <v>600</v>
          </cell>
          <cell r="J15">
            <v>8400</v>
          </cell>
          <cell r="K15">
            <v>5.1706428571428571</v>
          </cell>
          <cell r="L15">
            <v>1</v>
          </cell>
          <cell r="M15">
            <v>7.0000000000000001E-3</v>
          </cell>
          <cell r="N15">
            <v>2</v>
          </cell>
          <cell r="O15">
            <v>14477.8</v>
          </cell>
          <cell r="P15">
            <v>4136.5142857142855</v>
          </cell>
          <cell r="Q15">
            <v>43433.4</v>
          </cell>
          <cell r="R15">
            <v>3474.672</v>
          </cell>
          <cell r="S15">
            <v>1042.4016000000001</v>
          </cell>
          <cell r="T15">
            <v>8653.5878857142852</v>
          </cell>
          <cell r="U15">
            <v>14.422646476190476</v>
          </cell>
        </row>
        <row r="16">
          <cell r="A16" t="str">
            <v>Tractor (140-159 hp)-2WD 150</v>
          </cell>
          <cell r="B16" t="str">
            <v>Tractor (140-159 hp)-</v>
          </cell>
          <cell r="C16" t="str">
            <v>2WD 150</v>
          </cell>
          <cell r="D16">
            <v>7.7209000000000003</v>
          </cell>
          <cell r="E16">
            <v>83238</v>
          </cell>
          <cell r="F16">
            <v>20</v>
          </cell>
          <cell r="G16">
            <v>60</v>
          </cell>
          <cell r="H16">
            <v>14</v>
          </cell>
          <cell r="I16">
            <v>600</v>
          </cell>
          <cell r="J16">
            <v>8400</v>
          </cell>
          <cell r="K16">
            <v>5.9455714285714292</v>
          </cell>
          <cell r="L16">
            <v>1</v>
          </cell>
          <cell r="M16">
            <v>7.0000000000000001E-3</v>
          </cell>
          <cell r="N16">
            <v>2</v>
          </cell>
          <cell r="O16">
            <v>16647.599999999999</v>
          </cell>
          <cell r="P16">
            <v>4756.4571428571426</v>
          </cell>
          <cell r="Q16">
            <v>49942.8</v>
          </cell>
          <cell r="R16">
            <v>3995.4240000000004</v>
          </cell>
          <cell r="S16">
            <v>1198.6272000000001</v>
          </cell>
          <cell r="T16">
            <v>9950.5083428571434</v>
          </cell>
          <cell r="U16">
            <v>16.584180571428572</v>
          </cell>
        </row>
        <row r="17">
          <cell r="A17" t="str">
            <v>Tractor (140-159 hp)-MFWD 150</v>
          </cell>
          <cell r="B17" t="str">
            <v>Tractor (140-159 hp)-</v>
          </cell>
          <cell r="C17" t="str">
            <v>MFWD 150</v>
          </cell>
          <cell r="D17">
            <v>7.7209000000000003</v>
          </cell>
          <cell r="E17">
            <v>99584</v>
          </cell>
          <cell r="F17">
            <v>20</v>
          </cell>
          <cell r="G17">
            <v>60</v>
          </cell>
          <cell r="H17">
            <v>14</v>
          </cell>
          <cell r="I17">
            <v>600</v>
          </cell>
          <cell r="J17">
            <v>8400</v>
          </cell>
          <cell r="K17">
            <v>7.113142857142857</v>
          </cell>
          <cell r="L17">
            <v>1</v>
          </cell>
          <cell r="M17">
            <v>3.0000000000000001E-3</v>
          </cell>
          <cell r="N17">
            <v>2</v>
          </cell>
          <cell r="O17">
            <v>19916.8</v>
          </cell>
          <cell r="P17">
            <v>5690.5142857142855</v>
          </cell>
          <cell r="Q17">
            <v>59750.400000000001</v>
          </cell>
          <cell r="R17">
            <v>4780.0320000000002</v>
          </cell>
          <cell r="S17">
            <v>1434.0096000000001</v>
          </cell>
          <cell r="T17">
            <v>11904.555885714286</v>
          </cell>
          <cell r="U17">
            <v>19.840926476190475</v>
          </cell>
        </row>
        <row r="18">
          <cell r="A18" t="str">
            <v>Tractor (160-179 hp)-2WD 170</v>
          </cell>
          <cell r="B18" t="str">
            <v>Tractor (160-179 hp)-</v>
          </cell>
          <cell r="C18" t="str">
            <v>2WD 170</v>
          </cell>
          <cell r="D18">
            <v>8.7502999999999993</v>
          </cell>
          <cell r="E18">
            <v>92346</v>
          </cell>
          <cell r="F18">
            <v>20</v>
          </cell>
          <cell r="G18">
            <v>60</v>
          </cell>
          <cell r="H18">
            <v>14</v>
          </cell>
          <cell r="I18">
            <v>600</v>
          </cell>
          <cell r="J18">
            <v>8400</v>
          </cell>
          <cell r="K18">
            <v>6.5961428571428566</v>
          </cell>
          <cell r="L18">
            <v>1</v>
          </cell>
          <cell r="M18">
            <v>7.0000000000000001E-3</v>
          </cell>
          <cell r="N18">
            <v>2</v>
          </cell>
          <cell r="O18">
            <v>18469.2</v>
          </cell>
          <cell r="P18">
            <v>5276.9142857142861</v>
          </cell>
          <cell r="Q18">
            <v>55407.6</v>
          </cell>
          <cell r="R18">
            <v>4432.6080000000002</v>
          </cell>
          <cell r="S18">
            <v>1329.7824000000001</v>
          </cell>
          <cell r="T18">
            <v>11039.304685714287</v>
          </cell>
          <cell r="U18">
            <v>18.398841142857144</v>
          </cell>
        </row>
        <row r="19">
          <cell r="A19" t="str">
            <v>Tractor (160-179 hp)-MFWD 170</v>
          </cell>
          <cell r="B19" t="str">
            <v>Tractor (160-179 hp)-</v>
          </cell>
          <cell r="C19" t="str">
            <v>MFWD 170</v>
          </cell>
          <cell r="D19">
            <v>8.7502999999999993</v>
          </cell>
          <cell r="E19">
            <v>114517</v>
          </cell>
          <cell r="F19">
            <v>20</v>
          </cell>
          <cell r="G19">
            <v>60</v>
          </cell>
          <cell r="H19">
            <v>14</v>
          </cell>
          <cell r="I19">
            <v>600</v>
          </cell>
          <cell r="J19">
            <v>8400</v>
          </cell>
          <cell r="K19">
            <v>8.179785714285714</v>
          </cell>
          <cell r="L19">
            <v>1</v>
          </cell>
          <cell r="M19">
            <v>3.0000000000000001E-3</v>
          </cell>
          <cell r="N19">
            <v>2</v>
          </cell>
          <cell r="O19">
            <v>22903.4</v>
          </cell>
          <cell r="P19">
            <v>6543.8285714285721</v>
          </cell>
          <cell r="Q19">
            <v>68710.2</v>
          </cell>
          <cell r="R19">
            <v>5496.8159999999998</v>
          </cell>
          <cell r="S19">
            <v>1649.0447999999999</v>
          </cell>
          <cell r="T19">
            <v>13689.689371428572</v>
          </cell>
          <cell r="U19">
            <v>22.816148952380953</v>
          </cell>
        </row>
        <row r="20">
          <cell r="A20" t="str">
            <v>Tractor (160-199 hp)-Track 180</v>
          </cell>
          <cell r="B20" t="str">
            <v>Tractor (160-199 hp)-</v>
          </cell>
          <cell r="C20" t="str">
            <v>Track 180</v>
          </cell>
          <cell r="D20">
            <v>9.2651000000000003</v>
          </cell>
          <cell r="E20">
            <v>133374</v>
          </cell>
          <cell r="F20">
            <v>20</v>
          </cell>
          <cell r="G20">
            <v>60</v>
          </cell>
          <cell r="H20">
            <v>14</v>
          </cell>
          <cell r="I20">
            <v>600</v>
          </cell>
          <cell r="J20">
            <v>8400</v>
          </cell>
          <cell r="K20">
            <v>9.5267142857142844</v>
          </cell>
          <cell r="L20">
            <v>1</v>
          </cell>
          <cell r="M20">
            <v>3.0000000000000001E-3</v>
          </cell>
          <cell r="N20">
            <v>2</v>
          </cell>
          <cell r="O20">
            <v>26674.799999999999</v>
          </cell>
          <cell r="P20">
            <v>7621.3714285714286</v>
          </cell>
          <cell r="Q20">
            <v>80024.399999999994</v>
          </cell>
          <cell r="R20">
            <v>6401.9519999999993</v>
          </cell>
          <cell r="S20">
            <v>1920.5855999999999</v>
          </cell>
          <cell r="T20">
            <v>15943.909028571428</v>
          </cell>
          <cell r="U20">
            <v>26.573181714285713</v>
          </cell>
        </row>
        <row r="21">
          <cell r="A21" t="str">
            <v>Tractor (180-199 hp)-2WD 190</v>
          </cell>
          <cell r="B21" t="str">
            <v>Tractor (180-199 hp)-</v>
          </cell>
          <cell r="C21" t="str">
            <v>2WD 190</v>
          </cell>
          <cell r="D21">
            <v>9.7797999999999998</v>
          </cell>
          <cell r="E21">
            <v>107634</v>
          </cell>
          <cell r="F21">
            <v>20</v>
          </cell>
          <cell r="G21">
            <v>60</v>
          </cell>
          <cell r="H21">
            <v>14</v>
          </cell>
          <cell r="I21">
            <v>600</v>
          </cell>
          <cell r="J21">
            <v>8400</v>
          </cell>
          <cell r="K21">
            <v>7.6881428571428572</v>
          </cell>
          <cell r="L21">
            <v>1</v>
          </cell>
          <cell r="M21">
            <v>7.0000000000000001E-3</v>
          </cell>
          <cell r="N21">
            <v>2</v>
          </cell>
          <cell r="O21">
            <v>21526.799999999999</v>
          </cell>
          <cell r="P21">
            <v>6150.5142857142855</v>
          </cell>
          <cell r="Q21">
            <v>64580.4</v>
          </cell>
          <cell r="R21">
            <v>5166.4319999999998</v>
          </cell>
          <cell r="S21">
            <v>1549.9296000000002</v>
          </cell>
          <cell r="T21">
            <v>12866.875885714286</v>
          </cell>
          <cell r="U21">
            <v>21.444793142857144</v>
          </cell>
        </row>
        <row r="22">
          <cell r="A22" t="str">
            <v>Tractor (180-199 hp)-MFWD 190</v>
          </cell>
          <cell r="B22" t="str">
            <v>Tractor (180-199 hp)-</v>
          </cell>
          <cell r="C22" t="str">
            <v>MFWD 190</v>
          </cell>
          <cell r="D22">
            <v>9.7797999999999998</v>
          </cell>
          <cell r="E22">
            <v>120623</v>
          </cell>
          <cell r="F22">
            <v>20</v>
          </cell>
          <cell r="G22">
            <v>60</v>
          </cell>
          <cell r="H22">
            <v>14</v>
          </cell>
          <cell r="I22">
            <v>600</v>
          </cell>
          <cell r="J22">
            <v>8400</v>
          </cell>
          <cell r="K22">
            <v>8.6159285714285723</v>
          </cell>
          <cell r="L22">
            <v>1</v>
          </cell>
          <cell r="M22">
            <v>3.0000000000000001E-3</v>
          </cell>
          <cell r="N22">
            <v>2</v>
          </cell>
          <cell r="O22">
            <v>24124.6</v>
          </cell>
          <cell r="P22">
            <v>6892.7428571428563</v>
          </cell>
          <cell r="Q22">
            <v>72373.8</v>
          </cell>
          <cell r="R22">
            <v>5789.9040000000005</v>
          </cell>
          <cell r="S22">
            <v>1736.9712000000002</v>
          </cell>
          <cell r="T22">
            <v>14419.618057142856</v>
          </cell>
          <cell r="U22">
            <v>24.032696761904759</v>
          </cell>
        </row>
        <row r="23">
          <cell r="A23" t="str">
            <v>Tractor (200-249 hp)-4WD 225</v>
          </cell>
          <cell r="B23" t="str">
            <v>Tractor (200-249 hp)-</v>
          </cell>
          <cell r="C23" t="str">
            <v>4WD 225</v>
          </cell>
          <cell r="D23">
            <v>11.581300000000001</v>
          </cell>
          <cell r="E23">
            <v>145396</v>
          </cell>
          <cell r="F23">
            <v>20</v>
          </cell>
          <cell r="G23">
            <v>60</v>
          </cell>
          <cell r="H23">
            <v>14</v>
          </cell>
          <cell r="I23">
            <v>600</v>
          </cell>
          <cell r="J23">
            <v>8400</v>
          </cell>
          <cell r="K23">
            <v>10.385428571428573</v>
          </cell>
          <cell r="L23">
            <v>1</v>
          </cell>
          <cell r="M23">
            <v>3.0000000000000001E-3</v>
          </cell>
          <cell r="N23">
            <v>2</v>
          </cell>
          <cell r="O23">
            <v>29079.200000000001</v>
          </cell>
          <cell r="P23">
            <v>8308.3428571428576</v>
          </cell>
          <cell r="Q23">
            <v>87237.6</v>
          </cell>
          <cell r="R23">
            <v>6979.0080000000007</v>
          </cell>
          <cell r="S23">
            <v>2093.7024000000001</v>
          </cell>
          <cell r="T23">
            <v>17381.053257142856</v>
          </cell>
          <cell r="U23">
            <v>28.968422095238093</v>
          </cell>
        </row>
        <row r="24">
          <cell r="A24" t="str">
            <v>Tractor (200-249 hp)-MFWD 225</v>
          </cell>
          <cell r="B24" t="str">
            <v>Tractor (200-249 hp)-</v>
          </cell>
          <cell r="C24" t="str">
            <v>MFWD 225</v>
          </cell>
          <cell r="D24">
            <v>11.581300000000001</v>
          </cell>
          <cell r="E24">
            <v>128077</v>
          </cell>
          <cell r="F24">
            <v>20</v>
          </cell>
          <cell r="G24">
            <v>60</v>
          </cell>
          <cell r="H24">
            <v>14</v>
          </cell>
          <cell r="I24">
            <v>600</v>
          </cell>
          <cell r="J24">
            <v>8400</v>
          </cell>
          <cell r="K24">
            <v>9.148357142857142</v>
          </cell>
          <cell r="L24">
            <v>1</v>
          </cell>
          <cell r="M24">
            <v>3.0000000000000001E-3</v>
          </cell>
          <cell r="N24">
            <v>2</v>
          </cell>
          <cell r="O24">
            <v>25615.4</v>
          </cell>
          <cell r="P24">
            <v>7318.6857142857143</v>
          </cell>
          <cell r="Q24">
            <v>76846.2</v>
          </cell>
          <cell r="R24">
            <v>6147.6959999999999</v>
          </cell>
          <cell r="S24">
            <v>1844.3088</v>
          </cell>
          <cell r="T24">
            <v>15310.690514285714</v>
          </cell>
          <cell r="U24">
            <v>25.517817523809523</v>
          </cell>
        </row>
        <row r="25">
          <cell r="A25" t="str">
            <v>Tractor (200-249 hp)-Track 225</v>
          </cell>
          <cell r="B25" t="str">
            <v>Tractor (200-249 hp)-</v>
          </cell>
          <cell r="C25" t="str">
            <v>Track 225</v>
          </cell>
          <cell r="D25">
            <v>11.581300000000001</v>
          </cell>
          <cell r="E25">
            <v>154527</v>
          </cell>
          <cell r="F25">
            <v>20</v>
          </cell>
          <cell r="G25">
            <v>60</v>
          </cell>
          <cell r="H25">
            <v>14</v>
          </cell>
          <cell r="I25">
            <v>600</v>
          </cell>
          <cell r="J25">
            <v>8400</v>
          </cell>
          <cell r="K25">
            <v>11.037642857142856</v>
          </cell>
          <cell r="L25">
            <v>1</v>
          </cell>
          <cell r="M25">
            <v>3.0000000000000001E-3</v>
          </cell>
          <cell r="N25">
            <v>2</v>
          </cell>
          <cell r="O25">
            <v>30905.4</v>
          </cell>
          <cell r="P25">
            <v>8830.1142857142859</v>
          </cell>
          <cell r="Q25">
            <v>92716.2</v>
          </cell>
          <cell r="R25">
            <v>7417.2960000000003</v>
          </cell>
          <cell r="S25">
            <v>2225.1887999999999</v>
          </cell>
          <cell r="T25">
            <v>18472.599085714286</v>
          </cell>
          <cell r="U25">
            <v>30.787665142857144</v>
          </cell>
        </row>
        <row r="26">
          <cell r="A26" t="str">
            <v>Tractor (250-349 hp)-4WD 300</v>
          </cell>
          <cell r="B26" t="str">
            <v>Tractor (250-349 hp)-</v>
          </cell>
          <cell r="C26" t="str">
            <v>4WD 300</v>
          </cell>
          <cell r="D26">
            <v>15.441800000000001</v>
          </cell>
          <cell r="E26">
            <v>153473</v>
          </cell>
          <cell r="F26">
            <v>20</v>
          </cell>
          <cell r="G26">
            <v>60</v>
          </cell>
          <cell r="H26">
            <v>14</v>
          </cell>
          <cell r="I26">
            <v>600</v>
          </cell>
          <cell r="J26">
            <v>8400</v>
          </cell>
          <cell r="K26">
            <v>10.962357142857144</v>
          </cell>
          <cell r="L26">
            <v>1</v>
          </cell>
          <cell r="M26">
            <v>3.0000000000000001E-3</v>
          </cell>
          <cell r="N26">
            <v>2</v>
          </cell>
          <cell r="O26">
            <v>30694.6</v>
          </cell>
          <cell r="P26">
            <v>8769.8857142857141</v>
          </cell>
          <cell r="Q26">
            <v>92083.8</v>
          </cell>
          <cell r="R26">
            <v>7366.7040000000006</v>
          </cell>
          <cell r="S26">
            <v>2210.0111999999999</v>
          </cell>
          <cell r="T26">
            <v>18346.600914285715</v>
          </cell>
          <cell r="U26">
            <v>30.577668190476192</v>
          </cell>
        </row>
        <row r="27">
          <cell r="A27" t="str">
            <v>Tractor (250-349 hp)-Track 300</v>
          </cell>
          <cell r="B27" t="str">
            <v>Tractor (250-349 hp)-</v>
          </cell>
          <cell r="C27" t="str">
            <v>Track 300</v>
          </cell>
          <cell r="D27">
            <v>15.441800000000001</v>
          </cell>
          <cell r="E27">
            <v>182615</v>
          </cell>
          <cell r="F27">
            <v>20</v>
          </cell>
          <cell r="G27">
            <v>60</v>
          </cell>
          <cell r="H27">
            <v>14</v>
          </cell>
          <cell r="I27">
            <v>600</v>
          </cell>
          <cell r="J27">
            <v>8400</v>
          </cell>
          <cell r="K27">
            <v>13.043928571428571</v>
          </cell>
          <cell r="L27">
            <v>1</v>
          </cell>
          <cell r="M27">
            <v>3.0000000000000001E-3</v>
          </cell>
          <cell r="N27">
            <v>2</v>
          </cell>
          <cell r="O27">
            <v>36523</v>
          </cell>
          <cell r="P27">
            <v>10435.142857142857</v>
          </cell>
          <cell r="Q27">
            <v>109569</v>
          </cell>
          <cell r="R27">
            <v>8765.52</v>
          </cell>
          <cell r="S27">
            <v>2629.6559999999999</v>
          </cell>
          <cell r="T27">
            <v>21830.318857142855</v>
          </cell>
          <cell r="U27">
            <v>36.383864761904761</v>
          </cell>
        </row>
        <row r="28">
          <cell r="A28" t="str">
            <v>Tractor (350-449 hp)-4WD 400</v>
          </cell>
          <cell r="B28" t="str">
            <v>Tractor (350-449 hp)-</v>
          </cell>
          <cell r="C28" t="str">
            <v>4WD 400</v>
          </cell>
          <cell r="D28">
            <v>20.588999999999999</v>
          </cell>
          <cell r="E28">
            <v>209363</v>
          </cell>
          <cell r="F28">
            <v>20</v>
          </cell>
          <cell r="G28">
            <v>60</v>
          </cell>
          <cell r="H28">
            <v>14</v>
          </cell>
          <cell r="I28">
            <v>600</v>
          </cell>
          <cell r="J28">
            <v>8400</v>
          </cell>
          <cell r="K28">
            <v>14.954499999999999</v>
          </cell>
          <cell r="L28">
            <v>1</v>
          </cell>
          <cell r="M28">
            <v>3.0000000000000001E-3</v>
          </cell>
          <cell r="N28">
            <v>2</v>
          </cell>
          <cell r="O28">
            <v>41872.6</v>
          </cell>
          <cell r="P28">
            <v>11963.6</v>
          </cell>
          <cell r="Q28">
            <v>125617.8</v>
          </cell>
          <cell r="R28">
            <v>10049.424000000001</v>
          </cell>
          <cell r="S28">
            <v>3014.8272000000002</v>
          </cell>
          <cell r="T28">
            <v>25027.851200000001</v>
          </cell>
          <cell r="U28">
            <v>41.713085333333332</v>
          </cell>
        </row>
        <row r="29">
          <cell r="A29" t="str">
            <v>Tractor (350-449 hp)-Track 400</v>
          </cell>
          <cell r="B29" t="str">
            <v>Tractor (350-449 hp)-</v>
          </cell>
          <cell r="C29" t="str">
            <v>Track 400</v>
          </cell>
          <cell r="D29">
            <v>20.588999999999999</v>
          </cell>
          <cell r="E29">
            <v>228017</v>
          </cell>
          <cell r="F29">
            <v>20</v>
          </cell>
          <cell r="G29">
            <v>60</v>
          </cell>
          <cell r="H29">
            <v>14</v>
          </cell>
          <cell r="I29">
            <v>600</v>
          </cell>
          <cell r="J29">
            <v>8400</v>
          </cell>
          <cell r="K29">
            <v>16.286928571428572</v>
          </cell>
          <cell r="L29">
            <v>1</v>
          </cell>
          <cell r="M29">
            <v>3.0000000000000001E-3</v>
          </cell>
          <cell r="N29">
            <v>2</v>
          </cell>
          <cell r="O29">
            <v>45603.4</v>
          </cell>
          <cell r="P29">
            <v>13029.542857142858</v>
          </cell>
          <cell r="Q29">
            <v>136810.20000000001</v>
          </cell>
          <cell r="R29">
            <v>10944.816000000001</v>
          </cell>
          <cell r="S29">
            <v>3283.4448000000002</v>
          </cell>
          <cell r="T29">
            <v>27257.80365714286</v>
          </cell>
          <cell r="U29">
            <v>45.429672761904769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7" sqref="B17"/>
    </sheetView>
  </sheetViews>
  <sheetFormatPr baseColWidth="10" defaultColWidth="10.6640625" defaultRowHeight="12" x14ac:dyDescent="0"/>
  <cols>
    <col min="1" max="1" width="41.1640625" customWidth="1"/>
    <col min="2" max="2" width="49" customWidth="1"/>
  </cols>
  <sheetData>
    <row r="1" spans="1:2" ht="20" thickBot="1">
      <c r="A1" s="247" t="s">
        <v>662</v>
      </c>
      <c r="B1" s="247" t="s">
        <v>663</v>
      </c>
    </row>
    <row r="2" spans="1:2" ht="13" thickTop="1"/>
  </sheetData>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31"/>
  <sheetViews>
    <sheetView zoomScale="60" zoomScaleNormal="60" zoomScalePageLayoutView="60" workbookViewId="0">
      <selection activeCell="D12" sqref="D12"/>
    </sheetView>
  </sheetViews>
  <sheetFormatPr baseColWidth="10" defaultColWidth="9.1640625" defaultRowHeight="12" x14ac:dyDescent="0"/>
  <cols>
    <col min="1" max="1" width="42" style="128" customWidth="1"/>
    <col min="2" max="2" width="12.33203125" style="128" customWidth="1"/>
    <col min="3" max="3" width="12.1640625" style="152" customWidth="1"/>
    <col min="4" max="4" width="11.33203125" style="153" customWidth="1"/>
    <col min="5" max="5" width="11.6640625" style="153" customWidth="1"/>
    <col min="6" max="6" width="11.1640625" style="153" customWidth="1"/>
    <col min="7" max="7" width="9.83203125" style="128" customWidth="1"/>
    <col min="8" max="9" width="9.1640625" style="128"/>
    <col min="10" max="10" width="46" style="128" customWidth="1"/>
    <col min="11" max="11" width="11.33203125" style="128" bestFit="1" customWidth="1"/>
    <col min="12" max="13" width="10.1640625" style="128" bestFit="1" customWidth="1"/>
    <col min="14" max="14" width="12.5" style="128" bestFit="1" customWidth="1"/>
    <col min="15" max="15" width="11.33203125" style="128" bestFit="1" customWidth="1"/>
    <col min="16" max="16" width="10.1640625" style="128" bestFit="1" customWidth="1"/>
    <col min="17" max="16384" width="9.1640625" style="128"/>
  </cols>
  <sheetData>
    <row r="1" spans="1:8" ht="22">
      <c r="A1" s="545" t="s">
        <v>611</v>
      </c>
      <c r="B1" s="545"/>
      <c r="C1" s="545"/>
      <c r="D1" s="545"/>
      <c r="E1" s="545"/>
      <c r="F1" s="545"/>
      <c r="G1" s="545"/>
    </row>
    <row r="2" spans="1:8" ht="13">
      <c r="A2" s="549"/>
      <c r="B2" s="549"/>
      <c r="C2" s="549"/>
      <c r="D2" s="549"/>
      <c r="E2" s="549"/>
      <c r="F2" s="549"/>
      <c r="G2" s="549"/>
    </row>
    <row r="3" spans="1:8" ht="13">
      <c r="A3" s="129"/>
      <c r="B3" s="129"/>
      <c r="C3" s="130"/>
      <c r="D3" s="131"/>
      <c r="E3" s="131"/>
      <c r="F3" s="131"/>
      <c r="G3" s="145"/>
    </row>
    <row r="4" spans="1:8" ht="15">
      <c r="A4" s="200" t="s">
        <v>610</v>
      </c>
      <c r="B4" s="420">
        <v>12</v>
      </c>
      <c r="C4" s="154" t="s">
        <v>564</v>
      </c>
      <c r="D4" s="131"/>
      <c r="E4" s="546" t="s">
        <v>652</v>
      </c>
      <c r="F4" s="546"/>
      <c r="G4" s="546"/>
    </row>
    <row r="5" spans="1:8" ht="15">
      <c r="A5" s="200" t="s">
        <v>608</v>
      </c>
      <c r="B5" s="446">
        <v>75</v>
      </c>
      <c r="C5" s="130"/>
      <c r="D5" s="131"/>
      <c r="E5" s="131"/>
      <c r="F5" s="131"/>
      <c r="G5" s="129"/>
    </row>
    <row r="6" spans="1:8" ht="13">
      <c r="A6" s="200" t="s">
        <v>609</v>
      </c>
      <c r="B6" s="194">
        <f>+B5*sorghum_yield</f>
        <v>900</v>
      </c>
      <c r="C6" s="130"/>
      <c r="D6" s="131"/>
      <c r="E6" s="131"/>
      <c r="F6" s="131"/>
      <c r="G6" s="129"/>
    </row>
    <row r="7" spans="1:8" ht="14" thickBot="1">
      <c r="A7" s="200" t="s">
        <v>553</v>
      </c>
      <c r="B7" s="194">
        <f>+B5*tvc_sorghum</f>
        <v>36699</v>
      </c>
      <c r="C7" s="130"/>
      <c r="D7" s="131"/>
      <c r="E7" s="131"/>
      <c r="F7" s="131"/>
      <c r="G7" s="129"/>
    </row>
    <row r="8" spans="1:8" ht="25">
      <c r="A8" s="133" t="s">
        <v>500</v>
      </c>
      <c r="B8" s="133" t="s">
        <v>501</v>
      </c>
      <c r="C8" s="134" t="s">
        <v>502</v>
      </c>
      <c r="D8" s="135" t="s">
        <v>391</v>
      </c>
      <c r="E8" s="135" t="s">
        <v>503</v>
      </c>
      <c r="F8" s="135" t="str">
        <f>+CONCATENATE("$/",C4)</f>
        <v>$/TON</v>
      </c>
      <c r="G8" s="133" t="s">
        <v>504</v>
      </c>
    </row>
    <row r="9" spans="1:8" ht="15">
      <c r="A9" s="129" t="s">
        <v>505</v>
      </c>
      <c r="B9" s="129" t="s">
        <v>506</v>
      </c>
      <c r="C9" s="288">
        <v>150</v>
      </c>
      <c r="D9" s="419">
        <v>9.1999999999999998E-2</v>
      </c>
      <c r="E9" s="131">
        <f>+D9*C9</f>
        <v>13.799999999999999</v>
      </c>
      <c r="F9" s="131">
        <f>+E9/sorghum_yield</f>
        <v>1.1499999999999999</v>
      </c>
      <c r="G9" s="132"/>
      <c r="H9" s="136"/>
    </row>
    <row r="10" spans="1:8" ht="15">
      <c r="A10" s="154" t="s">
        <v>673</v>
      </c>
      <c r="B10" s="129" t="s">
        <v>507</v>
      </c>
      <c r="C10" s="288">
        <v>0.5</v>
      </c>
      <c r="D10" s="419">
        <v>35</v>
      </c>
      <c r="E10" s="131">
        <f>+D10*C10</f>
        <v>17.5</v>
      </c>
      <c r="F10" s="131">
        <f>+E10/sorghum_yield</f>
        <v>1.4583333333333333</v>
      </c>
      <c r="G10" s="137"/>
    </row>
    <row r="11" spans="1:8" ht="15">
      <c r="A11" s="129" t="s">
        <v>508</v>
      </c>
      <c r="B11" s="129"/>
      <c r="C11" s="288"/>
      <c r="D11" s="419"/>
      <c r="E11" s="131"/>
      <c r="F11" s="131"/>
      <c r="G11" s="138"/>
    </row>
    <row r="12" spans="1:8" ht="15">
      <c r="A12" s="129" t="s">
        <v>509</v>
      </c>
      <c r="B12" s="129" t="s">
        <v>510</v>
      </c>
      <c r="C12" s="288">
        <v>200</v>
      </c>
      <c r="D12" s="438">
        <v>0.55000000000000004</v>
      </c>
      <c r="E12" s="131">
        <f t="shared" ref="E12:E16" si="0">+D12*C12</f>
        <v>110.00000000000001</v>
      </c>
      <c r="F12" s="131">
        <f>+E12/sorghum_yield</f>
        <v>9.1666666666666679</v>
      </c>
      <c r="G12" s="132"/>
    </row>
    <row r="13" spans="1:8" ht="15">
      <c r="A13" s="129" t="s">
        <v>511</v>
      </c>
      <c r="B13" s="129" t="s">
        <v>510</v>
      </c>
      <c r="C13" s="288">
        <v>90</v>
      </c>
      <c r="D13" s="419">
        <v>0.4</v>
      </c>
      <c r="E13" s="131">
        <f t="shared" si="0"/>
        <v>36</v>
      </c>
      <c r="F13" s="131">
        <f>+E13/sorghum_yield</f>
        <v>3</v>
      </c>
      <c r="G13" s="137"/>
    </row>
    <row r="14" spans="1:8" ht="15">
      <c r="A14" s="129" t="s">
        <v>512</v>
      </c>
      <c r="B14" s="129" t="s">
        <v>510</v>
      </c>
      <c r="C14" s="288">
        <v>125</v>
      </c>
      <c r="D14" s="419">
        <v>0.6</v>
      </c>
      <c r="E14" s="131">
        <f t="shared" si="0"/>
        <v>75</v>
      </c>
      <c r="F14" s="131">
        <f>+E14/sorghum_yield</f>
        <v>6.25</v>
      </c>
      <c r="G14" s="137"/>
    </row>
    <row r="15" spans="1:8" ht="15">
      <c r="A15" s="129" t="s">
        <v>513</v>
      </c>
      <c r="B15" s="129" t="s">
        <v>514</v>
      </c>
      <c r="C15" s="288">
        <v>1</v>
      </c>
      <c r="D15" s="419">
        <v>14.59</v>
      </c>
      <c r="E15" s="131">
        <f t="shared" si="0"/>
        <v>14.59</v>
      </c>
      <c r="F15" s="131">
        <f>+E15/sorghum_yield</f>
        <v>1.2158333333333333</v>
      </c>
      <c r="G15" s="137"/>
    </row>
    <row r="16" spans="1:8" ht="15">
      <c r="A16" s="129" t="s">
        <v>515</v>
      </c>
      <c r="B16" s="129" t="s">
        <v>514</v>
      </c>
      <c r="C16" s="288">
        <v>1</v>
      </c>
      <c r="D16" s="419">
        <v>6.53</v>
      </c>
      <c r="E16" s="131">
        <f t="shared" si="0"/>
        <v>6.53</v>
      </c>
      <c r="F16" s="131">
        <f>+E16/sorghum_yield</f>
        <v>0.54416666666666669</v>
      </c>
      <c r="G16" s="137"/>
    </row>
    <row r="17" spans="1:7" ht="15">
      <c r="A17" s="139" t="s">
        <v>516</v>
      </c>
      <c r="B17" s="129"/>
      <c r="C17" s="288"/>
      <c r="D17" s="419"/>
      <c r="E17" s="131"/>
      <c r="F17" s="131"/>
      <c r="G17" s="138"/>
    </row>
    <row r="18" spans="1:7" ht="15">
      <c r="A18" s="129" t="s">
        <v>517</v>
      </c>
      <c r="B18" s="129" t="s">
        <v>518</v>
      </c>
      <c r="C18" s="288">
        <v>3.73</v>
      </c>
      <c r="D18" s="419">
        <v>4</v>
      </c>
      <c r="E18" s="131">
        <f t="shared" ref="E18:E22" si="1">+D18*C18</f>
        <v>14.92</v>
      </c>
      <c r="F18" s="131">
        <f t="shared" ref="F18:F23" si="2">+E18/sorghum_yield</f>
        <v>1.2433333333333334</v>
      </c>
      <c r="G18" s="132"/>
    </row>
    <row r="19" spans="1:7" ht="15">
      <c r="A19" s="129" t="s">
        <v>519</v>
      </c>
      <c r="B19" s="129" t="s">
        <v>514</v>
      </c>
      <c r="C19" s="288">
        <v>1</v>
      </c>
      <c r="D19" s="419">
        <v>6.48</v>
      </c>
      <c r="E19" s="131">
        <f t="shared" si="1"/>
        <v>6.48</v>
      </c>
      <c r="F19" s="131">
        <f t="shared" si="2"/>
        <v>0.54</v>
      </c>
      <c r="G19" s="137"/>
    </row>
    <row r="20" spans="1:7" ht="15">
      <c r="A20" s="129" t="s">
        <v>520</v>
      </c>
      <c r="B20" s="129" t="s">
        <v>521</v>
      </c>
      <c r="C20" s="288">
        <v>5</v>
      </c>
      <c r="D20" s="419">
        <v>16.5</v>
      </c>
      <c r="E20" s="131">
        <f t="shared" si="1"/>
        <v>82.5</v>
      </c>
      <c r="F20" s="131">
        <f t="shared" si="2"/>
        <v>6.875</v>
      </c>
      <c r="G20" s="137"/>
    </row>
    <row r="21" spans="1:7" ht="15">
      <c r="A21" s="129" t="s">
        <v>522</v>
      </c>
      <c r="B21" s="129" t="s">
        <v>514</v>
      </c>
      <c r="C21" s="288">
        <v>1</v>
      </c>
      <c r="D21" s="419">
        <v>9</v>
      </c>
      <c r="E21" s="131">
        <f t="shared" si="1"/>
        <v>9</v>
      </c>
      <c r="F21" s="131">
        <f t="shared" si="2"/>
        <v>0.75</v>
      </c>
      <c r="G21" s="137"/>
    </row>
    <row r="22" spans="1:7" ht="15">
      <c r="A22" s="129" t="s">
        <v>523</v>
      </c>
      <c r="B22" s="129" t="s">
        <v>514</v>
      </c>
      <c r="C22" s="288">
        <v>1</v>
      </c>
      <c r="D22" s="419">
        <v>0</v>
      </c>
      <c r="E22" s="131">
        <f t="shared" si="1"/>
        <v>0</v>
      </c>
      <c r="F22" s="131">
        <f t="shared" si="2"/>
        <v>0</v>
      </c>
      <c r="G22" s="137"/>
    </row>
    <row r="23" spans="1:7" ht="13">
      <c r="A23" s="141" t="s">
        <v>524</v>
      </c>
      <c r="B23" s="141"/>
      <c r="C23" s="142"/>
      <c r="D23" s="143"/>
      <c r="E23" s="143">
        <f>+SUM(E9:E22)</f>
        <v>386.32</v>
      </c>
      <c r="F23" s="143">
        <f t="shared" si="2"/>
        <v>32.193333333333335</v>
      </c>
      <c r="G23" s="141"/>
    </row>
    <row r="24" spans="1:7" ht="13">
      <c r="A24" s="144" t="s">
        <v>525</v>
      </c>
      <c r="B24" s="129"/>
      <c r="C24" s="131"/>
      <c r="D24" s="140"/>
      <c r="E24" s="131"/>
      <c r="F24" s="131"/>
      <c r="G24" s="138"/>
    </row>
    <row r="25" spans="1:7" ht="13">
      <c r="A25" s="139" t="s">
        <v>535</v>
      </c>
      <c r="B25" s="129"/>
      <c r="C25" s="130"/>
      <c r="D25" s="131"/>
      <c r="E25" s="131"/>
      <c r="F25" s="131"/>
      <c r="G25" s="138"/>
    </row>
    <row r="26" spans="1:7" ht="15">
      <c r="A26" s="129" t="s">
        <v>517</v>
      </c>
      <c r="B26" s="129" t="s">
        <v>518</v>
      </c>
      <c r="C26" s="288">
        <v>8</v>
      </c>
      <c r="D26" s="419">
        <v>3.5</v>
      </c>
      <c r="E26" s="131">
        <f>+D26*C26</f>
        <v>28</v>
      </c>
      <c r="F26" s="131">
        <f>+E26/sorghum_yield</f>
        <v>2.3333333333333335</v>
      </c>
      <c r="G26" s="132"/>
    </row>
    <row r="27" spans="1:7" ht="15">
      <c r="A27" s="129" t="s">
        <v>519</v>
      </c>
      <c r="B27" s="129" t="s">
        <v>514</v>
      </c>
      <c r="C27" s="288">
        <v>1</v>
      </c>
      <c r="D27" s="419">
        <v>75</v>
      </c>
      <c r="E27" s="131">
        <f>+D27*C27</f>
        <v>75</v>
      </c>
      <c r="F27" s="131">
        <f>+E27/sorghum_yield</f>
        <v>6.25</v>
      </c>
      <c r="G27" s="137"/>
    </row>
    <row r="28" spans="1:7" ht="15">
      <c r="A28" s="145" t="s">
        <v>526</v>
      </c>
      <c r="B28" s="145" t="s">
        <v>507</v>
      </c>
      <c r="C28" s="288">
        <v>0</v>
      </c>
      <c r="D28" s="419">
        <v>10.5</v>
      </c>
      <c r="E28" s="147">
        <f t="shared" ref="E28:E29" si="3">+D28*C28</f>
        <v>0</v>
      </c>
      <c r="F28" s="131">
        <f>+E28/sorghum_yield</f>
        <v>0</v>
      </c>
      <c r="G28" s="132"/>
    </row>
    <row r="29" spans="1:7" ht="15">
      <c r="A29" s="148" t="s">
        <v>527</v>
      </c>
      <c r="B29" s="148" t="s">
        <v>507</v>
      </c>
      <c r="C29" s="288">
        <v>0</v>
      </c>
      <c r="D29" s="419">
        <v>8</v>
      </c>
      <c r="E29" s="147">
        <f t="shared" si="3"/>
        <v>0</v>
      </c>
      <c r="F29" s="147">
        <f>+E29/sorghum_yield</f>
        <v>0</v>
      </c>
      <c r="G29" s="145"/>
    </row>
    <row r="30" spans="1:7" ht="13">
      <c r="A30" s="141" t="s">
        <v>528</v>
      </c>
      <c r="B30" s="141"/>
      <c r="C30" s="142"/>
      <c r="D30" s="143"/>
      <c r="E30" s="143">
        <f>+SUM(E26:E29)</f>
        <v>103</v>
      </c>
      <c r="F30" s="143">
        <f>+SUM(F26:F29)</f>
        <v>8.5833333333333339</v>
      </c>
      <c r="G30" s="141"/>
    </row>
    <row r="31" spans="1:7" ht="20.25" customHeight="1" thickBot="1">
      <c r="A31" s="149" t="s">
        <v>529</v>
      </c>
      <c r="B31" s="149"/>
      <c r="C31" s="150"/>
      <c r="D31" s="151"/>
      <c r="E31" s="151">
        <f>+E30+E23</f>
        <v>489.32</v>
      </c>
      <c r="F31" s="151">
        <f>+E31/sorghum_yield</f>
        <v>40.776666666666664</v>
      </c>
      <c r="G31" s="149"/>
    </row>
  </sheetData>
  <sheetProtection sheet="1" objects="1" scenarios="1"/>
  <mergeCells count="3">
    <mergeCell ref="A1:G1"/>
    <mergeCell ref="A2:G2"/>
    <mergeCell ref="E4:G4"/>
  </mergeCells>
  <phoneticPr fontId="19" type="noConversion"/>
  <hyperlinks>
    <hyperlink ref="E4" location="Main!A38" display="RETURN TO MAIN BUDGET"/>
  </hyperlinks>
  <pageMargins left="0.75" right="0.75" top="0.75" bottom="0.75" header="0.5" footer="0.5"/>
  <headerFooter>
    <oddFooter>&amp;A</oddFooter>
  </headerFooter>
  <extLst>
    <ext xmlns:mx="http://schemas.microsoft.com/office/mac/excel/2008/main" uri="{64002731-A6B0-56B0-2670-7721B7C09600}">
      <mx:PLV Mode="0" OnePage="0" WScale="82"/>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59999389629810485"/>
    <pageSetUpPr fitToPage="1"/>
  </sheetPr>
  <dimension ref="A1:G38"/>
  <sheetViews>
    <sheetView topLeftCell="A10" zoomScale="70" zoomScaleNormal="70" zoomScalePageLayoutView="70" workbookViewId="0">
      <selection activeCell="E35" sqref="E35"/>
    </sheetView>
  </sheetViews>
  <sheetFormatPr baseColWidth="10" defaultColWidth="8.83203125" defaultRowHeight="15" x14ac:dyDescent="0"/>
  <cols>
    <col min="1" max="1" width="38.5" style="156" customWidth="1"/>
    <col min="2" max="2" width="16.5" style="156" customWidth="1"/>
    <col min="3" max="3" width="11.1640625" style="156" customWidth="1"/>
    <col min="4" max="4" width="12.5" style="156" customWidth="1"/>
    <col min="5" max="6" width="13.6640625" style="156" customWidth="1"/>
    <col min="7" max="17" width="8.83203125" style="156"/>
    <col min="18" max="18" width="9.1640625" style="156" customWidth="1"/>
    <col min="19" max="16384" width="8.83203125" style="156"/>
  </cols>
  <sheetData>
    <row r="1" spans="1:6" ht="22">
      <c r="A1" s="545" t="s">
        <v>612</v>
      </c>
      <c r="B1" s="545"/>
      <c r="C1" s="545"/>
      <c r="D1" s="545"/>
      <c r="E1" s="545"/>
      <c r="F1" s="545"/>
    </row>
    <row r="2" spans="1:6" ht="22">
      <c r="A2" s="267"/>
      <c r="B2" s="267"/>
      <c r="C2" s="267"/>
      <c r="D2" s="267"/>
      <c r="E2" s="267"/>
      <c r="F2" s="267"/>
    </row>
    <row r="3" spans="1:6">
      <c r="A3" s="198" t="s">
        <v>557</v>
      </c>
      <c r="B3" s="421">
        <v>10</v>
      </c>
      <c r="C3" s="170"/>
      <c r="D3" s="546" t="s">
        <v>652</v>
      </c>
      <c r="E3" s="546"/>
      <c r="F3" s="546"/>
    </row>
    <row r="4" spans="1:6">
      <c r="A4" s="199" t="s">
        <v>608</v>
      </c>
      <c r="B4" s="422">
        <v>100</v>
      </c>
      <c r="C4" s="170"/>
      <c r="D4" s="170"/>
      <c r="E4" s="170"/>
      <c r="F4" s="170"/>
    </row>
    <row r="5" spans="1:6">
      <c r="A5" s="199" t="s">
        <v>609</v>
      </c>
      <c r="B5" s="197">
        <f>+B4*WINTER_ANNUAL_YIELD</f>
        <v>1000</v>
      </c>
      <c r="C5" s="170"/>
      <c r="D5" s="170"/>
      <c r="E5" s="170"/>
      <c r="F5" s="170"/>
    </row>
    <row r="6" spans="1:6" ht="16" thickBot="1">
      <c r="A6" s="241" t="s">
        <v>553</v>
      </c>
      <c r="B6" s="242">
        <f>+B4*WINTER_ANNUAL_COST</f>
        <v>27621.500000000004</v>
      </c>
      <c r="C6" s="170"/>
      <c r="D6" s="170"/>
      <c r="E6" s="170"/>
      <c r="F6" s="170"/>
    </row>
    <row r="7" spans="1:6" ht="42" customHeight="1" thickBot="1">
      <c r="A7" s="157" t="s">
        <v>24</v>
      </c>
      <c r="B7" s="157" t="s">
        <v>244</v>
      </c>
      <c r="C7" s="455" t="s">
        <v>330</v>
      </c>
      <c r="D7" s="457" t="s">
        <v>331</v>
      </c>
      <c r="E7" s="157" t="s">
        <v>537</v>
      </c>
      <c r="F7" s="157" t="s">
        <v>556</v>
      </c>
    </row>
    <row r="8" spans="1:6" ht="24" customHeight="1">
      <c r="A8" s="553" t="s">
        <v>538</v>
      </c>
      <c r="B8" s="553"/>
      <c r="C8" s="553"/>
      <c r="D8" s="553"/>
      <c r="E8" s="553"/>
      <c r="F8" s="553"/>
    </row>
    <row r="9" spans="1:6">
      <c r="A9" s="158" t="s">
        <v>539</v>
      </c>
      <c r="C9" s="159"/>
    </row>
    <row r="10" spans="1:6">
      <c r="A10" s="453" t="s">
        <v>540</v>
      </c>
      <c r="B10" s="454" t="s">
        <v>541</v>
      </c>
      <c r="C10" s="456">
        <v>0.5</v>
      </c>
      <c r="D10" s="289">
        <v>35</v>
      </c>
      <c r="E10" s="161">
        <f>+D10*C10</f>
        <v>17.5</v>
      </c>
      <c r="F10" s="161">
        <f>+E10/WINTER_ANNUAL_YIELD</f>
        <v>1.75</v>
      </c>
    </row>
    <row r="11" spans="1:6">
      <c r="A11" s="189" t="s">
        <v>509</v>
      </c>
      <c r="B11" s="189" t="s">
        <v>510</v>
      </c>
      <c r="C11" s="456">
        <v>150</v>
      </c>
      <c r="D11" s="438">
        <v>0.55000000000000004</v>
      </c>
      <c r="E11" s="161">
        <f t="shared" ref="E11:E13" si="0">+D11*C11</f>
        <v>82.5</v>
      </c>
      <c r="F11" s="161">
        <f>+E11/WINTER_ANNUAL_YIELD</f>
        <v>8.25</v>
      </c>
    </row>
    <row r="12" spans="1:6">
      <c r="A12" s="189" t="s">
        <v>511</v>
      </c>
      <c r="B12" s="189" t="s">
        <v>510</v>
      </c>
      <c r="C12" s="456">
        <v>50</v>
      </c>
      <c r="D12" s="289">
        <v>0.4</v>
      </c>
      <c r="E12" s="161">
        <f t="shared" si="0"/>
        <v>20</v>
      </c>
      <c r="F12" s="161">
        <f>+E12/WINTER_ANNUAL_YIELD</f>
        <v>2</v>
      </c>
    </row>
    <row r="13" spans="1:6">
      <c r="A13" t="s">
        <v>512</v>
      </c>
      <c r="B13" t="s">
        <v>510</v>
      </c>
      <c r="C13" s="456">
        <v>75</v>
      </c>
      <c r="D13" s="289">
        <v>0.6</v>
      </c>
      <c r="E13" s="161">
        <f t="shared" si="0"/>
        <v>45</v>
      </c>
      <c r="F13" s="161">
        <f>+E13/WINTER_ANNUAL_YIELD</f>
        <v>4.5</v>
      </c>
    </row>
    <row r="14" spans="1:6">
      <c r="A14" s="551" t="s">
        <v>542</v>
      </c>
      <c r="B14" s="551"/>
      <c r="C14" s="551"/>
      <c r="D14" s="551"/>
      <c r="E14" s="551"/>
      <c r="F14" s="161"/>
    </row>
    <row r="15" spans="1:6">
      <c r="A15" s="162" t="s">
        <v>544</v>
      </c>
      <c r="B15" s="156" t="s">
        <v>543</v>
      </c>
      <c r="C15" s="456">
        <v>25</v>
      </c>
      <c r="D15" s="289">
        <v>0.6</v>
      </c>
      <c r="E15" s="163">
        <f t="shared" ref="E15:E20" si="1">+D15*C15</f>
        <v>15</v>
      </c>
      <c r="F15" s="161">
        <f>+E15/WINTER_ANNUAL_YIELD</f>
        <v>1.5</v>
      </c>
    </row>
    <row r="16" spans="1:6">
      <c r="A16" s="162" t="s">
        <v>554</v>
      </c>
      <c r="B16" s="156" t="s">
        <v>543</v>
      </c>
      <c r="C16" s="456">
        <v>0</v>
      </c>
      <c r="D16" s="289"/>
      <c r="E16" s="163">
        <f t="shared" si="1"/>
        <v>0</v>
      </c>
      <c r="F16" s="161">
        <f>+E16/WINTER_ANNUAL_YIELD</f>
        <v>0</v>
      </c>
    </row>
    <row r="17" spans="1:7">
      <c r="A17" s="160" t="s">
        <v>554</v>
      </c>
      <c r="B17" s="156" t="s">
        <v>543</v>
      </c>
      <c r="C17" s="456">
        <v>0</v>
      </c>
      <c r="D17" s="289"/>
      <c r="E17" s="163">
        <f t="shared" si="1"/>
        <v>0</v>
      </c>
      <c r="F17" s="161">
        <f>+E17/WINTER_ANNUAL_YIELD</f>
        <v>0</v>
      </c>
    </row>
    <row r="18" spans="1:7">
      <c r="A18" s="160" t="s">
        <v>554</v>
      </c>
      <c r="B18" s="156" t="s">
        <v>543</v>
      </c>
      <c r="C18" s="456">
        <v>0</v>
      </c>
      <c r="D18" s="289"/>
      <c r="E18" s="163">
        <f t="shared" si="1"/>
        <v>0</v>
      </c>
      <c r="F18" s="161">
        <f>+E18/WINTER_ANNUAL_YIELD</f>
        <v>0</v>
      </c>
    </row>
    <row r="19" spans="1:7">
      <c r="A19" s="551" t="s">
        <v>545</v>
      </c>
      <c r="B19" s="551"/>
      <c r="C19" s="551"/>
      <c r="D19" s="551"/>
      <c r="E19" s="551"/>
      <c r="F19" s="161"/>
    </row>
    <row r="20" spans="1:7">
      <c r="A20" s="156" t="s">
        <v>546</v>
      </c>
      <c r="B20" s="156" t="s">
        <v>547</v>
      </c>
      <c r="C20" s="456">
        <v>3</v>
      </c>
      <c r="D20" s="289">
        <v>7</v>
      </c>
      <c r="E20" s="163">
        <f t="shared" si="1"/>
        <v>21</v>
      </c>
      <c r="F20" s="161">
        <f>+E20/WINTER_ANNUAL_YIELD</f>
        <v>2.1</v>
      </c>
    </row>
    <row r="21" spans="1:7">
      <c r="A21" s="551" t="s">
        <v>549</v>
      </c>
      <c r="B21" s="551"/>
      <c r="C21" s="551"/>
      <c r="D21" s="551"/>
      <c r="E21" s="551"/>
      <c r="F21" s="161"/>
    </row>
    <row r="22" spans="1:7">
      <c r="A22" s="156" t="s">
        <v>548</v>
      </c>
      <c r="B22" s="156" t="s">
        <v>550</v>
      </c>
      <c r="C22" s="456">
        <v>1.49</v>
      </c>
      <c r="D22" s="289">
        <v>3.5</v>
      </c>
      <c r="E22" s="163">
        <f t="shared" ref="E22:E26" si="2">+D22*C22</f>
        <v>5.2149999999999999</v>
      </c>
      <c r="F22" s="161">
        <f>+E22/WINTER_ANNUAL_YIELD</f>
        <v>0.52149999999999996</v>
      </c>
    </row>
    <row r="23" spans="1:7">
      <c r="A23" s="551" t="s">
        <v>551</v>
      </c>
      <c r="B23" s="551"/>
      <c r="C23" s="551"/>
      <c r="D23" s="551"/>
      <c r="E23" s="551"/>
      <c r="F23" s="161"/>
    </row>
    <row r="24" spans="1:7">
      <c r="A24" s="458" t="s">
        <v>708</v>
      </c>
      <c r="B24" s="156" t="s">
        <v>552</v>
      </c>
      <c r="C24" s="456">
        <v>1</v>
      </c>
      <c r="D24" s="289">
        <v>2.12</v>
      </c>
      <c r="E24" s="163">
        <f t="shared" si="2"/>
        <v>2.12</v>
      </c>
      <c r="F24" s="161">
        <f>+E24/WINTER_ANNUAL_YIELD</f>
        <v>0.21200000000000002</v>
      </c>
    </row>
    <row r="25" spans="1:7">
      <c r="A25" s="458" t="s">
        <v>709</v>
      </c>
      <c r="B25" s="156" t="s">
        <v>552</v>
      </c>
      <c r="C25" s="456">
        <v>1</v>
      </c>
      <c r="D25" s="289">
        <v>0.38</v>
      </c>
      <c r="E25" s="163">
        <f t="shared" ref="E25" si="3">+D25*C25</f>
        <v>0.38</v>
      </c>
      <c r="F25" s="161">
        <f>+E25/WINTER_ANNUAL_YIELD</f>
        <v>3.7999999999999999E-2</v>
      </c>
    </row>
    <row r="26" spans="1:7">
      <c r="A26" s="423" t="s">
        <v>693</v>
      </c>
      <c r="B26" s="164" t="s">
        <v>552</v>
      </c>
      <c r="C26" s="456">
        <v>0</v>
      </c>
      <c r="D26" s="289">
        <v>1</v>
      </c>
      <c r="E26" s="165">
        <f t="shared" si="2"/>
        <v>0</v>
      </c>
      <c r="F26" s="161">
        <f>+E26/WINTER_ANNUAL_YIELD</f>
        <v>0</v>
      </c>
    </row>
    <row r="27" spans="1:7" ht="30.75" customHeight="1" thickBot="1">
      <c r="A27" s="552" t="s">
        <v>555</v>
      </c>
      <c r="B27" s="552"/>
      <c r="C27" s="552"/>
      <c r="D27" s="552"/>
      <c r="E27" s="171">
        <f>+SUM(E10:E26)</f>
        <v>208.715</v>
      </c>
      <c r="F27" s="172">
        <f>+E27/WINTER_ANNUAL_YIELD</f>
        <v>20.871500000000001</v>
      </c>
    </row>
    <row r="28" spans="1:7" s="128" customFormat="1" ht="16" thickTop="1">
      <c r="A28" s="173" t="s">
        <v>525</v>
      </c>
      <c r="B28" s="174"/>
      <c r="C28" s="175"/>
      <c r="D28" s="176"/>
      <c r="E28" s="175"/>
      <c r="F28" s="175"/>
      <c r="G28" s="167"/>
    </row>
    <row r="29" spans="1:7" s="128" customFormat="1">
      <c r="A29" s="177" t="s">
        <v>535</v>
      </c>
      <c r="B29" s="174"/>
      <c r="C29" s="178"/>
      <c r="D29" s="175"/>
      <c r="E29" s="175"/>
      <c r="F29" s="175"/>
      <c r="G29" s="167"/>
    </row>
    <row r="30" spans="1:7" s="128" customFormat="1">
      <c r="A30" s="174" t="s">
        <v>517</v>
      </c>
      <c r="B30" s="174" t="s">
        <v>518</v>
      </c>
      <c r="C30" s="288">
        <v>5</v>
      </c>
      <c r="D30" s="419">
        <v>3.5</v>
      </c>
      <c r="E30" s="175">
        <f>+D30*C30</f>
        <v>17.5</v>
      </c>
      <c r="F30" s="179">
        <f t="shared" ref="F30:F35" si="4">+E30/WINTER_ANNUAL_YIELD</f>
        <v>1.75</v>
      </c>
      <c r="G30" s="167"/>
    </row>
    <row r="31" spans="1:7" s="128" customFormat="1">
      <c r="A31" s="174" t="s">
        <v>519</v>
      </c>
      <c r="B31" s="174" t="s">
        <v>514</v>
      </c>
      <c r="C31" s="288">
        <v>1</v>
      </c>
      <c r="D31" s="419">
        <v>50</v>
      </c>
      <c r="E31" s="175">
        <f>+D31*C31</f>
        <v>50</v>
      </c>
      <c r="F31" s="179">
        <f t="shared" si="4"/>
        <v>5</v>
      </c>
      <c r="G31" s="167"/>
    </row>
    <row r="32" spans="1:7" s="128" customFormat="1">
      <c r="A32" s="180" t="s">
        <v>526</v>
      </c>
      <c r="B32" s="180" t="s">
        <v>507</v>
      </c>
      <c r="C32" s="288">
        <v>0</v>
      </c>
      <c r="D32" s="419">
        <v>10.5</v>
      </c>
      <c r="E32" s="181">
        <f t="shared" ref="E32:E33" si="5">+D32*C32</f>
        <v>0</v>
      </c>
      <c r="F32" s="179">
        <f t="shared" si="4"/>
        <v>0</v>
      </c>
      <c r="G32" s="167"/>
    </row>
    <row r="33" spans="1:7" s="128" customFormat="1">
      <c r="A33" s="180" t="s">
        <v>527</v>
      </c>
      <c r="B33" s="180" t="s">
        <v>507</v>
      </c>
      <c r="C33" s="288">
        <v>0</v>
      </c>
      <c r="D33" s="419">
        <v>8</v>
      </c>
      <c r="E33" s="181">
        <f t="shared" si="5"/>
        <v>0</v>
      </c>
      <c r="F33" s="179">
        <f t="shared" si="4"/>
        <v>0</v>
      </c>
      <c r="G33" s="167"/>
    </row>
    <row r="34" spans="1:7" s="128" customFormat="1" ht="16" thickBot="1">
      <c r="A34" s="182" t="s">
        <v>528</v>
      </c>
      <c r="B34" s="182"/>
      <c r="C34" s="183"/>
      <c r="D34" s="184"/>
      <c r="E34" s="184">
        <f>+SUM(E30:E33)</f>
        <v>67.5</v>
      </c>
      <c r="F34" s="185">
        <f t="shared" si="4"/>
        <v>6.75</v>
      </c>
      <c r="G34" s="168"/>
    </row>
    <row r="35" spans="1:7" ht="30" customHeight="1" thickTop="1" thickBot="1">
      <c r="A35" s="552" t="s">
        <v>553</v>
      </c>
      <c r="B35" s="552"/>
      <c r="C35" s="552"/>
      <c r="D35" s="552"/>
      <c r="E35" s="171">
        <f>+E34+TOTAL_OPS_COST</f>
        <v>276.21500000000003</v>
      </c>
      <c r="F35" s="172">
        <f t="shared" si="4"/>
        <v>27.621500000000005</v>
      </c>
      <c r="G35" s="169"/>
    </row>
    <row r="36" spans="1:7" ht="16" thickTop="1">
      <c r="A36" s="166"/>
      <c r="B36" s="166"/>
      <c r="C36" s="166"/>
      <c r="D36" s="166"/>
      <c r="E36" s="166"/>
      <c r="F36" s="166"/>
      <c r="G36" s="166"/>
    </row>
    <row r="37" spans="1:7">
      <c r="A37" s="166"/>
      <c r="B37" s="166"/>
      <c r="C37" s="166"/>
      <c r="D37" s="166"/>
      <c r="E37" s="166"/>
      <c r="F37" s="166"/>
      <c r="G37" s="166"/>
    </row>
    <row r="38" spans="1:7">
      <c r="A38" s="166"/>
      <c r="B38" s="166"/>
      <c r="C38" s="166"/>
      <c r="D38" s="166"/>
      <c r="E38" s="166"/>
      <c r="F38" s="166"/>
      <c r="G38" s="166"/>
    </row>
  </sheetData>
  <sheetProtection sheet="1" objects="1" scenarios="1"/>
  <mergeCells count="9">
    <mergeCell ref="A1:F1"/>
    <mergeCell ref="A23:E23"/>
    <mergeCell ref="A27:D27"/>
    <mergeCell ref="A35:D35"/>
    <mergeCell ref="A8:F8"/>
    <mergeCell ref="A14:E14"/>
    <mergeCell ref="A19:E19"/>
    <mergeCell ref="A21:E21"/>
    <mergeCell ref="D3:F3"/>
  </mergeCells>
  <phoneticPr fontId="19" type="noConversion"/>
  <hyperlinks>
    <hyperlink ref="D3" location="Main!A39" display="RETURN TO MAIN BUDGET"/>
    <hyperlink ref="E3" location="Main!A39" display="Main!A39"/>
    <hyperlink ref="F3" location="Main!A39" display="Main!A39"/>
  </hyperlinks>
  <pageMargins left="0.7" right="0.7" top="0.75" bottom="0.75" header="0.3" footer="0.3"/>
  <headerFooter>
    <oddFooter>&amp;A</oddFooter>
  </headerFooter>
  <legacyDrawingHF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59999389629810485"/>
    <pageSetUpPr fitToPage="1"/>
  </sheetPr>
  <dimension ref="A1:G30"/>
  <sheetViews>
    <sheetView topLeftCell="A3" zoomScale="70" zoomScaleNormal="70" zoomScalePageLayoutView="70" workbookViewId="0">
      <selection activeCell="B7" sqref="B7"/>
    </sheetView>
  </sheetViews>
  <sheetFormatPr baseColWidth="10" defaultColWidth="8.83203125" defaultRowHeight="15" x14ac:dyDescent="0"/>
  <cols>
    <col min="1" max="1" width="38.5" style="156" customWidth="1"/>
    <col min="2" max="2" width="16" style="156" customWidth="1"/>
    <col min="3" max="3" width="11.1640625" style="156" customWidth="1"/>
    <col min="4" max="4" width="12.5" style="156" customWidth="1"/>
    <col min="5" max="6" width="13.6640625" style="156" customWidth="1"/>
    <col min="7" max="17" width="8.83203125" style="156"/>
    <col min="18" max="18" width="9.1640625" style="156" customWidth="1"/>
    <col min="19" max="16384" width="8.83203125" style="156"/>
  </cols>
  <sheetData>
    <row r="1" spans="1:6" ht="22">
      <c r="A1" s="545" t="s">
        <v>659</v>
      </c>
      <c r="B1" s="545"/>
      <c r="C1" s="545"/>
      <c r="D1" s="545"/>
      <c r="E1" s="545"/>
      <c r="F1" s="545"/>
    </row>
    <row r="2" spans="1:6" ht="22">
      <c r="A2" s="269"/>
      <c r="B2" s="269"/>
      <c r="C2" s="269"/>
      <c r="D2" s="269"/>
      <c r="E2" s="269"/>
      <c r="F2" s="269"/>
    </row>
    <row r="3" spans="1:6">
      <c r="A3" s="198" t="s">
        <v>557</v>
      </c>
      <c r="B3" s="421">
        <v>30</v>
      </c>
      <c r="C3" s="170"/>
      <c r="D3" s="546" t="s">
        <v>652</v>
      </c>
      <c r="E3" s="546"/>
      <c r="F3" s="546"/>
    </row>
    <row r="4" spans="1:6">
      <c r="A4" s="199" t="s">
        <v>608</v>
      </c>
      <c r="B4" s="422">
        <v>200</v>
      </c>
      <c r="C4" s="170"/>
      <c r="D4" s="170"/>
      <c r="E4" s="170"/>
      <c r="F4" s="170"/>
    </row>
    <row r="5" spans="1:6">
      <c r="A5" s="199" t="s">
        <v>609</v>
      </c>
      <c r="B5" s="197">
        <f>+B4*Winter_grz_yld</f>
        <v>6000</v>
      </c>
      <c r="C5" s="170"/>
      <c r="D5" s="170"/>
      <c r="E5" s="170"/>
      <c r="F5" s="170"/>
    </row>
    <row r="6" spans="1:6" ht="16" thickBot="1">
      <c r="A6" s="241" t="s">
        <v>553</v>
      </c>
      <c r="B6" s="242">
        <f>+B4*WINTER_GRAZING_COST</f>
        <v>19643</v>
      </c>
      <c r="C6" s="170"/>
      <c r="D6" s="170"/>
      <c r="E6" s="170"/>
      <c r="F6" s="170"/>
    </row>
    <row r="7" spans="1:6" ht="42" customHeight="1" thickBot="1">
      <c r="A7" s="157" t="s">
        <v>24</v>
      </c>
      <c r="B7" s="157" t="s">
        <v>244</v>
      </c>
      <c r="C7" s="455" t="s">
        <v>330</v>
      </c>
      <c r="D7" s="457" t="s">
        <v>331</v>
      </c>
      <c r="E7" s="157" t="s">
        <v>537</v>
      </c>
      <c r="F7" s="157" t="s">
        <v>556</v>
      </c>
    </row>
    <row r="8" spans="1:6" ht="24" customHeight="1">
      <c r="A8" s="553" t="s">
        <v>538</v>
      </c>
      <c r="B8" s="553"/>
      <c r="C8" s="553"/>
      <c r="D8" s="553"/>
      <c r="E8" s="553"/>
      <c r="F8" s="553"/>
    </row>
    <row r="9" spans="1:6">
      <c r="A9" s="270" t="s">
        <v>539</v>
      </c>
      <c r="C9" s="159"/>
    </row>
    <row r="10" spans="1:6">
      <c r="A10" s="453" t="s">
        <v>540</v>
      </c>
      <c r="B10" s="454" t="s">
        <v>541</v>
      </c>
      <c r="C10" s="456">
        <v>0.5</v>
      </c>
      <c r="D10" s="289">
        <v>35</v>
      </c>
      <c r="E10" s="161">
        <f>+D10*C10</f>
        <v>17.5</v>
      </c>
      <c r="F10" s="161">
        <f>+E10/WINTER_ANNUAL_YIELD</f>
        <v>1.75</v>
      </c>
    </row>
    <row r="11" spans="1:6">
      <c r="A11" s="189" t="s">
        <v>509</v>
      </c>
      <c r="B11" s="189" t="s">
        <v>510</v>
      </c>
      <c r="C11" s="456">
        <v>80</v>
      </c>
      <c r="D11" s="438">
        <v>0.55000000000000004</v>
      </c>
      <c r="E11" s="161">
        <f t="shared" ref="E11:E13" si="0">+D11*C11</f>
        <v>44</v>
      </c>
      <c r="F11" s="161">
        <f>+E11/WINTER_ANNUAL_YIELD</f>
        <v>4.4000000000000004</v>
      </c>
    </row>
    <row r="12" spans="1:6">
      <c r="A12" s="189" t="s">
        <v>511</v>
      </c>
      <c r="B12" s="189" t="s">
        <v>510</v>
      </c>
      <c r="C12" s="456">
        <v>0</v>
      </c>
      <c r="D12" s="289">
        <v>0.4</v>
      </c>
      <c r="E12" s="161">
        <f t="shared" si="0"/>
        <v>0</v>
      </c>
      <c r="F12" s="161">
        <f>+E12/WINTER_ANNUAL_YIELD</f>
        <v>0</v>
      </c>
    </row>
    <row r="13" spans="1:6">
      <c r="A13" t="s">
        <v>512</v>
      </c>
      <c r="B13" t="s">
        <v>510</v>
      </c>
      <c r="C13" s="456">
        <v>0</v>
      </c>
      <c r="D13" s="289">
        <v>0.6</v>
      </c>
      <c r="E13" s="161">
        <f t="shared" si="0"/>
        <v>0</v>
      </c>
      <c r="F13" s="161">
        <f>+E13/WINTER_ANNUAL_YIELD</f>
        <v>0</v>
      </c>
    </row>
    <row r="14" spans="1:6">
      <c r="A14" s="551" t="s">
        <v>542</v>
      </c>
      <c r="B14" s="551"/>
      <c r="C14" s="551"/>
      <c r="D14" s="551"/>
      <c r="E14" s="551"/>
      <c r="F14" s="161"/>
    </row>
    <row r="15" spans="1:6">
      <c r="A15" s="162" t="s">
        <v>544</v>
      </c>
      <c r="B15" s="156" t="s">
        <v>543</v>
      </c>
      <c r="C15" s="456">
        <v>25</v>
      </c>
      <c r="D15" s="289">
        <v>0.6</v>
      </c>
      <c r="E15" s="163">
        <f t="shared" ref="E15:E20" si="1">+D15*C15</f>
        <v>15</v>
      </c>
      <c r="F15" s="161">
        <f>+E15/WINTER_ANNUAL_YIELD</f>
        <v>1.5</v>
      </c>
    </row>
    <row r="16" spans="1:6">
      <c r="A16" s="162" t="s">
        <v>554</v>
      </c>
      <c r="B16" s="156" t="s">
        <v>543</v>
      </c>
      <c r="C16" s="456">
        <v>0</v>
      </c>
      <c r="D16" s="289"/>
      <c r="E16" s="163">
        <f t="shared" si="1"/>
        <v>0</v>
      </c>
      <c r="F16" s="161">
        <f>+E16/WINTER_ANNUAL_YIELD</f>
        <v>0</v>
      </c>
    </row>
    <row r="17" spans="1:7">
      <c r="A17" s="160" t="s">
        <v>554</v>
      </c>
      <c r="B17" s="156" t="s">
        <v>543</v>
      </c>
      <c r="C17" s="456">
        <v>0</v>
      </c>
      <c r="D17" s="289"/>
      <c r="E17" s="163">
        <f t="shared" si="1"/>
        <v>0</v>
      </c>
      <c r="F17" s="161">
        <f>+E17/WINTER_ANNUAL_YIELD</f>
        <v>0</v>
      </c>
    </row>
    <row r="18" spans="1:7">
      <c r="A18" s="160" t="s">
        <v>554</v>
      </c>
      <c r="B18" s="156" t="s">
        <v>543</v>
      </c>
      <c r="C18" s="456">
        <v>0</v>
      </c>
      <c r="D18" s="289"/>
      <c r="E18" s="163">
        <f t="shared" si="1"/>
        <v>0</v>
      </c>
      <c r="F18" s="161">
        <f>+E18/WINTER_ANNUAL_YIELD</f>
        <v>0</v>
      </c>
    </row>
    <row r="19" spans="1:7">
      <c r="A19" s="551" t="s">
        <v>545</v>
      </c>
      <c r="B19" s="551"/>
      <c r="C19" s="551"/>
      <c r="D19" s="551"/>
      <c r="E19" s="551"/>
      <c r="F19" s="161"/>
    </row>
    <row r="20" spans="1:7">
      <c r="A20" s="156" t="s">
        <v>546</v>
      </c>
      <c r="B20" s="156" t="s">
        <v>547</v>
      </c>
      <c r="C20" s="456">
        <v>2</v>
      </c>
      <c r="D20" s="289">
        <v>7</v>
      </c>
      <c r="E20" s="163">
        <f t="shared" si="1"/>
        <v>14</v>
      </c>
      <c r="F20" s="161">
        <f>+E20/WINTER_ANNUAL_YIELD</f>
        <v>1.4</v>
      </c>
    </row>
    <row r="21" spans="1:7">
      <c r="A21" s="551" t="s">
        <v>549</v>
      </c>
      <c r="B21" s="551"/>
      <c r="C21" s="551"/>
      <c r="D21" s="551"/>
      <c r="E21" s="551"/>
      <c r="F21" s="161"/>
    </row>
    <row r="22" spans="1:7">
      <c r="A22" s="156" t="s">
        <v>548</v>
      </c>
      <c r="B22" s="156" t="s">
        <v>550</v>
      </c>
      <c r="C22" s="456">
        <v>1.49</v>
      </c>
      <c r="D22" s="289">
        <v>3.5</v>
      </c>
      <c r="E22" s="163">
        <f t="shared" ref="E22:E26" si="2">+D22*C22</f>
        <v>5.2149999999999999</v>
      </c>
      <c r="F22" s="161">
        <f>+E22/WINTER_ANNUAL_YIELD</f>
        <v>0.52149999999999996</v>
      </c>
    </row>
    <row r="23" spans="1:7">
      <c r="A23" s="551" t="s">
        <v>551</v>
      </c>
      <c r="B23" s="551"/>
      <c r="C23" s="551"/>
      <c r="D23" s="551"/>
      <c r="E23" s="551"/>
      <c r="F23" s="161"/>
    </row>
    <row r="24" spans="1:7">
      <c r="A24" s="458" t="s">
        <v>708</v>
      </c>
      <c r="B24" s="156" t="s">
        <v>552</v>
      </c>
      <c r="C24" s="456">
        <v>1</v>
      </c>
      <c r="D24" s="289">
        <v>2.12</v>
      </c>
      <c r="E24" s="163">
        <f t="shared" si="2"/>
        <v>2.12</v>
      </c>
      <c r="F24" s="161">
        <f>+E24/WINTER_ANNUAL_YIELD</f>
        <v>0.21200000000000002</v>
      </c>
    </row>
    <row r="25" spans="1:7">
      <c r="A25" s="458" t="s">
        <v>709</v>
      </c>
      <c r="B25" s="156" t="s">
        <v>552</v>
      </c>
      <c r="C25" s="456">
        <v>1</v>
      </c>
      <c r="D25" s="289">
        <v>0.38</v>
      </c>
      <c r="E25" s="165">
        <f t="shared" si="2"/>
        <v>0.38</v>
      </c>
      <c r="F25" s="161">
        <f>+E25/WINTER_ANNUAL_YIELD</f>
        <v>3.7999999999999999E-2</v>
      </c>
    </row>
    <row r="26" spans="1:7">
      <c r="A26" s="452" t="s">
        <v>693</v>
      </c>
      <c r="B26" s="164" t="s">
        <v>552</v>
      </c>
      <c r="C26" s="456">
        <v>0</v>
      </c>
      <c r="D26" s="289">
        <v>1</v>
      </c>
      <c r="E26" s="165">
        <f t="shared" si="2"/>
        <v>0</v>
      </c>
      <c r="F26" s="161">
        <f>+E26/WINTER_ANNUAL_YIELD</f>
        <v>0</v>
      </c>
    </row>
    <row r="27" spans="1:7" ht="30" customHeight="1" thickBot="1">
      <c r="A27" s="552" t="s">
        <v>553</v>
      </c>
      <c r="B27" s="552"/>
      <c r="C27" s="552"/>
      <c r="D27" s="552"/>
      <c r="E27" s="171">
        <f>+SUM(E10:E13)+SUM(E15:E18)+E20+E22+SUM(E24:E26)</f>
        <v>98.215000000000003</v>
      </c>
      <c r="F27" s="172">
        <f t="shared" ref="F27" si="3">+E27/WINTER_ANNUAL_YIELD</f>
        <v>9.8215000000000003</v>
      </c>
      <c r="G27" s="169"/>
    </row>
    <row r="28" spans="1:7" ht="16" thickTop="1">
      <c r="A28" s="166"/>
      <c r="B28" s="166"/>
      <c r="C28" s="166"/>
      <c r="D28" s="166"/>
      <c r="E28" s="166"/>
      <c r="F28" s="166"/>
      <c r="G28" s="166"/>
    </row>
    <row r="29" spans="1:7">
      <c r="A29" s="166"/>
      <c r="B29" s="166"/>
      <c r="C29" s="166"/>
      <c r="D29" s="166"/>
      <c r="E29" s="166"/>
      <c r="F29" s="166"/>
      <c r="G29" s="166"/>
    </row>
    <row r="30" spans="1:7">
      <c r="A30" s="166"/>
      <c r="B30" s="166"/>
      <c r="C30" s="166"/>
      <c r="D30" s="166"/>
      <c r="E30" s="166"/>
      <c r="F30" s="166"/>
      <c r="G30" s="166"/>
    </row>
  </sheetData>
  <sheetProtection sheet="1" objects="1" scenarios="1"/>
  <mergeCells count="8">
    <mergeCell ref="A21:E21"/>
    <mergeCell ref="A23:E23"/>
    <mergeCell ref="A27:D27"/>
    <mergeCell ref="A1:F1"/>
    <mergeCell ref="D3:F3"/>
    <mergeCell ref="A8:F8"/>
    <mergeCell ref="A14:E14"/>
    <mergeCell ref="A19:E19"/>
  </mergeCells>
  <hyperlinks>
    <hyperlink ref="D3" location="Main!A39" display="RETURN TO MAIN BUDGET"/>
    <hyperlink ref="E3" location="Main!A39" display="Main!A39"/>
    <hyperlink ref="F3" location="Main!A39" display="Main!A39"/>
  </hyperlinks>
  <pageMargins left="0.7" right="0.7" top="0.75" bottom="0.75" header="0.3" footer="0.3"/>
  <headerFooter>
    <oddFooter>&amp;A</oddFooter>
  </headerFooter>
  <legacyDrawingHF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H26"/>
  <sheetViews>
    <sheetView zoomScale="70" zoomScaleNormal="70" zoomScalePageLayoutView="70" workbookViewId="0">
      <selection activeCell="F10" sqref="F10"/>
    </sheetView>
  </sheetViews>
  <sheetFormatPr baseColWidth="10" defaultColWidth="8.5" defaultRowHeight="15" x14ac:dyDescent="0"/>
  <cols>
    <col min="1" max="1" width="27.83203125" style="430" customWidth="1"/>
    <col min="2" max="2" width="20.83203125" style="430" customWidth="1"/>
    <col min="3" max="3" width="12" style="430" customWidth="1"/>
    <col min="4" max="4" width="15.33203125" style="430" customWidth="1"/>
    <col min="5" max="5" width="8.33203125" style="430" customWidth="1"/>
    <col min="6" max="6" width="10.83203125" style="430" customWidth="1"/>
    <col min="7" max="7" width="11.83203125" style="430" customWidth="1"/>
    <col min="8" max="8" width="11.33203125" style="430" customWidth="1"/>
    <col min="9" max="9" width="8.5" style="430" customWidth="1"/>
    <col min="10" max="16384" width="8.5" style="430"/>
  </cols>
  <sheetData>
    <row r="1" spans="1:8" ht="22">
      <c r="A1" s="557" t="s">
        <v>653</v>
      </c>
      <c r="B1" s="557"/>
      <c r="C1" s="557"/>
      <c r="D1" s="557"/>
      <c r="E1" s="557"/>
      <c r="F1" s="557"/>
      <c r="G1" s="557"/>
      <c r="H1" s="557"/>
    </row>
    <row r="2" spans="1:8">
      <c r="A2" s="430" t="s">
        <v>586</v>
      </c>
      <c r="B2" s="431">
        <v>10</v>
      </c>
      <c r="G2" s="432"/>
    </row>
    <row r="3" spans="1:8">
      <c r="A3" s="430" t="s">
        <v>613</v>
      </c>
      <c r="B3" s="431">
        <v>75</v>
      </c>
      <c r="F3" s="558" t="s">
        <v>652</v>
      </c>
      <c r="G3" s="558"/>
      <c r="H3" s="558"/>
    </row>
    <row r="4" spans="1:8">
      <c r="A4" s="430" t="s">
        <v>609</v>
      </c>
      <c r="B4" s="433">
        <f>+B3*bermuda_yield</f>
        <v>750</v>
      </c>
      <c r="G4" s="432"/>
    </row>
    <row r="5" spans="1:8" ht="16" thickBot="1">
      <c r="A5" s="430" t="s">
        <v>585</v>
      </c>
      <c r="B5" s="434">
        <f>+B3*BERMUDA_PRODUCTION_COST</f>
        <v>44208.374999999993</v>
      </c>
      <c r="G5" s="432"/>
    </row>
    <row r="6" spans="1:8" ht="31" thickBot="1">
      <c r="A6" s="559" t="s">
        <v>24</v>
      </c>
      <c r="B6" s="560"/>
      <c r="C6" s="560"/>
      <c r="D6" s="435" t="s">
        <v>558</v>
      </c>
      <c r="E6" s="435" t="s">
        <v>559</v>
      </c>
      <c r="F6" s="435" t="s">
        <v>560</v>
      </c>
      <c r="G6" s="436" t="s">
        <v>561</v>
      </c>
      <c r="H6" s="436" t="s">
        <v>562</v>
      </c>
    </row>
    <row r="7" spans="1:8">
      <c r="A7" s="429" t="s">
        <v>12</v>
      </c>
      <c r="B7" s="428"/>
      <c r="C7" s="428"/>
      <c r="D7" s="428"/>
      <c r="E7" s="428"/>
      <c r="F7" s="428"/>
      <c r="G7" s="428"/>
      <c r="H7" s="428"/>
    </row>
    <row r="8" spans="1:8">
      <c r="A8" s="554" t="s">
        <v>563</v>
      </c>
      <c r="B8" s="554"/>
      <c r="C8" s="554"/>
      <c r="D8" s="442" t="s">
        <v>564</v>
      </c>
      <c r="E8" s="437">
        <v>0.5</v>
      </c>
      <c r="F8" s="438">
        <v>32</v>
      </c>
      <c r="G8" s="439">
        <f>+F8*E8</f>
        <v>16</v>
      </c>
      <c r="H8" s="439">
        <f>+G8/bermuda_yield</f>
        <v>1.6</v>
      </c>
    </row>
    <row r="9" spans="1:8">
      <c r="A9" s="554" t="s">
        <v>565</v>
      </c>
      <c r="B9" s="554"/>
      <c r="C9" s="554"/>
      <c r="D9" s="442"/>
      <c r="E9" s="437"/>
      <c r="F9" s="438"/>
      <c r="G9" s="439"/>
      <c r="H9" s="439"/>
    </row>
    <row r="10" spans="1:8">
      <c r="A10" s="554" t="s">
        <v>566</v>
      </c>
      <c r="B10" s="554"/>
      <c r="C10" s="554"/>
      <c r="D10" s="442" t="s">
        <v>567</v>
      </c>
      <c r="E10" s="437">
        <v>350</v>
      </c>
      <c r="F10" s="438">
        <v>0.55000000000000004</v>
      </c>
      <c r="G10" s="439">
        <f t="shared" ref="G10:G13" si="0">+F10*E10</f>
        <v>192.50000000000003</v>
      </c>
      <c r="H10" s="439">
        <f>+G10/bermuda_yield</f>
        <v>19.250000000000004</v>
      </c>
    </row>
    <row r="11" spans="1:8">
      <c r="A11" s="554" t="s">
        <v>568</v>
      </c>
      <c r="B11" s="554"/>
      <c r="C11" s="554"/>
      <c r="D11" s="442" t="s">
        <v>567</v>
      </c>
      <c r="E11" s="437">
        <v>60</v>
      </c>
      <c r="F11" s="438">
        <v>0.4</v>
      </c>
      <c r="G11" s="439">
        <f t="shared" si="0"/>
        <v>24</v>
      </c>
      <c r="H11" s="439">
        <f>+G11/bermuda_yield</f>
        <v>2.4</v>
      </c>
    </row>
    <row r="12" spans="1:8">
      <c r="A12" s="554" t="s">
        <v>569</v>
      </c>
      <c r="B12" s="554"/>
      <c r="C12" s="554"/>
      <c r="D12" s="442" t="s">
        <v>567</v>
      </c>
      <c r="E12" s="437">
        <v>180</v>
      </c>
      <c r="F12" s="438">
        <v>0.6</v>
      </c>
      <c r="G12" s="439">
        <f t="shared" si="0"/>
        <v>108</v>
      </c>
      <c r="H12" s="439">
        <f>+G12/bermuda_yield</f>
        <v>10.8</v>
      </c>
    </row>
    <row r="13" spans="1:8">
      <c r="A13" s="554" t="s">
        <v>570</v>
      </c>
      <c r="B13" s="554"/>
      <c r="C13" s="554"/>
      <c r="D13" s="442" t="s">
        <v>564</v>
      </c>
      <c r="E13" s="437">
        <v>0.5</v>
      </c>
      <c r="F13" s="438">
        <v>35</v>
      </c>
      <c r="G13" s="439">
        <f t="shared" si="0"/>
        <v>17.5</v>
      </c>
      <c r="H13" s="439">
        <f>+G13/bermuda_yield</f>
        <v>1.75</v>
      </c>
    </row>
    <row r="14" spans="1:8">
      <c r="A14" s="561" t="s">
        <v>571</v>
      </c>
      <c r="B14" s="561"/>
      <c r="C14" s="561"/>
      <c r="D14" s="442"/>
      <c r="E14" s="437"/>
      <c r="F14" s="438"/>
      <c r="G14" s="439"/>
      <c r="H14" s="439"/>
    </row>
    <row r="15" spans="1:8">
      <c r="A15" s="554" t="s">
        <v>572</v>
      </c>
      <c r="B15" s="554"/>
      <c r="C15" s="554"/>
      <c r="D15" s="442" t="s">
        <v>573</v>
      </c>
      <c r="E15" s="437">
        <v>1</v>
      </c>
      <c r="F15" s="438">
        <v>11</v>
      </c>
      <c r="G15" s="439">
        <f t="shared" ref="G15:G16" si="1">+F15*E15</f>
        <v>11</v>
      </c>
      <c r="H15" s="439">
        <f>+G15/bermuda_yield</f>
        <v>1.1000000000000001</v>
      </c>
    </row>
    <row r="16" spans="1:8">
      <c r="A16" s="561" t="s">
        <v>574</v>
      </c>
      <c r="B16" s="561"/>
      <c r="C16" s="561"/>
      <c r="D16" s="442" t="s">
        <v>573</v>
      </c>
      <c r="E16" s="437">
        <v>2</v>
      </c>
      <c r="F16" s="438">
        <v>14.75</v>
      </c>
      <c r="G16" s="439">
        <f t="shared" si="1"/>
        <v>29.5</v>
      </c>
      <c r="H16" s="439">
        <f>+G16/bermuda_yield</f>
        <v>2.95</v>
      </c>
    </row>
    <row r="17" spans="1:8">
      <c r="A17" s="554" t="s">
        <v>575</v>
      </c>
      <c r="B17" s="554"/>
      <c r="C17" s="554"/>
      <c r="D17" s="442"/>
      <c r="E17" s="437"/>
      <c r="F17" s="438"/>
      <c r="G17" s="439"/>
      <c r="H17" s="439"/>
    </row>
    <row r="18" spans="1:8">
      <c r="A18" s="554" t="s">
        <v>576</v>
      </c>
      <c r="B18" s="554"/>
      <c r="C18" s="554"/>
      <c r="D18" s="442" t="s">
        <v>577</v>
      </c>
      <c r="E18" s="437">
        <f>18.14+3.97</f>
        <v>22.11</v>
      </c>
      <c r="F18" s="438">
        <v>3.5</v>
      </c>
      <c r="G18" s="439">
        <f t="shared" ref="G18:G24" si="2">+F18*E18</f>
        <v>77.384999999999991</v>
      </c>
      <c r="H18" s="439">
        <f t="shared" ref="H18:H24" si="3">+G18/bermuda_yield</f>
        <v>7.7384999999999993</v>
      </c>
    </row>
    <row r="19" spans="1:8">
      <c r="A19" s="554" t="s">
        <v>578</v>
      </c>
      <c r="B19" s="554"/>
      <c r="C19" s="554"/>
      <c r="D19" s="442" t="s">
        <v>579</v>
      </c>
      <c r="E19" s="437">
        <v>1</v>
      </c>
      <c r="F19" s="438">
        <f>18.51+4.98+5.82</f>
        <v>29.310000000000002</v>
      </c>
      <c r="G19" s="439">
        <f t="shared" si="2"/>
        <v>29.310000000000002</v>
      </c>
      <c r="H19" s="439">
        <f t="shared" si="3"/>
        <v>2.931</v>
      </c>
    </row>
    <row r="20" spans="1:8">
      <c r="A20" s="554" t="s">
        <v>580</v>
      </c>
      <c r="B20" s="554"/>
      <c r="C20" s="554"/>
      <c r="D20" s="442" t="s">
        <v>581</v>
      </c>
      <c r="E20" s="437">
        <v>0.13</v>
      </c>
      <c r="F20" s="438">
        <v>25</v>
      </c>
      <c r="G20" s="439">
        <f t="shared" ref="G20" si="4">+F20*E20</f>
        <v>3.25</v>
      </c>
      <c r="H20" s="439">
        <f t="shared" si="3"/>
        <v>0.32500000000000001</v>
      </c>
    </row>
    <row r="21" spans="1:8">
      <c r="A21" s="554" t="s">
        <v>587</v>
      </c>
      <c r="B21" s="554"/>
      <c r="C21" s="554"/>
      <c r="D21" s="442" t="s">
        <v>581</v>
      </c>
      <c r="E21" s="437">
        <f>+(bermuda_yield*2000)/1200/0.5</f>
        <v>33.333333333333336</v>
      </c>
      <c r="F21" s="438">
        <v>0</v>
      </c>
      <c r="G21" s="439">
        <f t="shared" si="2"/>
        <v>0</v>
      </c>
      <c r="H21" s="439">
        <f t="shared" si="3"/>
        <v>0</v>
      </c>
    </row>
    <row r="22" spans="1:8">
      <c r="A22" s="554" t="s">
        <v>582</v>
      </c>
      <c r="B22" s="554"/>
      <c r="C22" s="554"/>
      <c r="D22" s="442" t="s">
        <v>583</v>
      </c>
      <c r="E22" s="437">
        <v>6</v>
      </c>
      <c r="F22" s="438">
        <v>13.5</v>
      </c>
      <c r="G22" s="439">
        <f t="shared" si="2"/>
        <v>81</v>
      </c>
      <c r="H22" s="439">
        <f t="shared" si="3"/>
        <v>8.1</v>
      </c>
    </row>
    <row r="23" spans="1:8">
      <c r="A23" s="555" t="s">
        <v>693</v>
      </c>
      <c r="B23" s="555"/>
      <c r="C23" s="555"/>
      <c r="D23" s="442" t="s">
        <v>579</v>
      </c>
      <c r="E23" s="437">
        <v>1</v>
      </c>
      <c r="F23" s="438">
        <v>0</v>
      </c>
      <c r="G23" s="439">
        <f t="shared" si="2"/>
        <v>0</v>
      </c>
      <c r="H23" s="439">
        <f t="shared" si="3"/>
        <v>0</v>
      </c>
    </row>
    <row r="24" spans="1:8">
      <c r="A24" s="556" t="s">
        <v>348</v>
      </c>
      <c r="B24" s="556"/>
      <c r="C24" s="556"/>
      <c r="D24" s="442" t="s">
        <v>584</v>
      </c>
      <c r="E24" s="437">
        <v>0</v>
      </c>
      <c r="F24" s="438">
        <v>0</v>
      </c>
      <c r="G24" s="439">
        <f t="shared" si="2"/>
        <v>0</v>
      </c>
      <c r="H24" s="439">
        <f t="shared" si="3"/>
        <v>0</v>
      </c>
    </row>
    <row r="25" spans="1:8" ht="16" thickBot="1">
      <c r="A25" s="440" t="s">
        <v>585</v>
      </c>
      <c r="B25" s="440"/>
      <c r="C25" s="440"/>
      <c r="D25" s="440"/>
      <c r="E25" s="440" t="s">
        <v>15</v>
      </c>
      <c r="F25" s="440"/>
      <c r="G25" s="441">
        <f>+SUM(G8:G24)</f>
        <v>589.44499999999994</v>
      </c>
      <c r="H25" s="441">
        <f>+SUM(H8:H24)</f>
        <v>58.944500000000012</v>
      </c>
    </row>
    <row r="26" spans="1:8" ht="16" thickTop="1"/>
  </sheetData>
  <sheetProtection sheet="1" objects="1" scenarios="1"/>
  <mergeCells count="20">
    <mergeCell ref="A17:C17"/>
    <mergeCell ref="A18:C18"/>
    <mergeCell ref="A19:C19"/>
    <mergeCell ref="A6:C6"/>
    <mergeCell ref="A14:C14"/>
    <mergeCell ref="A16:C16"/>
    <mergeCell ref="A11:C11"/>
    <mergeCell ref="A12:C12"/>
    <mergeCell ref="A13:C13"/>
    <mergeCell ref="A15:C15"/>
    <mergeCell ref="A1:H1"/>
    <mergeCell ref="F3:H3"/>
    <mergeCell ref="A8:C8"/>
    <mergeCell ref="A9:C9"/>
    <mergeCell ref="A10:C10"/>
    <mergeCell ref="A20:C20"/>
    <mergeCell ref="A21:C21"/>
    <mergeCell ref="A22:C22"/>
    <mergeCell ref="A23:C23"/>
    <mergeCell ref="A24:C24"/>
  </mergeCells>
  <phoneticPr fontId="19" type="noConversion"/>
  <hyperlinks>
    <hyperlink ref="F3" location="Main!A38" display="RETURN TO MAIN BUDGET"/>
  </hyperlinks>
  <printOptions horizontalCentered="1"/>
  <pageMargins left="0.5" right="0.5" top="1" bottom="1" header="0.5" footer="0.5"/>
  <headerFooter>
    <oddFooter>&amp;A</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24"/>
  <sheetViews>
    <sheetView zoomScale="70" zoomScaleNormal="70" zoomScalePageLayoutView="70" workbookViewId="0">
      <selection activeCell="F10" sqref="F10"/>
    </sheetView>
  </sheetViews>
  <sheetFormatPr baseColWidth="10" defaultColWidth="8.5" defaultRowHeight="15" x14ac:dyDescent="0"/>
  <cols>
    <col min="1" max="1" width="27" style="430" customWidth="1"/>
    <col min="2" max="2" width="17.83203125" style="430" customWidth="1"/>
    <col min="3" max="3" width="12" style="430" customWidth="1"/>
    <col min="4" max="4" width="15.33203125" style="430" customWidth="1"/>
    <col min="5" max="5" width="8.33203125" style="430" customWidth="1"/>
    <col min="6" max="6" width="10.83203125" style="430" customWidth="1"/>
    <col min="7" max="7" width="11.83203125" style="430" customWidth="1"/>
    <col min="8" max="8" width="11.33203125" style="430" customWidth="1"/>
    <col min="9" max="9" width="8.5" style="430" customWidth="1"/>
    <col min="10" max="16384" width="8.5" style="430"/>
  </cols>
  <sheetData>
    <row r="1" spans="1:8" ht="22">
      <c r="A1" s="562" t="s">
        <v>660</v>
      </c>
      <c r="B1" s="562"/>
      <c r="C1" s="562"/>
      <c r="D1" s="562"/>
      <c r="E1" s="562"/>
      <c r="F1" s="562"/>
      <c r="G1" s="562"/>
      <c r="H1" s="562"/>
    </row>
    <row r="2" spans="1:8">
      <c r="A2" s="428" t="s">
        <v>661</v>
      </c>
      <c r="B2" s="431">
        <v>25</v>
      </c>
      <c r="C2" s="428"/>
      <c r="D2" s="428"/>
      <c r="E2" s="428"/>
      <c r="F2" s="428"/>
      <c r="G2" s="443"/>
      <c r="H2" s="428"/>
    </row>
    <row r="3" spans="1:8">
      <c r="A3" s="428" t="s">
        <v>613</v>
      </c>
      <c r="B3" s="431">
        <v>200</v>
      </c>
      <c r="C3" s="428"/>
      <c r="D3" s="428"/>
      <c r="E3" s="428"/>
      <c r="F3" s="558" t="s">
        <v>652</v>
      </c>
      <c r="G3" s="558"/>
      <c r="H3" s="558"/>
    </row>
    <row r="4" spans="1:8">
      <c r="A4" s="428" t="s">
        <v>609</v>
      </c>
      <c r="B4" s="433">
        <f>+B3*PASTURE_YIELD</f>
        <v>5000</v>
      </c>
      <c r="C4" s="428"/>
      <c r="D4" s="428"/>
      <c r="E4" s="428"/>
      <c r="F4" s="428"/>
      <c r="G4" s="443"/>
      <c r="H4" s="428"/>
    </row>
    <row r="5" spans="1:8" ht="16" thickBot="1">
      <c r="A5" s="428" t="s">
        <v>585</v>
      </c>
      <c r="B5" s="434">
        <f>+B3*permanent_pasture_cost</f>
        <v>43550</v>
      </c>
      <c r="C5" s="428"/>
      <c r="D5" s="428"/>
      <c r="E5" s="428"/>
      <c r="F5" s="428"/>
      <c r="G5" s="443"/>
      <c r="H5" s="428"/>
    </row>
    <row r="6" spans="1:8" ht="31" thickBot="1">
      <c r="A6" s="563" t="s">
        <v>24</v>
      </c>
      <c r="B6" s="564"/>
      <c r="C6" s="564"/>
      <c r="D6" s="444" t="s">
        <v>558</v>
      </c>
      <c r="E6" s="444" t="s">
        <v>559</v>
      </c>
      <c r="F6" s="444" t="s">
        <v>560</v>
      </c>
      <c r="G6" s="445" t="s">
        <v>561</v>
      </c>
      <c r="H6" s="445" t="s">
        <v>562</v>
      </c>
    </row>
    <row r="7" spans="1:8">
      <c r="A7" s="565" t="s">
        <v>12</v>
      </c>
      <c r="B7" s="565"/>
      <c r="C7" s="565"/>
      <c r="D7" s="428"/>
      <c r="E7" s="428"/>
      <c r="F7" s="428"/>
      <c r="G7" s="428"/>
      <c r="H7" s="428"/>
    </row>
    <row r="8" spans="1:8">
      <c r="A8" s="554" t="s">
        <v>563</v>
      </c>
      <c r="B8" s="554"/>
      <c r="C8" s="554"/>
      <c r="D8" s="442" t="s">
        <v>564</v>
      </c>
      <c r="E8" s="437">
        <v>0.5</v>
      </c>
      <c r="F8" s="438">
        <v>35</v>
      </c>
      <c r="G8" s="439">
        <f>+F8*E8</f>
        <v>17.5</v>
      </c>
      <c r="H8" s="439">
        <f>+G8/bermuda_yield</f>
        <v>1.75</v>
      </c>
    </row>
    <row r="9" spans="1:8">
      <c r="A9" s="554" t="s">
        <v>565</v>
      </c>
      <c r="B9" s="554"/>
      <c r="C9" s="554"/>
      <c r="D9" s="442"/>
      <c r="E9" s="437"/>
      <c r="F9" s="438"/>
      <c r="G9" s="439"/>
      <c r="H9" s="439"/>
    </row>
    <row r="10" spans="1:8">
      <c r="A10" s="554" t="s">
        <v>566</v>
      </c>
      <c r="B10" s="554"/>
      <c r="C10" s="554"/>
      <c r="D10" s="442" t="s">
        <v>567</v>
      </c>
      <c r="E10" s="437">
        <v>125</v>
      </c>
      <c r="F10" s="438">
        <v>0.55000000000000004</v>
      </c>
      <c r="G10" s="439">
        <f t="shared" ref="G10:G13" si="0">+F10*E10</f>
        <v>68.75</v>
      </c>
      <c r="H10" s="439">
        <f>+G10/bermuda_yield</f>
        <v>6.875</v>
      </c>
    </row>
    <row r="11" spans="1:8">
      <c r="A11" s="554" t="s">
        <v>568</v>
      </c>
      <c r="B11" s="554"/>
      <c r="C11" s="554"/>
      <c r="D11" s="442" t="s">
        <v>567</v>
      </c>
      <c r="E11" s="437">
        <v>0</v>
      </c>
      <c r="F11" s="438">
        <v>0.4</v>
      </c>
      <c r="G11" s="439">
        <f t="shared" si="0"/>
        <v>0</v>
      </c>
      <c r="H11" s="439">
        <f>+G11/bermuda_yield</f>
        <v>0</v>
      </c>
    </row>
    <row r="12" spans="1:8">
      <c r="A12" s="554" t="s">
        <v>569</v>
      </c>
      <c r="B12" s="554"/>
      <c r="C12" s="554"/>
      <c r="D12" s="442" t="s">
        <v>567</v>
      </c>
      <c r="E12" s="437">
        <v>0</v>
      </c>
      <c r="F12" s="438">
        <v>0.6</v>
      </c>
      <c r="G12" s="439">
        <f t="shared" si="0"/>
        <v>0</v>
      </c>
      <c r="H12" s="439">
        <f>+G12/bermuda_yield</f>
        <v>0</v>
      </c>
    </row>
    <row r="13" spans="1:8">
      <c r="A13" s="554" t="s">
        <v>348</v>
      </c>
      <c r="B13" s="554"/>
      <c r="C13" s="554"/>
      <c r="D13" s="442" t="s">
        <v>564</v>
      </c>
      <c r="E13" s="437">
        <v>0</v>
      </c>
      <c r="F13" s="438">
        <v>0</v>
      </c>
      <c r="G13" s="439">
        <f t="shared" si="0"/>
        <v>0</v>
      </c>
      <c r="H13" s="439">
        <f>+G13/bermuda_yield</f>
        <v>0</v>
      </c>
    </row>
    <row r="14" spans="1:8">
      <c r="A14" s="561" t="s">
        <v>571</v>
      </c>
      <c r="B14" s="561"/>
      <c r="C14" s="561"/>
      <c r="D14" s="442"/>
      <c r="E14" s="437"/>
      <c r="F14" s="438"/>
      <c r="G14" s="439"/>
      <c r="H14" s="439"/>
    </row>
    <row r="15" spans="1:8">
      <c r="A15" s="554" t="s">
        <v>572</v>
      </c>
      <c r="B15" s="554"/>
      <c r="C15" s="554"/>
      <c r="D15" s="442" t="s">
        <v>573</v>
      </c>
      <c r="E15" s="437">
        <v>1</v>
      </c>
      <c r="F15" s="438">
        <v>11</v>
      </c>
      <c r="G15" s="439">
        <f t="shared" ref="G15:G16" si="1">+F15*E15</f>
        <v>11</v>
      </c>
      <c r="H15" s="439">
        <f>+G15/bermuda_yield</f>
        <v>1.1000000000000001</v>
      </c>
    </row>
    <row r="16" spans="1:8">
      <c r="A16" s="561" t="s">
        <v>574</v>
      </c>
      <c r="B16" s="561"/>
      <c r="C16" s="561"/>
      <c r="D16" s="442" t="s">
        <v>573</v>
      </c>
      <c r="E16" s="437">
        <v>2</v>
      </c>
      <c r="F16" s="438">
        <v>14.75</v>
      </c>
      <c r="G16" s="439">
        <f t="shared" si="1"/>
        <v>29.5</v>
      </c>
      <c r="H16" s="439">
        <f>+G16/bermuda_yield</f>
        <v>2.95</v>
      </c>
    </row>
    <row r="17" spans="1:8">
      <c r="A17" s="554" t="s">
        <v>575</v>
      </c>
      <c r="B17" s="554"/>
      <c r="C17" s="554"/>
      <c r="D17" s="442"/>
      <c r="E17" s="437"/>
      <c r="F17" s="438"/>
      <c r="G17" s="439"/>
      <c r="H17" s="439"/>
    </row>
    <row r="18" spans="1:8">
      <c r="A18" s="554" t="s">
        <v>576</v>
      </c>
      <c r="B18" s="554"/>
      <c r="C18" s="554"/>
      <c r="D18" s="442" t="s">
        <v>577</v>
      </c>
      <c r="E18" s="437">
        <v>2</v>
      </c>
      <c r="F18" s="438">
        <v>3.5</v>
      </c>
      <c r="G18" s="439">
        <f t="shared" ref="G18:G22" si="2">+F18*E18</f>
        <v>7</v>
      </c>
      <c r="H18" s="439">
        <f t="shared" ref="H18:H22" si="3">+G18/bermuda_yield</f>
        <v>0.7</v>
      </c>
    </row>
    <row r="19" spans="1:8">
      <c r="A19" s="554" t="s">
        <v>578</v>
      </c>
      <c r="B19" s="554"/>
      <c r="C19" s="554"/>
      <c r="D19" s="442" t="s">
        <v>579</v>
      </c>
      <c r="E19" s="437">
        <v>1</v>
      </c>
      <c r="F19" s="438">
        <v>15</v>
      </c>
      <c r="G19" s="439">
        <v>3</v>
      </c>
      <c r="H19" s="439">
        <f t="shared" si="3"/>
        <v>0.3</v>
      </c>
    </row>
    <row r="20" spans="1:8">
      <c r="A20" s="554" t="s">
        <v>582</v>
      </c>
      <c r="B20" s="554"/>
      <c r="C20" s="554"/>
      <c r="D20" s="442" t="s">
        <v>583</v>
      </c>
      <c r="E20" s="437">
        <v>6</v>
      </c>
      <c r="F20" s="438">
        <v>13.5</v>
      </c>
      <c r="G20" s="439">
        <f t="shared" si="2"/>
        <v>81</v>
      </c>
      <c r="H20" s="439">
        <f t="shared" si="3"/>
        <v>8.1</v>
      </c>
    </row>
    <row r="21" spans="1:8">
      <c r="A21" s="566" t="s">
        <v>694</v>
      </c>
      <c r="B21" s="566"/>
      <c r="C21" s="566"/>
      <c r="D21" s="442" t="s">
        <v>579</v>
      </c>
      <c r="E21" s="437">
        <v>1</v>
      </c>
      <c r="F21" s="438">
        <v>0</v>
      </c>
      <c r="G21" s="439">
        <f t="shared" si="2"/>
        <v>0</v>
      </c>
      <c r="H21" s="439">
        <f t="shared" si="3"/>
        <v>0</v>
      </c>
    </row>
    <row r="22" spans="1:8">
      <c r="A22" s="556" t="s">
        <v>348</v>
      </c>
      <c r="B22" s="556"/>
      <c r="C22" s="556"/>
      <c r="D22" s="442" t="s">
        <v>584</v>
      </c>
      <c r="E22" s="437">
        <v>1</v>
      </c>
      <c r="F22" s="438">
        <v>0</v>
      </c>
      <c r="G22" s="439">
        <f t="shared" si="2"/>
        <v>0</v>
      </c>
      <c r="H22" s="439">
        <f t="shared" si="3"/>
        <v>0</v>
      </c>
    </row>
    <row r="23" spans="1:8" ht="16" thickBot="1">
      <c r="A23" s="440" t="s">
        <v>585</v>
      </c>
      <c r="B23" s="440"/>
      <c r="C23" s="440"/>
      <c r="D23" s="440"/>
      <c r="E23" s="440" t="s">
        <v>15</v>
      </c>
      <c r="F23" s="440"/>
      <c r="G23" s="441">
        <f>+SUM(G8:G22)</f>
        <v>217.75</v>
      </c>
      <c r="H23" s="441">
        <f>+SUM(H8:H22)</f>
        <v>21.774999999999999</v>
      </c>
    </row>
    <row r="24" spans="1:8" ht="16" thickTop="1">
      <c r="A24" s="428"/>
      <c r="B24" s="428"/>
      <c r="C24" s="428"/>
      <c r="D24" s="428"/>
      <c r="E24" s="428"/>
      <c r="F24" s="428"/>
      <c r="G24" s="428"/>
      <c r="H24" s="428"/>
    </row>
  </sheetData>
  <sheetProtection sheet="1" objects="1" scenarios="1"/>
  <mergeCells count="19">
    <mergeCell ref="A18:C18"/>
    <mergeCell ref="A19:C19"/>
    <mergeCell ref="A20:C20"/>
    <mergeCell ref="A21:C21"/>
    <mergeCell ref="A22:C22"/>
    <mergeCell ref="A17:C17"/>
    <mergeCell ref="A1:H1"/>
    <mergeCell ref="F3:H3"/>
    <mergeCell ref="A6:C6"/>
    <mergeCell ref="A14:C14"/>
    <mergeCell ref="A16:C16"/>
    <mergeCell ref="A7:C7"/>
    <mergeCell ref="A8:C8"/>
    <mergeCell ref="A9:C9"/>
    <mergeCell ref="A10:C10"/>
    <mergeCell ref="A11:C11"/>
    <mergeCell ref="A12:C12"/>
    <mergeCell ref="A13:C13"/>
    <mergeCell ref="A15:C15"/>
  </mergeCells>
  <phoneticPr fontId="19" type="noConversion"/>
  <hyperlinks>
    <hyperlink ref="F3" location="Main!A38" display="RETURN TO MAIN BUDGET"/>
  </hyperlinks>
  <printOptions horizontalCentered="1"/>
  <pageMargins left="0.5" right="0.5" top="1" bottom="1" header="0.5" footer="0.5"/>
  <headerFooter>
    <oddFooter>&amp;A</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
  <sheetViews>
    <sheetView showRowColHeaders="0" workbookViewId="0">
      <selection activeCell="A4" sqref="A4:C4"/>
    </sheetView>
  </sheetViews>
  <sheetFormatPr baseColWidth="10" defaultColWidth="8.83203125" defaultRowHeight="12" x14ac:dyDescent="0"/>
  <sheetData/>
  <sheetProtection sheet="1"/>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
  <sheetViews>
    <sheetView showRowColHeaders="0" workbookViewId="0">
      <selection activeCell="A4" sqref="A4:C4"/>
    </sheetView>
  </sheetViews>
  <sheetFormatPr baseColWidth="10" defaultColWidth="8.83203125" defaultRowHeight="12" x14ac:dyDescent="0"/>
  <sheetData/>
  <sheetProtection sheet="1"/>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1"/>
  <sheetViews>
    <sheetView showRowColHeaders="0" workbookViewId="0">
      <selection activeCell="A4" sqref="A4:C4"/>
    </sheetView>
  </sheetViews>
  <sheetFormatPr baseColWidth="10" defaultColWidth="8.83203125" defaultRowHeight="12" x14ac:dyDescent="0"/>
  <sheetData/>
  <sheetProtection sheet="1"/>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pageSetUpPr fitToPage="1"/>
  </sheetPr>
  <dimension ref="A1"/>
  <sheetViews>
    <sheetView workbookViewId="0">
      <selection activeCell="A4" sqref="A4:C4"/>
    </sheetView>
  </sheetViews>
  <sheetFormatPr baseColWidth="10" defaultColWidth="8.83203125" defaultRowHeight="12" x14ac:dyDescent="0"/>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A1:Q85"/>
  <sheetViews>
    <sheetView topLeftCell="D1" workbookViewId="0">
      <selection activeCell="A4" sqref="A4:C4"/>
    </sheetView>
  </sheetViews>
  <sheetFormatPr baseColWidth="10" defaultColWidth="8.5" defaultRowHeight="12" x14ac:dyDescent="0"/>
  <cols>
    <col min="1" max="16384" width="8.5" style="1"/>
  </cols>
  <sheetData>
    <row r="1" spans="1:17">
      <c r="A1" s="1" t="s">
        <v>136</v>
      </c>
      <c r="B1" s="1" t="s">
        <v>137</v>
      </c>
      <c r="E1" s="1" t="s">
        <v>138</v>
      </c>
      <c r="F1" s="1" t="s">
        <v>139</v>
      </c>
      <c r="P1" s="1" t="s">
        <v>136</v>
      </c>
      <c r="Q1" s="1" t="s">
        <v>137</v>
      </c>
    </row>
    <row r="2" spans="1:17">
      <c r="A2" s="1" t="s">
        <v>140</v>
      </c>
      <c r="B2" s="1" t="s">
        <v>141</v>
      </c>
      <c r="E2" s="1" t="s">
        <v>142</v>
      </c>
      <c r="F2" s="1" t="s">
        <v>143</v>
      </c>
      <c r="P2" s="1" t="s">
        <v>140</v>
      </c>
      <c r="Q2" s="1" t="s">
        <v>141</v>
      </c>
    </row>
    <row r="3" spans="1:17">
      <c r="A3" s="1" t="s">
        <v>144</v>
      </c>
      <c r="B3" s="1" t="s">
        <v>145</v>
      </c>
      <c r="E3" s="1" t="s">
        <v>146</v>
      </c>
      <c r="F3" s="1" t="s">
        <v>90</v>
      </c>
      <c r="P3" s="1" t="s">
        <v>144</v>
      </c>
      <c r="Q3" s="1" t="s">
        <v>145</v>
      </c>
    </row>
    <row r="4" spans="1:17">
      <c r="A4" s="1" t="s">
        <v>37</v>
      </c>
      <c r="B4" s="1" t="s">
        <v>147</v>
      </c>
      <c r="P4" s="1" t="s">
        <v>37</v>
      </c>
      <c r="Q4" s="1" t="s">
        <v>147</v>
      </c>
    </row>
    <row r="5" spans="1:17">
      <c r="A5" s="1" t="s">
        <v>29</v>
      </c>
      <c r="B5" s="1" t="s">
        <v>148</v>
      </c>
      <c r="P5" s="1" t="s">
        <v>29</v>
      </c>
      <c r="Q5" s="1" t="s">
        <v>148</v>
      </c>
    </row>
    <row r="6" spans="1:17">
      <c r="A6" s="1" t="s">
        <v>149</v>
      </c>
      <c r="B6" s="1" t="s">
        <v>150</v>
      </c>
      <c r="P6" s="1" t="s">
        <v>149</v>
      </c>
      <c r="Q6" s="1" t="s">
        <v>150</v>
      </c>
    </row>
    <row r="7" spans="1:17">
      <c r="A7" s="1" t="s">
        <v>151</v>
      </c>
      <c r="B7" s="1" t="s">
        <v>152</v>
      </c>
      <c r="F7" s="1" t="s">
        <v>153</v>
      </c>
      <c r="G7" s="1" t="s">
        <v>154</v>
      </c>
      <c r="P7" s="1" t="s">
        <v>155</v>
      </c>
      <c r="Q7" s="1" t="s">
        <v>156</v>
      </c>
    </row>
    <row r="8" spans="1:17">
      <c r="A8" s="1" t="s">
        <v>157</v>
      </c>
      <c r="B8" s="1" t="s">
        <v>158</v>
      </c>
      <c r="F8" s="1" t="s">
        <v>159</v>
      </c>
      <c r="G8" s="1" t="s">
        <v>160</v>
      </c>
      <c r="P8" s="1" t="s">
        <v>151</v>
      </c>
      <c r="Q8" s="1" t="s">
        <v>152</v>
      </c>
    </row>
    <row r="9" spans="1:17">
      <c r="A9" s="1" t="s">
        <v>161</v>
      </c>
      <c r="B9" s="1" t="s">
        <v>162</v>
      </c>
      <c r="F9" s="1" t="s">
        <v>163</v>
      </c>
      <c r="H9" s="1" t="s">
        <v>164</v>
      </c>
      <c r="P9" s="1" t="s">
        <v>157</v>
      </c>
      <c r="Q9" s="1" t="s">
        <v>158</v>
      </c>
    </row>
    <row r="10" spans="1:17">
      <c r="A10" s="1" t="s">
        <v>44</v>
      </c>
      <c r="B10" s="1" t="s">
        <v>165</v>
      </c>
      <c r="F10" s="1" t="s">
        <v>166</v>
      </c>
      <c r="G10" s="1" t="s">
        <v>167</v>
      </c>
      <c r="P10" s="1" t="s">
        <v>161</v>
      </c>
      <c r="Q10" s="1" t="s">
        <v>162</v>
      </c>
    </row>
    <row r="11" spans="1:17">
      <c r="A11" s="1" t="s">
        <v>46</v>
      </c>
      <c r="B11" s="1" t="s">
        <v>168</v>
      </c>
      <c r="F11" s="1" t="s">
        <v>169</v>
      </c>
      <c r="P11" s="1" t="s">
        <v>44</v>
      </c>
      <c r="Q11" s="1" t="s">
        <v>165</v>
      </c>
    </row>
    <row r="12" spans="1:17">
      <c r="A12" s="1" t="s">
        <v>170</v>
      </c>
      <c r="B12" s="1" t="s">
        <v>171</v>
      </c>
      <c r="F12" s="1" t="s">
        <v>172</v>
      </c>
      <c r="G12" s="1" t="s">
        <v>173</v>
      </c>
      <c r="P12" s="1" t="s">
        <v>46</v>
      </c>
      <c r="Q12" s="1" t="s">
        <v>174</v>
      </c>
    </row>
    <row r="13" spans="1:17">
      <c r="A13" s="1" t="s">
        <v>175</v>
      </c>
      <c r="B13" s="1" t="s">
        <v>176</v>
      </c>
      <c r="P13" s="1" t="s">
        <v>170</v>
      </c>
      <c r="Q13" s="1" t="s">
        <v>171</v>
      </c>
    </row>
    <row r="14" spans="1:17">
      <c r="A14" s="1" t="s">
        <v>177</v>
      </c>
      <c r="B14" s="1" t="s">
        <v>178</v>
      </c>
      <c r="P14" s="1" t="s">
        <v>175</v>
      </c>
      <c r="Q14" s="1" t="s">
        <v>176</v>
      </c>
    </row>
    <row r="15" spans="1:17">
      <c r="A15" s="1" t="s">
        <v>179</v>
      </c>
      <c r="B15" s="1" t="s">
        <v>180</v>
      </c>
      <c r="P15" s="1" t="s">
        <v>177</v>
      </c>
      <c r="Q15" s="1" t="s">
        <v>178</v>
      </c>
    </row>
    <row r="16" spans="1:17">
      <c r="A16" s="1" t="s">
        <v>181</v>
      </c>
      <c r="B16" s="1" t="s">
        <v>182</v>
      </c>
      <c r="P16" s="1" t="s">
        <v>179</v>
      </c>
      <c r="Q16" s="1" t="s">
        <v>180</v>
      </c>
    </row>
    <row r="17" spans="1:17">
      <c r="A17" s="1" t="s">
        <v>42</v>
      </c>
      <c r="B17" s="1" t="s">
        <v>183</v>
      </c>
      <c r="P17" s="1" t="s">
        <v>181</v>
      </c>
      <c r="Q17" s="1" t="s">
        <v>182</v>
      </c>
    </row>
    <row r="18" spans="1:17">
      <c r="A18" s="1" t="s">
        <v>184</v>
      </c>
      <c r="B18" s="1" t="s">
        <v>185</v>
      </c>
      <c r="P18" s="1" t="s">
        <v>42</v>
      </c>
      <c r="Q18" s="1" t="s">
        <v>183</v>
      </c>
    </row>
    <row r="19" spans="1:17">
      <c r="A19" s="1" t="s">
        <v>186</v>
      </c>
      <c r="B19" s="1" t="s">
        <v>187</v>
      </c>
      <c r="P19" s="1" t="s">
        <v>188</v>
      </c>
      <c r="Q19" s="1" t="s">
        <v>189</v>
      </c>
    </row>
    <row r="20" spans="1:17">
      <c r="A20" s="1" t="s">
        <v>190</v>
      </c>
      <c r="B20" s="1" t="s">
        <v>191</v>
      </c>
      <c r="P20" s="1" t="s">
        <v>184</v>
      </c>
      <c r="Q20" s="1" t="s">
        <v>185</v>
      </c>
    </row>
    <row r="21" spans="1:17">
      <c r="A21" s="1" t="s">
        <v>192</v>
      </c>
      <c r="B21" s="1" t="s">
        <v>193</v>
      </c>
      <c r="P21" s="1" t="s">
        <v>186</v>
      </c>
      <c r="Q21" s="1" t="s">
        <v>187</v>
      </c>
    </row>
    <row r="22" spans="1:17">
      <c r="A22" s="1" t="s">
        <v>194</v>
      </c>
      <c r="B22" s="1" t="s">
        <v>195</v>
      </c>
      <c r="P22" s="1" t="s">
        <v>190</v>
      </c>
      <c r="Q22" s="1" t="s">
        <v>191</v>
      </c>
    </row>
    <row r="23" spans="1:17">
      <c r="A23" s="1" t="s">
        <v>196</v>
      </c>
      <c r="B23" s="1" t="s">
        <v>197</v>
      </c>
      <c r="P23" s="1" t="s">
        <v>192</v>
      </c>
      <c r="Q23" s="1" t="s">
        <v>193</v>
      </c>
    </row>
    <row r="24" spans="1:17">
      <c r="A24" s="1" t="s">
        <v>198</v>
      </c>
      <c r="B24" s="1" t="s">
        <v>199</v>
      </c>
      <c r="P24" s="1" t="s">
        <v>194</v>
      </c>
      <c r="Q24" s="1" t="s">
        <v>195</v>
      </c>
    </row>
    <row r="25" spans="1:17">
      <c r="A25" s="1" t="s">
        <v>200</v>
      </c>
      <c r="B25" s="1" t="s">
        <v>201</v>
      </c>
      <c r="P25" s="1" t="s">
        <v>196</v>
      </c>
      <c r="Q25" s="1" t="s">
        <v>197</v>
      </c>
    </row>
    <row r="26" spans="1:17">
      <c r="A26" s="1" t="s">
        <v>202</v>
      </c>
      <c r="B26" s="1" t="s">
        <v>203</v>
      </c>
      <c r="P26" s="1" t="s">
        <v>198</v>
      </c>
      <c r="Q26" s="1" t="s">
        <v>199</v>
      </c>
    </row>
    <row r="27" spans="1:17">
      <c r="A27" s="1" t="s">
        <v>204</v>
      </c>
      <c r="B27" s="1" t="s">
        <v>205</v>
      </c>
      <c r="P27" s="1" t="s">
        <v>206</v>
      </c>
      <c r="Q27" s="1" t="s">
        <v>207</v>
      </c>
    </row>
    <row r="28" spans="1:17">
      <c r="A28" s="1" t="s">
        <v>208</v>
      </c>
      <c r="B28" s="1" t="s">
        <v>209</v>
      </c>
      <c r="P28" s="1" t="s">
        <v>210</v>
      </c>
      <c r="Q28" s="1" t="s">
        <v>211</v>
      </c>
    </row>
    <row r="29" spans="1:17">
      <c r="A29" s="1" t="s">
        <v>212</v>
      </c>
      <c r="B29" s="1" t="s">
        <v>213</v>
      </c>
      <c r="P29" s="1" t="s">
        <v>200</v>
      </c>
      <c r="Q29" s="1" t="s">
        <v>201</v>
      </c>
    </row>
    <row r="30" spans="1:17">
      <c r="A30" s="1" t="s">
        <v>214</v>
      </c>
      <c r="B30" s="1" t="s">
        <v>215</v>
      </c>
      <c r="P30" s="1" t="s">
        <v>216</v>
      </c>
      <c r="Q30" s="1" t="s">
        <v>217</v>
      </c>
    </row>
    <row r="31" spans="1:17">
      <c r="A31" s="1" t="s">
        <v>218</v>
      </c>
      <c r="B31" s="1" t="s">
        <v>219</v>
      </c>
      <c r="P31" s="1" t="s">
        <v>202</v>
      </c>
      <c r="Q31" s="1" t="s">
        <v>203</v>
      </c>
    </row>
    <row r="32" spans="1:17">
      <c r="A32" s="1" t="s">
        <v>32</v>
      </c>
      <c r="B32" s="1" t="s">
        <v>220</v>
      </c>
      <c r="P32" s="1" t="s">
        <v>204</v>
      </c>
      <c r="Q32" s="1" t="s">
        <v>221</v>
      </c>
    </row>
    <row r="33" spans="1:17">
      <c r="A33" s="1" t="s">
        <v>34</v>
      </c>
      <c r="B33" s="1" t="s">
        <v>222</v>
      </c>
      <c r="P33" s="1" t="s">
        <v>223</v>
      </c>
      <c r="Q33" s="1" t="s">
        <v>224</v>
      </c>
    </row>
    <row r="34" spans="1:17">
      <c r="A34" s="1" t="s">
        <v>35</v>
      </c>
      <c r="B34" s="1" t="s">
        <v>225</v>
      </c>
      <c r="P34" s="1" t="s">
        <v>208</v>
      </c>
      <c r="Q34" s="1" t="s">
        <v>209</v>
      </c>
    </row>
    <row r="35" spans="1:17">
      <c r="A35" s="1" t="s">
        <v>33</v>
      </c>
      <c r="B35" s="1" t="s">
        <v>226</v>
      </c>
      <c r="P35" s="1" t="s">
        <v>212</v>
      </c>
      <c r="Q35" s="1" t="s">
        <v>213</v>
      </c>
    </row>
    <row r="36" spans="1:17">
      <c r="A36" s="1" t="s">
        <v>227</v>
      </c>
      <c r="B36" s="1" t="s">
        <v>228</v>
      </c>
      <c r="P36" s="1" t="s">
        <v>214</v>
      </c>
      <c r="Q36" s="1" t="s">
        <v>215</v>
      </c>
    </row>
    <row r="37" spans="1:17">
      <c r="A37" s="1" t="s">
        <v>229</v>
      </c>
      <c r="B37" s="1" t="s">
        <v>230</v>
      </c>
      <c r="P37" s="1" t="s">
        <v>218</v>
      </c>
      <c r="Q37" s="1" t="s">
        <v>219</v>
      </c>
    </row>
    <row r="38" spans="1:17">
      <c r="A38" s="1" t="s">
        <v>231</v>
      </c>
      <c r="B38" s="1" t="s">
        <v>232</v>
      </c>
      <c r="P38" s="1" t="s">
        <v>32</v>
      </c>
      <c r="Q38" s="1" t="s">
        <v>220</v>
      </c>
    </row>
    <row r="39" spans="1:17">
      <c r="A39" s="1" t="s">
        <v>233</v>
      </c>
      <c r="B39" s="1" t="s">
        <v>234</v>
      </c>
      <c r="P39" s="1" t="s">
        <v>34</v>
      </c>
      <c r="Q39" s="1" t="s">
        <v>222</v>
      </c>
    </row>
    <row r="40" spans="1:17">
      <c r="A40" s="1" t="s">
        <v>235</v>
      </c>
      <c r="B40" s="1" t="s">
        <v>236</v>
      </c>
      <c r="P40" s="1" t="s">
        <v>35</v>
      </c>
      <c r="Q40" s="1" t="s">
        <v>225</v>
      </c>
    </row>
    <row r="41" spans="1:17">
      <c r="A41" s="1" t="s">
        <v>237</v>
      </c>
      <c r="B41" s="1" t="s">
        <v>238</v>
      </c>
      <c r="P41" s="1" t="s">
        <v>33</v>
      </c>
      <c r="Q41" s="1" t="s">
        <v>226</v>
      </c>
    </row>
    <row r="42" spans="1:17">
      <c r="A42" s="1" t="s">
        <v>239</v>
      </c>
      <c r="B42" s="1" t="s">
        <v>240</v>
      </c>
      <c r="P42" s="1" t="s">
        <v>227</v>
      </c>
      <c r="Q42" s="1" t="s">
        <v>228</v>
      </c>
    </row>
    <row r="43" spans="1:17">
      <c r="A43" s="1" t="s">
        <v>135</v>
      </c>
      <c r="B43" s="1" t="s">
        <v>241</v>
      </c>
      <c r="P43" s="1" t="s">
        <v>229</v>
      </c>
      <c r="Q43" s="1" t="s">
        <v>230</v>
      </c>
    </row>
    <row r="44" spans="1:17">
      <c r="A44" s="1" t="s">
        <v>242</v>
      </c>
      <c r="B44" s="1" t="s">
        <v>243</v>
      </c>
      <c r="P44" s="1" t="s">
        <v>231</v>
      </c>
      <c r="Q44" s="1" t="s">
        <v>232</v>
      </c>
    </row>
    <row r="45" spans="1:17">
      <c r="A45" s="1" t="s">
        <v>244</v>
      </c>
      <c r="B45" s="1" t="s">
        <v>245</v>
      </c>
      <c r="P45" s="1" t="s">
        <v>233</v>
      </c>
      <c r="Q45" s="1" t="s">
        <v>234</v>
      </c>
    </row>
    <row r="46" spans="1:17">
      <c r="A46" s="1" t="s">
        <v>246</v>
      </c>
      <c r="B46" s="1" t="s">
        <v>247</v>
      </c>
      <c r="P46" s="1" t="s">
        <v>235</v>
      </c>
      <c r="Q46" s="1" t="s">
        <v>236</v>
      </c>
    </row>
    <row r="47" spans="1:17">
      <c r="A47" s="1" t="s">
        <v>39</v>
      </c>
      <c r="B47" s="1" t="s">
        <v>248</v>
      </c>
      <c r="P47" s="1" t="s">
        <v>237</v>
      </c>
      <c r="Q47" s="1" t="s">
        <v>238</v>
      </c>
    </row>
    <row r="48" spans="1:17">
      <c r="A48" s="1" t="s">
        <v>249</v>
      </c>
      <c r="B48" s="1" t="s">
        <v>250</v>
      </c>
      <c r="P48" s="1" t="s">
        <v>239</v>
      </c>
      <c r="Q48" s="1" t="s">
        <v>240</v>
      </c>
    </row>
    <row r="49" spans="1:17">
      <c r="A49" s="1" t="s">
        <v>251</v>
      </c>
      <c r="B49" s="1" t="s">
        <v>252</v>
      </c>
      <c r="P49" s="1" t="s">
        <v>135</v>
      </c>
      <c r="Q49" s="1" t="s">
        <v>241</v>
      </c>
    </row>
    <row r="50" spans="1:17">
      <c r="A50" s="1" t="s">
        <v>253</v>
      </c>
      <c r="B50" s="1" t="s">
        <v>254</v>
      </c>
      <c r="P50" s="1" t="s">
        <v>255</v>
      </c>
      <c r="Q50" s="1" t="s">
        <v>256</v>
      </c>
    </row>
    <row r="51" spans="1:17">
      <c r="A51" s="1" t="s">
        <v>257</v>
      </c>
      <c r="B51" s="1" t="s">
        <v>258</v>
      </c>
      <c r="P51" s="1" t="s">
        <v>242</v>
      </c>
      <c r="Q51" s="1" t="s">
        <v>243</v>
      </c>
    </row>
    <row r="52" spans="1:17">
      <c r="A52" s="1" t="s">
        <v>259</v>
      </c>
      <c r="B52" s="1" t="s">
        <v>260</v>
      </c>
      <c r="P52" s="1" t="s">
        <v>244</v>
      </c>
      <c r="Q52" s="1" t="s">
        <v>245</v>
      </c>
    </row>
    <row r="53" spans="1:17">
      <c r="A53" s="1" t="s">
        <v>261</v>
      </c>
      <c r="B53" s="1" t="s">
        <v>262</v>
      </c>
      <c r="P53" s="1" t="s">
        <v>246</v>
      </c>
      <c r="Q53" s="1" t="s">
        <v>247</v>
      </c>
    </row>
    <row r="54" spans="1:17">
      <c r="A54" s="1" t="s">
        <v>263</v>
      </c>
      <c r="B54" s="1" t="s">
        <v>264</v>
      </c>
      <c r="P54" s="1" t="s">
        <v>39</v>
      </c>
      <c r="Q54" s="1" t="s">
        <v>248</v>
      </c>
    </row>
    <row r="55" spans="1:17">
      <c r="A55" s="1" t="s">
        <v>265</v>
      </c>
      <c r="B55" s="1" t="s">
        <v>266</v>
      </c>
      <c r="P55" s="1" t="s">
        <v>267</v>
      </c>
      <c r="Q55" s="1" t="s">
        <v>268</v>
      </c>
    </row>
    <row r="56" spans="1:17">
      <c r="A56" s="1" t="s">
        <v>269</v>
      </c>
      <c r="B56" s="1" t="s">
        <v>270</v>
      </c>
      <c r="P56" s="1" t="s">
        <v>249</v>
      </c>
      <c r="Q56" s="1" t="s">
        <v>250</v>
      </c>
    </row>
    <row r="57" spans="1:17">
      <c r="A57" s="1" t="s">
        <v>50</v>
      </c>
      <c r="B57" s="1" t="s">
        <v>271</v>
      </c>
      <c r="P57" s="1" t="s">
        <v>251</v>
      </c>
      <c r="Q57" s="1" t="s">
        <v>252</v>
      </c>
    </row>
    <row r="58" spans="1:17">
      <c r="A58" s="1" t="s">
        <v>272</v>
      </c>
      <c r="B58" s="1" t="s">
        <v>273</v>
      </c>
      <c r="P58" s="1" t="s">
        <v>253</v>
      </c>
      <c r="Q58" s="1" t="s">
        <v>274</v>
      </c>
    </row>
    <row r="59" spans="1:17">
      <c r="A59" s="1" t="s">
        <v>275</v>
      </c>
      <c r="B59" s="1" t="s">
        <v>276</v>
      </c>
      <c r="P59" s="1" t="s">
        <v>257</v>
      </c>
      <c r="Q59" s="1" t="s">
        <v>258</v>
      </c>
    </row>
    <row r="60" spans="1:17">
      <c r="A60" s="1" t="s">
        <v>277</v>
      </c>
      <c r="B60" s="1" t="s">
        <v>278</v>
      </c>
      <c r="P60" s="1" t="s">
        <v>259</v>
      </c>
      <c r="Q60" s="1" t="s">
        <v>279</v>
      </c>
    </row>
    <row r="61" spans="1:17">
      <c r="A61" s="1" t="s">
        <v>280</v>
      </c>
      <c r="B61" s="1" t="s">
        <v>281</v>
      </c>
      <c r="P61" s="1" t="s">
        <v>261</v>
      </c>
      <c r="Q61" s="1" t="s">
        <v>262</v>
      </c>
    </row>
    <row r="62" spans="1:17">
      <c r="A62" s="1" t="s">
        <v>282</v>
      </c>
      <c r="B62" s="1" t="s">
        <v>283</v>
      </c>
      <c r="P62" s="1" t="s">
        <v>263</v>
      </c>
      <c r="Q62" s="1" t="s">
        <v>284</v>
      </c>
    </row>
    <row r="63" spans="1:17">
      <c r="A63" s="1" t="s">
        <v>285</v>
      </c>
      <c r="B63" s="1" t="s">
        <v>286</v>
      </c>
      <c r="P63" s="1" t="s">
        <v>265</v>
      </c>
      <c r="Q63" s="1" t="s">
        <v>266</v>
      </c>
    </row>
    <row r="64" spans="1:17">
      <c r="A64" s="1" t="s">
        <v>287</v>
      </c>
      <c r="B64" s="1" t="s">
        <v>288</v>
      </c>
      <c r="P64" s="1" t="s">
        <v>269</v>
      </c>
      <c r="Q64" s="1" t="s">
        <v>270</v>
      </c>
    </row>
    <row r="65" spans="1:17">
      <c r="A65" s="1" t="s">
        <v>289</v>
      </c>
      <c r="B65" s="1" t="s">
        <v>290</v>
      </c>
      <c r="P65" s="1" t="s">
        <v>50</v>
      </c>
      <c r="Q65" s="1" t="s">
        <v>271</v>
      </c>
    </row>
    <row r="66" spans="1:17">
      <c r="A66" s="1" t="s">
        <v>291</v>
      </c>
      <c r="B66" s="1" t="s">
        <v>292</v>
      </c>
      <c r="P66" s="1" t="s">
        <v>272</v>
      </c>
      <c r="Q66" s="1" t="s">
        <v>273</v>
      </c>
    </row>
    <row r="67" spans="1:17">
      <c r="A67" s="1" t="s">
        <v>293</v>
      </c>
      <c r="B67" s="1" t="s">
        <v>294</v>
      </c>
      <c r="P67" s="1" t="s">
        <v>275</v>
      </c>
      <c r="Q67" s="1" t="s">
        <v>276</v>
      </c>
    </row>
    <row r="68" spans="1:17">
      <c r="A68" s="1" t="s">
        <v>295</v>
      </c>
      <c r="B68" s="1" t="s">
        <v>296</v>
      </c>
      <c r="P68" s="1" t="s">
        <v>277</v>
      </c>
      <c r="Q68" s="1" t="s">
        <v>278</v>
      </c>
    </row>
    <row r="69" spans="1:17">
      <c r="A69" s="1" t="s">
        <v>297</v>
      </c>
      <c r="B69" s="1" t="s">
        <v>298</v>
      </c>
      <c r="P69" s="1" t="s">
        <v>280</v>
      </c>
      <c r="Q69" s="1" t="s">
        <v>281</v>
      </c>
    </row>
    <row r="70" spans="1:17">
      <c r="A70" s="1" t="s">
        <v>299</v>
      </c>
      <c r="B70" s="1" t="s">
        <v>300</v>
      </c>
      <c r="P70" s="1" t="s">
        <v>282</v>
      </c>
      <c r="Q70" s="1" t="s">
        <v>283</v>
      </c>
    </row>
    <row r="71" spans="1:17">
      <c r="A71" s="1" t="s">
        <v>301</v>
      </c>
      <c r="B71" s="1" t="s">
        <v>302</v>
      </c>
      <c r="P71" s="1" t="s">
        <v>285</v>
      </c>
      <c r="Q71" s="1" t="s">
        <v>286</v>
      </c>
    </row>
    <row r="72" spans="1:17">
      <c r="A72" s="1" t="s">
        <v>48</v>
      </c>
      <c r="B72" s="1" t="s">
        <v>303</v>
      </c>
      <c r="P72" s="1" t="s">
        <v>287</v>
      </c>
      <c r="Q72" s="1" t="s">
        <v>288</v>
      </c>
    </row>
    <row r="73" spans="1:17">
      <c r="P73" s="1" t="s">
        <v>289</v>
      </c>
      <c r="Q73" s="1" t="s">
        <v>290</v>
      </c>
    </row>
    <row r="74" spans="1:17">
      <c r="P74" s="1" t="s">
        <v>291</v>
      </c>
      <c r="Q74" s="1" t="s">
        <v>292</v>
      </c>
    </row>
    <row r="75" spans="1:17">
      <c r="P75" s="1" t="s">
        <v>293</v>
      </c>
      <c r="Q75" s="1" t="s">
        <v>294</v>
      </c>
    </row>
    <row r="76" spans="1:17">
      <c r="P76" s="1" t="s">
        <v>295</v>
      </c>
      <c r="Q76" s="1" t="s">
        <v>296</v>
      </c>
    </row>
    <row r="77" spans="1:17">
      <c r="P77" s="1" t="s">
        <v>297</v>
      </c>
      <c r="Q77" s="1" t="s">
        <v>298</v>
      </c>
    </row>
    <row r="78" spans="1:17">
      <c r="P78" s="1" t="s">
        <v>299</v>
      </c>
      <c r="Q78" s="1" t="s">
        <v>300</v>
      </c>
    </row>
    <row r="79" spans="1:17">
      <c r="P79" s="1" t="s">
        <v>301</v>
      </c>
      <c r="Q79" s="1" t="s">
        <v>302</v>
      </c>
    </row>
    <row r="80" spans="1:17">
      <c r="P80" s="1" t="s">
        <v>304</v>
      </c>
      <c r="Q80" s="1" t="s">
        <v>305</v>
      </c>
    </row>
    <row r="81" spans="16:17">
      <c r="P81" s="1" t="s">
        <v>306</v>
      </c>
      <c r="Q81" s="1" t="s">
        <v>307</v>
      </c>
    </row>
    <row r="82" spans="16:17">
      <c r="P82" s="1" t="s">
        <v>308</v>
      </c>
      <c r="Q82" s="1" t="s">
        <v>309</v>
      </c>
    </row>
    <row r="83" spans="16:17">
      <c r="P83" s="1" t="s">
        <v>310</v>
      </c>
      <c r="Q83" s="1" t="s">
        <v>311</v>
      </c>
    </row>
    <row r="84" spans="16:17">
      <c r="P84" s="1" t="s">
        <v>312</v>
      </c>
      <c r="Q84" s="1" t="s">
        <v>313</v>
      </c>
    </row>
    <row r="85" spans="16:17">
      <c r="P85" s="1" t="s">
        <v>48</v>
      </c>
      <c r="Q85" s="1" t="s">
        <v>314</v>
      </c>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160" zoomScaleNormal="160" zoomScalePageLayoutView="160" workbookViewId="0">
      <selection activeCell="D10" sqref="D10"/>
    </sheetView>
  </sheetViews>
  <sheetFormatPr baseColWidth="10" defaultColWidth="11.5" defaultRowHeight="12" x14ac:dyDescent="0"/>
  <cols>
    <col min="1" max="1" width="29.6640625" customWidth="1"/>
    <col min="2" max="2" width="16.83203125" customWidth="1"/>
    <col min="3" max="3" width="11.5" customWidth="1"/>
    <col min="4" max="4" width="16.6640625" customWidth="1"/>
    <col min="6" max="6" width="37.5" customWidth="1"/>
  </cols>
  <sheetData>
    <row r="1" spans="1:7" ht="27.5" customHeight="1" thickBot="1">
      <c r="A1" s="480" t="s">
        <v>717</v>
      </c>
      <c r="B1" s="480"/>
      <c r="C1" s="480"/>
      <c r="D1" s="480"/>
    </row>
    <row r="2" spans="1:7" ht="26" thickTop="1" thickBot="1">
      <c r="A2" s="467" t="s">
        <v>711</v>
      </c>
      <c r="B2" s="468" t="s">
        <v>712</v>
      </c>
      <c r="C2" s="468" t="s">
        <v>714</v>
      </c>
      <c r="D2" s="469" t="s">
        <v>715</v>
      </c>
      <c r="F2" s="472" t="s">
        <v>736</v>
      </c>
    </row>
    <row r="3" spans="1:7" ht="13" thickTop="1">
      <c r="A3" s="98" t="s">
        <v>723</v>
      </c>
      <c r="B3" s="569">
        <v>12000</v>
      </c>
      <c r="C3" s="570">
        <v>23</v>
      </c>
      <c r="D3" s="114">
        <f>+C3*B3</f>
        <v>276000</v>
      </c>
      <c r="G3" s="123"/>
    </row>
    <row r="4" spans="1:7">
      <c r="A4" s="98" t="s">
        <v>724</v>
      </c>
      <c r="B4" s="569">
        <v>14000</v>
      </c>
      <c r="C4" s="570">
        <v>23</v>
      </c>
      <c r="D4" s="114">
        <f t="shared" ref="D4:D13" si="0">+C4*B4</f>
        <v>322000</v>
      </c>
      <c r="G4" s="123"/>
    </row>
    <row r="5" spans="1:7">
      <c r="A5" s="98" t="s">
        <v>725</v>
      </c>
      <c r="B5" s="569">
        <v>13192</v>
      </c>
      <c r="C5" s="570">
        <v>23</v>
      </c>
      <c r="D5" s="114">
        <f t="shared" si="0"/>
        <v>303416</v>
      </c>
    </row>
    <row r="6" spans="1:7">
      <c r="A6" s="98" t="s">
        <v>726</v>
      </c>
      <c r="B6" s="569">
        <v>13500</v>
      </c>
      <c r="C6" s="570">
        <v>22.5</v>
      </c>
      <c r="D6" s="114">
        <f t="shared" si="0"/>
        <v>303750</v>
      </c>
    </row>
    <row r="7" spans="1:7">
      <c r="A7" s="98" t="s">
        <v>713</v>
      </c>
      <c r="B7" s="569">
        <v>9500</v>
      </c>
      <c r="C7" s="570">
        <v>22.5</v>
      </c>
      <c r="D7" s="114">
        <f t="shared" si="0"/>
        <v>213750</v>
      </c>
    </row>
    <row r="8" spans="1:7">
      <c r="A8" s="98" t="s">
        <v>727</v>
      </c>
      <c r="B8" s="569">
        <v>9000</v>
      </c>
      <c r="C8" s="570">
        <v>22</v>
      </c>
      <c r="D8" s="114">
        <f t="shared" si="0"/>
        <v>198000</v>
      </c>
    </row>
    <row r="9" spans="1:7">
      <c r="A9" s="98" t="s">
        <v>728</v>
      </c>
      <c r="B9" s="569">
        <v>8500</v>
      </c>
      <c r="C9" s="570">
        <v>21.8</v>
      </c>
      <c r="D9" s="114">
        <f t="shared" si="0"/>
        <v>185300</v>
      </c>
    </row>
    <row r="10" spans="1:7">
      <c r="A10" s="98" t="s">
        <v>729</v>
      </c>
      <c r="B10" s="569">
        <v>8000</v>
      </c>
      <c r="C10" s="570">
        <v>21</v>
      </c>
      <c r="D10" s="114">
        <f t="shared" si="0"/>
        <v>168000</v>
      </c>
    </row>
    <row r="11" spans="1:7">
      <c r="A11" s="98" t="s">
        <v>730</v>
      </c>
      <c r="B11" s="569">
        <v>7500</v>
      </c>
      <c r="C11" s="570">
        <v>26</v>
      </c>
      <c r="D11" s="114">
        <f t="shared" si="0"/>
        <v>195000</v>
      </c>
    </row>
    <row r="12" spans="1:7">
      <c r="A12" s="98" t="s">
        <v>731</v>
      </c>
      <c r="B12" s="569">
        <v>7000</v>
      </c>
      <c r="C12" s="570">
        <v>25.5</v>
      </c>
      <c r="D12" s="114">
        <f t="shared" si="0"/>
        <v>178500</v>
      </c>
    </row>
    <row r="13" spans="1:7">
      <c r="A13" s="98" t="s">
        <v>732</v>
      </c>
      <c r="B13" s="569">
        <v>6500</v>
      </c>
      <c r="C13" s="570">
        <v>24</v>
      </c>
      <c r="D13" s="114">
        <f t="shared" si="0"/>
        <v>156000</v>
      </c>
    </row>
    <row r="14" spans="1:7" ht="13" thickBot="1">
      <c r="A14" s="98" t="s">
        <v>733</v>
      </c>
      <c r="B14" s="571">
        <v>5500</v>
      </c>
      <c r="C14" s="572">
        <v>23</v>
      </c>
      <c r="D14" s="470">
        <f>+C14*B14</f>
        <v>126500</v>
      </c>
    </row>
    <row r="15" spans="1:7" ht="13" thickTop="1">
      <c r="A15" s="98" t="s">
        <v>718</v>
      </c>
      <c r="B15" s="123">
        <f>+SUM(B3:B14)</f>
        <v>114192</v>
      </c>
      <c r="C15" s="114"/>
      <c r="D15" s="114">
        <f>+SUM(D3:D14)</f>
        <v>2626216</v>
      </c>
    </row>
    <row r="16" spans="1:7" ht="24">
      <c r="A16" s="466" t="s">
        <v>719</v>
      </c>
      <c r="B16" s="123">
        <f>+TOTAL_MILK_PROD</f>
        <v>114192</v>
      </c>
    </row>
    <row r="17" spans="1:3">
      <c r="A17" s="98" t="s">
        <v>720</v>
      </c>
      <c r="B17" s="124">
        <f>+B15-B16</f>
        <v>0</v>
      </c>
      <c r="C17" s="98" t="s">
        <v>721</v>
      </c>
    </row>
    <row r="18" spans="1:3" ht="36">
      <c r="A18" s="466" t="s">
        <v>722</v>
      </c>
      <c r="B18" s="114">
        <f>+total_monthly_rev/total_monthly_milk_prod</f>
        <v>22.998248563822333</v>
      </c>
      <c r="C18" s="98" t="s">
        <v>734</v>
      </c>
    </row>
    <row r="23" spans="1:3">
      <c r="C23" s="3">
        <f>+AVERAGE(C3:C14)</f>
        <v>23.108333333333334</v>
      </c>
    </row>
  </sheetData>
  <sheetProtection sheet="1" objects="1" scenarios="1"/>
  <mergeCells count="1">
    <mergeCell ref="A1:D1"/>
  </mergeCells>
  <hyperlinks>
    <hyperlink ref="F2" location="Main!I18" display="Click here to return to the Main Page"/>
  </hyperlinks>
  <pageMargins left="0.75" right="0.75" top="1" bottom="1" header="0.5" footer="0.5"/>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pageSetUpPr fitToPage="1"/>
  </sheetPr>
  <dimension ref="A1"/>
  <sheetViews>
    <sheetView workbookViewId="0">
      <selection activeCell="A4" sqref="A4:C4"/>
    </sheetView>
  </sheetViews>
  <sheetFormatPr baseColWidth="10" defaultColWidth="8.83203125" defaultRowHeight="12" x14ac:dyDescent="0"/>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pageSetUpPr fitToPage="1"/>
  </sheetPr>
  <dimension ref="A1:C1"/>
  <sheetViews>
    <sheetView workbookViewId="0">
      <selection activeCell="A4" sqref="A4:C4"/>
    </sheetView>
  </sheetViews>
  <sheetFormatPr baseColWidth="10" defaultColWidth="8.5" defaultRowHeight="12" x14ac:dyDescent="0"/>
  <cols>
    <col min="1" max="16384" width="8.5" style="1"/>
  </cols>
  <sheetData>
    <row r="1" spans="1:3">
      <c r="A1" s="1" t="s">
        <v>315</v>
      </c>
      <c r="C1" s="1" t="s">
        <v>316</v>
      </c>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pageSetUpPr fitToPage="1"/>
  </sheetPr>
  <dimension ref="A2:I13"/>
  <sheetViews>
    <sheetView zoomScale="80" zoomScaleNormal="80" zoomScalePageLayoutView="80" workbookViewId="0">
      <selection activeCell="A4" sqref="A4:C4"/>
    </sheetView>
  </sheetViews>
  <sheetFormatPr baseColWidth="10" defaultColWidth="8.83203125" defaultRowHeight="12" x14ac:dyDescent="0"/>
  <cols>
    <col min="3" max="3" width="9.1640625" customWidth="1"/>
    <col min="4" max="4" width="27.83203125" customWidth="1"/>
    <col min="6" max="6" width="12.83203125" customWidth="1"/>
    <col min="7" max="7" width="15.5" customWidth="1"/>
    <col min="8" max="8" width="12.6640625" style="35" customWidth="1"/>
    <col min="9" max="9" width="16.1640625" customWidth="1"/>
    <col min="10" max="10" width="9.83203125" bestFit="1" customWidth="1"/>
  </cols>
  <sheetData>
    <row r="2" spans="1:9" ht="23" thickBot="1">
      <c r="D2" s="568" t="s">
        <v>419</v>
      </c>
      <c r="E2" s="568"/>
      <c r="F2" s="568"/>
      <c r="G2" s="568"/>
      <c r="H2" s="568"/>
      <c r="I2" s="568"/>
    </row>
    <row r="3" spans="1:9" ht="46" thickBot="1">
      <c r="D3" s="278" t="s">
        <v>374</v>
      </c>
      <c r="E3" s="279" t="s">
        <v>375</v>
      </c>
      <c r="F3" s="279" t="s">
        <v>386</v>
      </c>
      <c r="G3" s="279" t="s">
        <v>378</v>
      </c>
      <c r="H3" s="280" t="s">
        <v>376</v>
      </c>
      <c r="I3" s="281" t="s">
        <v>377</v>
      </c>
    </row>
    <row r="4" spans="1:9" ht="15">
      <c r="A4" s="567" t="s">
        <v>364</v>
      </c>
      <c r="B4" s="567"/>
      <c r="C4" s="567"/>
      <c r="D4" s="234" t="s">
        <v>379</v>
      </c>
      <c r="E4" s="424">
        <v>1</v>
      </c>
      <c r="F4" s="424" t="s">
        <v>385</v>
      </c>
      <c r="G4" s="425">
        <v>100000</v>
      </c>
      <c r="H4" s="425"/>
      <c r="I4" s="282">
        <f>+G4*E4</f>
        <v>100000</v>
      </c>
    </row>
    <row r="5" spans="1:9" ht="15">
      <c r="D5" s="234" t="s">
        <v>380</v>
      </c>
      <c r="E5" s="424">
        <v>1</v>
      </c>
      <c r="F5" s="424" t="s">
        <v>385</v>
      </c>
      <c r="G5" s="425">
        <v>50000</v>
      </c>
      <c r="H5" s="425">
        <f>+G5*0.33</f>
        <v>16500</v>
      </c>
      <c r="I5" s="282">
        <f>+(H5+G5)*E5</f>
        <v>66500</v>
      </c>
    </row>
    <row r="6" spans="1:9" ht="15">
      <c r="D6" s="234" t="s">
        <v>381</v>
      </c>
      <c r="E6" s="424">
        <v>0</v>
      </c>
      <c r="F6" s="424">
        <v>3120</v>
      </c>
      <c r="G6" s="425">
        <v>10.75</v>
      </c>
      <c r="H6" s="425">
        <v>1.25</v>
      </c>
      <c r="I6" s="282">
        <f t="shared" ref="I6:I11" si="0">+(H6+G6)*(F6*E6)</f>
        <v>0</v>
      </c>
    </row>
    <row r="7" spans="1:9" ht="15">
      <c r="D7" s="234" t="s">
        <v>668</v>
      </c>
      <c r="E7" s="424">
        <v>5</v>
      </c>
      <c r="F7" s="424">
        <v>3120</v>
      </c>
      <c r="G7" s="425">
        <v>10.5</v>
      </c>
      <c r="H7" s="425">
        <v>1.25</v>
      </c>
      <c r="I7" s="282">
        <f t="shared" si="0"/>
        <v>183300</v>
      </c>
    </row>
    <row r="8" spans="1:9" ht="15">
      <c r="D8" s="234" t="s">
        <v>669</v>
      </c>
      <c r="E8" s="424">
        <v>1</v>
      </c>
      <c r="F8" s="424">
        <v>3120</v>
      </c>
      <c r="G8" s="425">
        <v>9.75</v>
      </c>
      <c r="H8" s="425">
        <v>1.25</v>
      </c>
      <c r="I8" s="282">
        <f t="shared" si="0"/>
        <v>34320</v>
      </c>
    </row>
    <row r="9" spans="1:9" ht="15">
      <c r="D9" s="234" t="s">
        <v>382</v>
      </c>
      <c r="E9" s="424">
        <v>0</v>
      </c>
      <c r="F9" s="424">
        <v>3120</v>
      </c>
      <c r="G9" s="425">
        <v>9.75</v>
      </c>
      <c r="H9" s="425">
        <v>1.25</v>
      </c>
      <c r="I9" s="282">
        <f t="shared" si="0"/>
        <v>0</v>
      </c>
    </row>
    <row r="10" spans="1:9" ht="15">
      <c r="D10" s="234" t="s">
        <v>383</v>
      </c>
      <c r="E10" s="424">
        <v>0</v>
      </c>
      <c r="F10" s="424">
        <v>3120</v>
      </c>
      <c r="G10" s="425">
        <v>9.5</v>
      </c>
      <c r="H10" s="425">
        <v>1.25</v>
      </c>
      <c r="I10" s="282">
        <f t="shared" si="0"/>
        <v>0</v>
      </c>
    </row>
    <row r="11" spans="1:9" ht="16" thickBot="1">
      <c r="D11" s="277" t="s">
        <v>415</v>
      </c>
      <c r="E11" s="426">
        <v>0</v>
      </c>
      <c r="F11" s="426">
        <v>3120</v>
      </c>
      <c r="G11" s="427">
        <v>12</v>
      </c>
      <c r="H11" s="427">
        <v>1.25</v>
      </c>
      <c r="I11" s="283">
        <f t="shared" si="0"/>
        <v>0</v>
      </c>
    </row>
    <row r="12" spans="1:9" ht="16" thickTop="1">
      <c r="D12" s="284" t="s">
        <v>384</v>
      </c>
      <c r="E12" s="284">
        <f>+SUM(E4:E11)</f>
        <v>8</v>
      </c>
      <c r="F12" s="284"/>
      <c r="G12" s="284"/>
      <c r="H12" s="285"/>
      <c r="I12" s="286">
        <f>+SUM(I4:I11)</f>
        <v>384120</v>
      </c>
    </row>
    <row r="13" spans="1:9">
      <c r="I13" s="115"/>
    </row>
  </sheetData>
  <sheetProtection sheet="1" objects="1" scenarios="1"/>
  <mergeCells count="2">
    <mergeCell ref="A4:C4"/>
    <mergeCell ref="D2:I2"/>
  </mergeCells>
  <phoneticPr fontId="0" type="noConversion"/>
  <hyperlinks>
    <hyperlink ref="A4:C4" location="Main!B69" display="Return to Main Budget"/>
  </hyperlinks>
  <pageMargins left="0.75" right="0.75" top="1" bottom="1" header="0.5" footer="0.5"/>
  <headerFooter alignWithMargins="0">
    <oddFooter>&amp;A</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J397"/>
  <sheetViews>
    <sheetView tabSelected="1" workbookViewId="0">
      <selection activeCell="F124" sqref="F124"/>
    </sheetView>
  </sheetViews>
  <sheetFormatPr baseColWidth="10" defaultColWidth="8.5" defaultRowHeight="15" x14ac:dyDescent="0"/>
  <cols>
    <col min="1" max="1" width="37.33203125" style="202" customWidth="1"/>
    <col min="2" max="2" width="42.33203125" style="203" customWidth="1"/>
    <col min="3" max="3" width="13.1640625" style="203" customWidth="1"/>
    <col min="4" max="4" width="13.83203125" style="203" customWidth="1"/>
    <col min="5" max="5" width="17.83203125" style="203" customWidth="1"/>
    <col min="6" max="6" width="16.1640625" style="203" customWidth="1"/>
    <col min="7" max="7" width="14.83203125" style="203" customWidth="1"/>
    <col min="8" max="8" width="14.6640625" style="203" customWidth="1"/>
    <col min="9" max="9" width="19.5" style="203" customWidth="1"/>
    <col min="10" max="10" width="8.5" style="203" customWidth="1"/>
    <col min="11" max="16384" width="8.5" style="203"/>
  </cols>
  <sheetData>
    <row r="1" spans="1:9">
      <c r="B1" s="502" t="s">
        <v>707</v>
      </c>
      <c r="C1" s="502"/>
      <c r="D1" s="502"/>
      <c r="E1" s="502"/>
      <c r="F1" s="502"/>
      <c r="G1" s="502"/>
      <c r="H1" s="502"/>
      <c r="I1" s="502"/>
    </row>
    <row r="2" spans="1:9">
      <c r="B2" s="503" t="s">
        <v>705</v>
      </c>
      <c r="C2" s="503"/>
      <c r="D2" s="503"/>
      <c r="E2" s="503"/>
      <c r="F2" s="503"/>
      <c r="G2" s="503"/>
      <c r="H2" s="503"/>
      <c r="I2" s="503"/>
    </row>
    <row r="3" spans="1:9">
      <c r="B3" s="503" t="s">
        <v>700</v>
      </c>
      <c r="C3" s="503"/>
      <c r="D3" s="503"/>
      <c r="E3" s="503"/>
      <c r="F3" s="503"/>
      <c r="G3" s="503"/>
      <c r="H3" s="503"/>
      <c r="I3" s="503"/>
    </row>
    <row r="4" spans="1:9">
      <c r="B4" s="504" t="s">
        <v>588</v>
      </c>
      <c r="C4" s="504"/>
      <c r="D4" s="504"/>
      <c r="E4" s="504"/>
      <c r="F4" s="504"/>
      <c r="G4" s="504"/>
      <c r="H4" s="504"/>
      <c r="I4" s="504"/>
    </row>
    <row r="5" spans="1:9" ht="30" customHeight="1">
      <c r="B5" s="505" t="s">
        <v>703</v>
      </c>
      <c r="C5" s="480"/>
      <c r="D5" s="480"/>
      <c r="E5" s="480"/>
      <c r="F5" s="480"/>
      <c r="G5" s="480"/>
      <c r="H5" s="480"/>
      <c r="I5" s="480"/>
    </row>
    <row r="6" spans="1:9">
      <c r="B6" s="504"/>
      <c r="C6" s="504"/>
      <c r="D6" s="504"/>
      <c r="E6" s="504"/>
      <c r="F6" s="504"/>
      <c r="G6" s="504"/>
      <c r="H6" s="504"/>
      <c r="I6" s="504"/>
    </row>
    <row r="7" spans="1:9">
      <c r="B7" s="507">
        <v>42005</v>
      </c>
      <c r="C7" s="507"/>
      <c r="D7" s="507"/>
      <c r="E7" s="507"/>
      <c r="F7" s="507"/>
      <c r="G7" s="507"/>
      <c r="H7" s="507"/>
      <c r="I7" s="507"/>
    </row>
    <row r="8" spans="1:9">
      <c r="B8" s="508" t="s">
        <v>664</v>
      </c>
      <c r="C8" s="508"/>
      <c r="D8" s="508"/>
      <c r="E8" s="508"/>
      <c r="F8" s="508"/>
      <c r="G8" s="508"/>
      <c r="H8" s="508"/>
      <c r="I8" s="508"/>
    </row>
    <row r="9" spans="1:9">
      <c r="B9" s="508"/>
      <c r="C9" s="508"/>
      <c r="D9" s="508"/>
      <c r="E9" s="508"/>
      <c r="F9" s="508"/>
      <c r="G9" s="508"/>
      <c r="H9" s="508"/>
      <c r="I9" s="508"/>
    </row>
    <row r="10" spans="1:9">
      <c r="B10" s="509" t="str">
        <f>+B1</f>
        <v>600 Cow Hybrid Grazing Dairy Enterprise Budget</v>
      </c>
      <c r="C10" s="509"/>
      <c r="D10" s="509"/>
      <c r="E10" s="509"/>
      <c r="F10" s="509"/>
      <c r="G10" s="509"/>
      <c r="H10" s="509"/>
      <c r="I10" s="509"/>
    </row>
    <row r="11" spans="1:9">
      <c r="A11" s="204"/>
      <c r="B11" s="509"/>
      <c r="C11" s="509"/>
      <c r="D11" s="509"/>
      <c r="E11" s="509"/>
      <c r="F11" s="509"/>
      <c r="G11" s="509"/>
      <c r="H11" s="509"/>
      <c r="I11" s="509"/>
    </row>
    <row r="12" spans="1:9">
      <c r="A12" s="205"/>
      <c r="B12" s="512" t="s">
        <v>650</v>
      </c>
      <c r="C12" s="513"/>
      <c r="D12" s="513"/>
      <c r="E12" s="514"/>
      <c r="F12" s="205"/>
      <c r="G12" s="205"/>
      <c r="H12" s="205"/>
    </row>
    <row r="13" spans="1:9" ht="29" customHeight="1">
      <c r="A13" s="206"/>
      <c r="B13" s="516" t="s">
        <v>620</v>
      </c>
      <c r="C13" s="516"/>
      <c r="D13" s="516"/>
      <c r="E13" s="516"/>
      <c r="F13" s="516"/>
      <c r="G13" s="257">
        <v>2</v>
      </c>
      <c r="H13" s="207"/>
    </row>
    <row r="14" spans="1:9" ht="16" thickBot="1">
      <c r="B14" s="208"/>
      <c r="C14" s="208"/>
      <c r="D14" s="208"/>
      <c r="E14" s="208"/>
      <c r="F14" s="208"/>
      <c r="G14" s="208"/>
      <c r="H14" s="209"/>
    </row>
    <row r="15" spans="1:9">
      <c r="B15" s="522" t="s">
        <v>739</v>
      </c>
      <c r="C15" s="522"/>
      <c r="D15" s="522"/>
      <c r="E15" s="522"/>
      <c r="F15" s="522"/>
      <c r="G15" s="522"/>
      <c r="H15" s="252">
        <v>600</v>
      </c>
    </row>
    <row r="16" spans="1:9">
      <c r="B16" s="506" t="s">
        <v>1</v>
      </c>
      <c r="C16" s="506"/>
      <c r="D16" s="506"/>
      <c r="E16" s="506"/>
      <c r="F16" s="506"/>
      <c r="G16" s="506"/>
      <c r="H16" s="253">
        <v>12.5</v>
      </c>
    </row>
    <row r="17" spans="1:9">
      <c r="B17" s="506" t="s">
        <v>2</v>
      </c>
      <c r="C17" s="506"/>
      <c r="D17" s="506"/>
      <c r="E17" s="506"/>
      <c r="F17" s="506"/>
      <c r="G17" s="506"/>
      <c r="H17" s="292">
        <f>+(cows*12)/interval</f>
        <v>576</v>
      </c>
    </row>
    <row r="18" spans="1:9">
      <c r="B18" s="492" t="s">
        <v>326</v>
      </c>
      <c r="C18" s="492"/>
      <c r="D18" s="492"/>
      <c r="E18" s="492"/>
      <c r="F18" s="492"/>
      <c r="G18" s="492"/>
      <c r="H18" s="254">
        <f>65*305</f>
        <v>19825</v>
      </c>
    </row>
    <row r="19" spans="1:9">
      <c r="B19" s="492" t="s">
        <v>328</v>
      </c>
      <c r="C19" s="492"/>
      <c r="D19" s="492"/>
      <c r="E19" s="492"/>
      <c r="F19" s="492"/>
      <c r="G19" s="492"/>
      <c r="H19" s="292">
        <f>+(lactations*MILK)/100</f>
        <v>114192</v>
      </c>
    </row>
    <row r="20" spans="1:9">
      <c r="B20" s="492" t="s">
        <v>674</v>
      </c>
      <c r="C20" s="492"/>
      <c r="D20" s="492"/>
      <c r="E20" s="492"/>
      <c r="F20" s="492"/>
      <c r="G20" s="492"/>
      <c r="H20" s="255">
        <v>23</v>
      </c>
      <c r="I20" s="471" t="s">
        <v>735</v>
      </c>
    </row>
    <row r="21" spans="1:9">
      <c r="B21" s="506" t="s">
        <v>3</v>
      </c>
      <c r="C21" s="506"/>
      <c r="D21" s="506"/>
      <c r="E21" s="506"/>
      <c r="F21" s="506"/>
      <c r="G21" s="506"/>
      <c r="H21" s="256">
        <v>3.5999999999999997E-2</v>
      </c>
    </row>
    <row r="22" spans="1:9">
      <c r="B22" s="492" t="s">
        <v>327</v>
      </c>
      <c r="C22" s="492"/>
      <c r="D22" s="492"/>
      <c r="E22" s="492"/>
      <c r="F22" s="492"/>
      <c r="G22" s="492"/>
      <c r="H22" s="293">
        <f>+MILK</f>
        <v>19825</v>
      </c>
    </row>
    <row r="23" spans="1:9">
      <c r="B23" s="506" t="s">
        <v>4</v>
      </c>
      <c r="C23" s="506"/>
      <c r="D23" s="506"/>
      <c r="E23" s="506"/>
      <c r="F23" s="506"/>
      <c r="G23" s="506"/>
      <c r="H23" s="256">
        <v>0.32</v>
      </c>
    </row>
    <row r="24" spans="1:9">
      <c r="B24" s="506" t="s">
        <v>5</v>
      </c>
      <c r="C24" s="506"/>
      <c r="D24" s="506"/>
      <c r="E24" s="506"/>
      <c r="F24" s="506"/>
      <c r="G24" s="506"/>
      <c r="H24" s="256">
        <v>7.4999999999999997E-2</v>
      </c>
    </row>
    <row r="25" spans="1:9">
      <c r="B25" s="506" t="s">
        <v>6</v>
      </c>
      <c r="C25" s="506"/>
      <c r="D25" s="506"/>
      <c r="E25" s="506"/>
      <c r="F25" s="506"/>
      <c r="G25" s="506"/>
      <c r="H25" s="256">
        <v>0.05</v>
      </c>
    </row>
    <row r="26" spans="1:9">
      <c r="B26" s="506" t="s">
        <v>318</v>
      </c>
      <c r="C26" s="506"/>
      <c r="D26" s="506"/>
      <c r="E26" s="506"/>
      <c r="F26" s="506"/>
      <c r="G26" s="506"/>
      <c r="H26" s="256">
        <v>0.12</v>
      </c>
    </row>
    <row r="27" spans="1:9" s="465" customFormat="1">
      <c r="A27" s="202"/>
      <c r="B27" s="492" t="s">
        <v>741</v>
      </c>
      <c r="C27" s="492"/>
      <c r="D27" s="492"/>
      <c r="E27" s="492"/>
      <c r="F27" s="492"/>
      <c r="G27" s="511"/>
      <c r="H27" s="479">
        <f>+(cows)*(cull_rate+death_loss+heifer_death)</f>
        <v>309</v>
      </c>
    </row>
    <row r="28" spans="1:9" s="465" customFormat="1">
      <c r="A28" s="202"/>
      <c r="B28" s="492" t="s">
        <v>742</v>
      </c>
      <c r="C28" s="492"/>
      <c r="D28" s="492"/>
      <c r="E28" s="492"/>
      <c r="F28" s="492"/>
      <c r="G28" s="511"/>
      <c r="H28" s="288">
        <v>350</v>
      </c>
    </row>
    <row r="29" spans="1:9" s="465" customFormat="1">
      <c r="A29" s="202"/>
      <c r="H29" s="476"/>
    </row>
    <row r="31" spans="1:9" ht="16" thickBot="1"/>
    <row r="32" spans="1:9" ht="31" thickBot="1">
      <c r="B32" s="485" t="s">
        <v>24</v>
      </c>
      <c r="C32" s="486"/>
      <c r="D32" s="211"/>
      <c r="E32" s="212" t="s">
        <v>244</v>
      </c>
      <c r="F32" s="212" t="s">
        <v>330</v>
      </c>
      <c r="G32" s="212" t="s">
        <v>331</v>
      </c>
      <c r="H32" s="212" t="s">
        <v>332</v>
      </c>
      <c r="I32" s="213" t="s">
        <v>333</v>
      </c>
    </row>
    <row r="33" spans="1:9">
      <c r="A33" s="214" t="s">
        <v>12</v>
      </c>
      <c r="G33" s="215" t="s">
        <v>13</v>
      </c>
      <c r="H33" s="216"/>
    </row>
    <row r="34" spans="1:9">
      <c r="B34" s="308" t="s">
        <v>14</v>
      </c>
      <c r="C34" s="308"/>
      <c r="D34" s="308"/>
      <c r="E34" s="308" t="s">
        <v>322</v>
      </c>
      <c r="F34" s="307">
        <f>+TOTAL_MILK_PROD</f>
        <v>114192</v>
      </c>
      <c r="G34" s="258">
        <v>1</v>
      </c>
      <c r="H34" s="294">
        <f t="shared" ref="H34:H37" si="0">F34*G34</f>
        <v>114192</v>
      </c>
      <c r="I34" s="295">
        <f t="shared" ref="I34:I68" si="1">+H34/cows</f>
        <v>190.32</v>
      </c>
    </row>
    <row r="35" spans="1:9">
      <c r="B35" s="308" t="s">
        <v>16</v>
      </c>
      <c r="C35" s="308"/>
      <c r="D35" s="308"/>
      <c r="E35" s="308" t="s">
        <v>322</v>
      </c>
      <c r="F35" s="307">
        <f>+TOTAL_MILK_PROD</f>
        <v>114192</v>
      </c>
      <c r="G35" s="258">
        <v>0.1</v>
      </c>
      <c r="H35" s="294">
        <f t="shared" si="0"/>
        <v>11419.2</v>
      </c>
      <c r="I35" s="295">
        <f t="shared" si="1"/>
        <v>19.032</v>
      </c>
    </row>
    <row r="36" spans="1:9">
      <c r="B36" s="308" t="s">
        <v>17</v>
      </c>
      <c r="C36" s="308"/>
      <c r="D36" s="308"/>
      <c r="E36" s="308" t="s">
        <v>322</v>
      </c>
      <c r="F36" s="307">
        <f>+TOTAL_MILK_PROD</f>
        <v>114192</v>
      </c>
      <c r="G36" s="258">
        <v>0.16</v>
      </c>
      <c r="H36" s="294">
        <f t="shared" si="0"/>
        <v>18270.72</v>
      </c>
      <c r="I36" s="295">
        <f t="shared" si="1"/>
        <v>30.451200000000004</v>
      </c>
    </row>
    <row r="37" spans="1:9">
      <c r="B37" s="308" t="s">
        <v>18</v>
      </c>
      <c r="C37" s="308"/>
      <c r="D37" s="308"/>
      <c r="E37" s="308" t="s">
        <v>323</v>
      </c>
      <c r="F37" s="307">
        <f>H15</f>
        <v>600</v>
      </c>
      <c r="G37" s="258">
        <v>16.25</v>
      </c>
      <c r="H37" s="294">
        <f t="shared" si="0"/>
        <v>9750</v>
      </c>
      <c r="I37" s="295">
        <f t="shared" si="1"/>
        <v>16.25</v>
      </c>
    </row>
    <row r="38" spans="1:9">
      <c r="A38" s="218" t="s">
        <v>716</v>
      </c>
      <c r="B38" s="259" t="s">
        <v>651</v>
      </c>
      <c r="C38" s="259"/>
      <c r="D38" s="259"/>
      <c r="E38" s="259"/>
      <c r="F38" s="260"/>
      <c r="G38" s="217"/>
      <c r="H38" s="296">
        <f>+SUM(H39:H48)</f>
        <v>679796.18375999993</v>
      </c>
      <c r="I38" s="297">
        <f>+H38/cows</f>
        <v>1132.9936395999998</v>
      </c>
    </row>
    <row r="39" spans="1:9">
      <c r="B39" s="309" t="s">
        <v>594</v>
      </c>
      <c r="C39" s="308"/>
      <c r="D39" s="308"/>
      <c r="E39" s="308" t="s">
        <v>564</v>
      </c>
      <c r="F39" s="307">
        <f>+Feed_detail!F47</f>
        <v>-295.95339999999942</v>
      </c>
      <c r="G39" s="258">
        <v>0</v>
      </c>
      <c r="H39" s="294">
        <f t="shared" ref="H39:H48" si="2">+G39*F39</f>
        <v>0</v>
      </c>
      <c r="I39" s="295">
        <f>+H39/cows</f>
        <v>0</v>
      </c>
    </row>
    <row r="40" spans="1:9">
      <c r="B40" s="309" t="s">
        <v>595</v>
      </c>
      <c r="C40" s="308"/>
      <c r="D40" s="308"/>
      <c r="E40" s="308" t="s">
        <v>564</v>
      </c>
      <c r="F40" s="307">
        <f>+Feed_detail!F48</f>
        <v>-272.42693999999983</v>
      </c>
      <c r="G40" s="258">
        <v>0</v>
      </c>
      <c r="H40" s="294">
        <f t="shared" si="2"/>
        <v>0</v>
      </c>
      <c r="I40" s="295">
        <f>+H40/cows</f>
        <v>0</v>
      </c>
    </row>
    <row r="41" spans="1:9">
      <c r="B41" s="309" t="s">
        <v>596</v>
      </c>
      <c r="C41" s="308"/>
      <c r="D41" s="308"/>
      <c r="E41" s="308" t="s">
        <v>564</v>
      </c>
      <c r="F41" s="307">
        <f>+Feed_detail!F49</f>
        <v>-54.079999999999927</v>
      </c>
      <c r="G41" s="258">
        <v>0</v>
      </c>
      <c r="H41" s="294">
        <f t="shared" si="2"/>
        <v>0</v>
      </c>
      <c r="I41" s="295">
        <f>+H41/cows</f>
        <v>0</v>
      </c>
    </row>
    <row r="42" spans="1:9">
      <c r="B42" s="309" t="s">
        <v>597</v>
      </c>
      <c r="C42" s="308"/>
      <c r="D42" s="308"/>
      <c r="E42" s="308" t="s">
        <v>564</v>
      </c>
      <c r="F42" s="307">
        <f>+Feed_detail!F50</f>
        <v>256.36204000000004</v>
      </c>
      <c r="G42" s="258">
        <v>0</v>
      </c>
      <c r="H42" s="294">
        <f t="shared" si="2"/>
        <v>0</v>
      </c>
      <c r="I42" s="295">
        <f>+H42/cows</f>
        <v>0</v>
      </c>
    </row>
    <row r="43" spans="1:9" s="245" customFormat="1">
      <c r="A43" s="202"/>
      <c r="B43" s="309" t="s">
        <v>656</v>
      </c>
      <c r="C43" s="308"/>
      <c r="D43" s="308"/>
      <c r="E43" s="308" t="s">
        <v>564</v>
      </c>
      <c r="F43" s="307">
        <f>+Feed_detail!F51</f>
        <v>2102.2754399999999</v>
      </c>
      <c r="G43" s="258">
        <v>39</v>
      </c>
      <c r="H43" s="294">
        <f t="shared" ref="H43" si="3">+G43*F43</f>
        <v>81988.742159999994</v>
      </c>
      <c r="I43" s="295">
        <f t="shared" ref="I43" si="4">+H43/cows</f>
        <v>136.64790359999998</v>
      </c>
    </row>
    <row r="44" spans="1:9">
      <c r="B44" s="309" t="s">
        <v>598</v>
      </c>
      <c r="C44" s="308"/>
      <c r="D44" s="308"/>
      <c r="E44" s="308" t="s">
        <v>564</v>
      </c>
      <c r="F44" s="307">
        <f>+Feed_detail!F52</f>
        <v>921.0619425000001</v>
      </c>
      <c r="G44" s="258">
        <v>200</v>
      </c>
      <c r="H44" s="294">
        <f t="shared" si="2"/>
        <v>184212.38850000003</v>
      </c>
      <c r="I44" s="295">
        <f t="shared" ref="I44:I49" si="5">+H44/cows</f>
        <v>307.02064750000005</v>
      </c>
    </row>
    <row r="45" spans="1:9">
      <c r="B45" s="309" t="s">
        <v>600</v>
      </c>
      <c r="C45" s="308"/>
      <c r="D45" s="308"/>
      <c r="E45" s="308" t="s">
        <v>564</v>
      </c>
      <c r="F45" s="307">
        <f>+Feed_detail!F53</f>
        <v>1475.4602123999998</v>
      </c>
      <c r="G45" s="258">
        <v>250</v>
      </c>
      <c r="H45" s="294">
        <f t="shared" si="2"/>
        <v>368865.05309999996</v>
      </c>
      <c r="I45" s="295">
        <f t="shared" si="5"/>
        <v>614.77508849999992</v>
      </c>
    </row>
    <row r="46" spans="1:9">
      <c r="B46" s="309" t="s">
        <v>606</v>
      </c>
      <c r="C46" s="308"/>
      <c r="D46" s="308"/>
      <c r="E46" s="308" t="s">
        <v>615</v>
      </c>
      <c r="F46" s="307">
        <f>+Feed_detail!I41*40</f>
        <v>630</v>
      </c>
      <c r="G46" s="258">
        <v>60</v>
      </c>
      <c r="H46" s="294">
        <f t="shared" si="2"/>
        <v>37800</v>
      </c>
      <c r="I46" s="295">
        <f t="shared" si="5"/>
        <v>63</v>
      </c>
    </row>
    <row r="47" spans="1:9" s="465" customFormat="1">
      <c r="A47" s="202"/>
      <c r="B47" s="309" t="s">
        <v>740</v>
      </c>
      <c r="C47" s="308"/>
      <c r="D47" s="308"/>
      <c r="E47" s="308" t="s">
        <v>322</v>
      </c>
      <c r="F47" s="307">
        <f>+Feed_detail!I42</f>
        <v>0</v>
      </c>
      <c r="G47" s="258">
        <v>550</v>
      </c>
      <c r="H47" s="294">
        <f t="shared" ref="H47" si="6">+G47*F47</f>
        <v>0</v>
      </c>
      <c r="I47" s="295">
        <f t="shared" si="5"/>
        <v>0</v>
      </c>
    </row>
    <row r="48" spans="1:9">
      <c r="B48" s="309" t="s">
        <v>614</v>
      </c>
      <c r="C48" s="308"/>
      <c r="D48" s="308"/>
      <c r="E48" s="308" t="s">
        <v>564</v>
      </c>
      <c r="F48" s="307">
        <f>+Feed_detail!I43</f>
        <v>12.6</v>
      </c>
      <c r="G48" s="258">
        <v>550</v>
      </c>
      <c r="H48" s="294">
        <f t="shared" si="2"/>
        <v>6930</v>
      </c>
      <c r="I48" s="295">
        <f t="shared" si="5"/>
        <v>11.55</v>
      </c>
    </row>
    <row r="49" spans="1:9">
      <c r="B49" s="490" t="s">
        <v>654</v>
      </c>
      <c r="C49" s="490"/>
      <c r="D49" s="490"/>
      <c r="E49" s="308" t="s">
        <v>323</v>
      </c>
      <c r="F49" s="307">
        <f>H15</f>
        <v>600</v>
      </c>
      <c r="G49" s="258">
        <v>0</v>
      </c>
      <c r="H49" s="294">
        <f>F49*G49</f>
        <v>0</v>
      </c>
      <c r="I49" s="295">
        <f t="shared" si="5"/>
        <v>0</v>
      </c>
    </row>
    <row r="50" spans="1:9">
      <c r="B50" s="519" t="s">
        <v>692</v>
      </c>
      <c r="C50" s="520"/>
      <c r="D50" s="520"/>
      <c r="E50" s="520"/>
      <c r="F50" s="520"/>
      <c r="G50" s="521"/>
      <c r="H50" s="296">
        <f>+SUM(H51:H55)</f>
        <v>154171.25</v>
      </c>
      <c r="I50" s="297">
        <f t="shared" si="1"/>
        <v>256.95208333333335</v>
      </c>
    </row>
    <row r="51" spans="1:9">
      <c r="A51" s="218" t="s">
        <v>533</v>
      </c>
      <c r="B51" s="309" t="s">
        <v>594</v>
      </c>
      <c r="C51" s="308"/>
      <c r="D51" s="308"/>
      <c r="E51" s="308" t="s">
        <v>579</v>
      </c>
      <c r="F51" s="303">
        <f>+Corn_silage!B5</f>
        <v>200</v>
      </c>
      <c r="G51" s="306">
        <f>+IF(F51&gt;0,'Raised Summary'!B$11,0)</f>
        <v>352.43</v>
      </c>
      <c r="H51" s="294">
        <f>+G51*F51</f>
        <v>70486</v>
      </c>
      <c r="I51" s="295">
        <f t="shared" si="1"/>
        <v>117.47666666666667</v>
      </c>
    </row>
    <row r="52" spans="1:9">
      <c r="A52" s="218" t="s">
        <v>536</v>
      </c>
      <c r="B52" s="309" t="s">
        <v>595</v>
      </c>
      <c r="C52" s="308"/>
      <c r="D52" s="308"/>
      <c r="E52" s="308" t="s">
        <v>579</v>
      </c>
      <c r="F52" s="303">
        <f>+Sorghum_silage!B5</f>
        <v>75</v>
      </c>
      <c r="G52" s="306">
        <f>+IF(F52&gt;0,'Raised Summary'!C$11,0)</f>
        <v>364.92</v>
      </c>
      <c r="H52" s="294">
        <f t="shared" ref="H52:H55" si="7">+G52*F52</f>
        <v>27369</v>
      </c>
      <c r="I52" s="295">
        <f t="shared" si="1"/>
        <v>45.615000000000002</v>
      </c>
    </row>
    <row r="53" spans="1:9" s="268" customFormat="1">
      <c r="A53" s="218" t="s">
        <v>697</v>
      </c>
      <c r="B53" s="309" t="s">
        <v>596</v>
      </c>
      <c r="C53" s="308"/>
      <c r="D53" s="308"/>
      <c r="E53" s="308" t="s">
        <v>579</v>
      </c>
      <c r="F53" s="303">
        <f>+Winter_Silage!B3</f>
        <v>10</v>
      </c>
      <c r="G53" s="306">
        <f>+IF(F53&gt;0,'Raised Summary'!D$11,0)</f>
        <v>201.00000000000003</v>
      </c>
      <c r="H53" s="294">
        <f t="shared" ref="H53" si="8">+G53*F53</f>
        <v>2010.0000000000002</v>
      </c>
      <c r="I53" s="295">
        <f t="shared" ref="I53" si="9">+H53/cows</f>
        <v>3.3500000000000005</v>
      </c>
    </row>
    <row r="54" spans="1:9">
      <c r="A54" s="218" t="s">
        <v>698</v>
      </c>
      <c r="B54" s="309" t="s">
        <v>670</v>
      </c>
      <c r="C54" s="308"/>
      <c r="D54" s="308"/>
      <c r="E54" s="308" t="s">
        <v>579</v>
      </c>
      <c r="F54" s="303">
        <f>+Winter_Grazing!B4</f>
        <v>200</v>
      </c>
      <c r="G54" s="306">
        <f>+IF(F54&gt;0,'Raised Summary'!F$11,0)</f>
        <v>90.5</v>
      </c>
      <c r="H54" s="294">
        <f t="shared" si="7"/>
        <v>18100</v>
      </c>
      <c r="I54" s="295">
        <f t="shared" si="1"/>
        <v>30.166666666666668</v>
      </c>
    </row>
    <row r="55" spans="1:9">
      <c r="A55" s="218" t="s">
        <v>699</v>
      </c>
      <c r="B55" s="309" t="s">
        <v>597</v>
      </c>
      <c r="C55" s="308"/>
      <c r="D55" s="308"/>
      <c r="E55" s="308" t="s">
        <v>579</v>
      </c>
      <c r="F55" s="303">
        <f>+Bermuda_hay!B3</f>
        <v>75</v>
      </c>
      <c r="G55" s="306">
        <f>+IF(F55&gt;0,'Raised Summary'!E$11,0)</f>
        <v>482.74999999999989</v>
      </c>
      <c r="H55" s="294">
        <f t="shared" si="7"/>
        <v>36206.249999999993</v>
      </c>
      <c r="I55" s="295">
        <f t="shared" si="1"/>
        <v>60.343749999999986</v>
      </c>
    </row>
    <row r="56" spans="1:9" s="268" customFormat="1">
      <c r="A56" s="218" t="s">
        <v>672</v>
      </c>
      <c r="B56" s="309" t="s">
        <v>671</v>
      </c>
      <c r="C56" s="308"/>
      <c r="D56" s="308"/>
      <c r="E56" s="308" t="s">
        <v>579</v>
      </c>
      <c r="F56" s="303">
        <f>+PERMANENT_PASTURE!B3</f>
        <v>200</v>
      </c>
      <c r="G56" s="306">
        <f>+IF(F56&gt;0,'Raised Summary'!G$11,0)</f>
        <v>207.75</v>
      </c>
      <c r="H56" s="294">
        <f t="shared" ref="H56" si="10">+G56*F56</f>
        <v>41550</v>
      </c>
      <c r="I56" s="295">
        <f t="shared" ref="I56" si="11">+H56/cows</f>
        <v>69.25</v>
      </c>
    </row>
    <row r="57" spans="1:9">
      <c r="B57" s="492" t="s">
        <v>685</v>
      </c>
      <c r="C57" s="492"/>
      <c r="D57" s="492"/>
      <c r="E57" s="271" t="s">
        <v>579</v>
      </c>
      <c r="F57" s="264">
        <v>0</v>
      </c>
      <c r="G57" s="258">
        <v>0</v>
      </c>
      <c r="H57" s="294">
        <f>+G57*F57</f>
        <v>0</v>
      </c>
      <c r="I57" s="295">
        <f t="shared" ref="I57:I59" si="12">+H57/cows</f>
        <v>0</v>
      </c>
    </row>
    <row r="58" spans="1:9" s="271" customFormat="1" ht="33" customHeight="1">
      <c r="A58" s="202"/>
      <c r="B58" s="491" t="s">
        <v>687</v>
      </c>
      <c r="C58" s="491"/>
      <c r="D58" s="491"/>
      <c r="E58" s="308" t="s">
        <v>579</v>
      </c>
      <c r="F58" s="303">
        <f>+'Raised Summary'!H3</f>
        <v>850</v>
      </c>
      <c r="G58" s="305">
        <f>+H58/'Raised Summary'!H3</f>
        <v>31.586323529411764</v>
      </c>
      <c r="H58" s="298">
        <f>+'Raised Summary'!H8</f>
        <v>26848.375</v>
      </c>
      <c r="I58" s="295">
        <f t="shared" si="12"/>
        <v>44.747291666666669</v>
      </c>
    </row>
    <row r="59" spans="1:9" s="271" customFormat="1" ht="23" customHeight="1">
      <c r="A59" s="202"/>
      <c r="B59" s="491" t="s">
        <v>688</v>
      </c>
      <c r="C59" s="491"/>
      <c r="D59" s="491"/>
      <c r="E59" s="308" t="s">
        <v>689</v>
      </c>
      <c r="F59" s="303">
        <v>1</v>
      </c>
      <c r="G59" s="255"/>
      <c r="H59" s="298">
        <f>+G59*F59</f>
        <v>0</v>
      </c>
      <c r="I59" s="295">
        <f t="shared" si="12"/>
        <v>0</v>
      </c>
    </row>
    <row r="60" spans="1:9" s="271" customFormat="1" ht="33" customHeight="1">
      <c r="A60" s="202"/>
      <c r="B60" s="491" t="s">
        <v>684</v>
      </c>
      <c r="C60" s="491"/>
      <c r="D60" s="491"/>
      <c r="E60" s="308" t="s">
        <v>579</v>
      </c>
      <c r="F60" s="303">
        <f>+'Raised Summary'!H3</f>
        <v>850</v>
      </c>
      <c r="G60" s="290">
        <f>+H60/'Raised Summary'!H3</f>
        <v>57.481470588235297</v>
      </c>
      <c r="H60" s="298">
        <f>+'Raised Summary'!H9</f>
        <v>48859.25</v>
      </c>
      <c r="I60" s="295">
        <f t="shared" ref="I60:I61" si="13">+H60/cows</f>
        <v>81.432083333333338</v>
      </c>
    </row>
    <row r="61" spans="1:9" s="271" customFormat="1" ht="22" customHeight="1">
      <c r="A61" s="202"/>
      <c r="B61" s="491" t="s">
        <v>683</v>
      </c>
      <c r="C61" s="491"/>
      <c r="D61" s="491"/>
      <c r="E61" s="308" t="s">
        <v>403</v>
      </c>
      <c r="F61" s="303">
        <f>+SUM(facil_avginv+waste_inv)</f>
        <v>1235112</v>
      </c>
      <c r="G61" s="256">
        <v>0.03</v>
      </c>
      <c r="H61" s="298">
        <f>+G61*F61</f>
        <v>37053.360000000001</v>
      </c>
      <c r="I61" s="295">
        <f t="shared" si="13"/>
        <v>61.755600000000001</v>
      </c>
    </row>
    <row r="62" spans="1:9" ht="32" customHeight="1">
      <c r="B62" s="491" t="s">
        <v>682</v>
      </c>
      <c r="C62" s="491"/>
      <c r="D62" s="491"/>
      <c r="E62" s="308" t="s">
        <v>365</v>
      </c>
      <c r="F62" s="303">
        <v>1</v>
      </c>
      <c r="G62" s="289">
        <v>0</v>
      </c>
      <c r="H62" s="299">
        <f>+G62*F62</f>
        <v>0</v>
      </c>
      <c r="I62" s="295">
        <f t="shared" si="1"/>
        <v>0</v>
      </c>
    </row>
    <row r="63" spans="1:9" s="271" customFormat="1">
      <c r="A63" s="202"/>
      <c r="B63" s="308" t="s">
        <v>19</v>
      </c>
      <c r="C63" s="308"/>
      <c r="D63" s="308"/>
      <c r="E63" s="308" t="s">
        <v>324</v>
      </c>
      <c r="F63" s="303">
        <f>H16</f>
        <v>12.5</v>
      </c>
      <c r="G63" s="258">
        <v>115</v>
      </c>
      <c r="H63" s="294">
        <f>F63*G63</f>
        <v>1437.5</v>
      </c>
      <c r="I63" s="295">
        <f>+H63/cows</f>
        <v>2.3958333333333335</v>
      </c>
    </row>
    <row r="64" spans="1:9">
      <c r="B64" s="308" t="s">
        <v>704</v>
      </c>
      <c r="C64" s="308"/>
      <c r="D64" s="308"/>
      <c r="E64" s="308" t="s">
        <v>686</v>
      </c>
      <c r="F64" s="303">
        <f>+cows</f>
        <v>600</v>
      </c>
      <c r="G64" s="258">
        <v>30</v>
      </c>
      <c r="H64" s="294">
        <f>F64*G64</f>
        <v>18000</v>
      </c>
      <c r="I64" s="295">
        <f>+H64/cows</f>
        <v>30</v>
      </c>
    </row>
    <row r="65" spans="1:9">
      <c r="B65" s="308" t="s">
        <v>20</v>
      </c>
      <c r="C65" s="308"/>
      <c r="D65" s="308"/>
      <c r="E65" s="308" t="s">
        <v>365</v>
      </c>
      <c r="F65" s="303"/>
      <c r="G65" s="217"/>
      <c r="H65" s="261">
        <f>H15*24</f>
        <v>14400</v>
      </c>
      <c r="I65" s="295">
        <f t="shared" si="1"/>
        <v>24</v>
      </c>
    </row>
    <row r="66" spans="1:9">
      <c r="B66" s="482" t="s">
        <v>339</v>
      </c>
      <c r="C66" s="482"/>
      <c r="D66" s="482"/>
      <c r="E66" s="308" t="s">
        <v>365</v>
      </c>
      <c r="F66" s="303"/>
      <c r="G66" s="217"/>
      <c r="H66" s="261">
        <v>5000</v>
      </c>
      <c r="I66" s="295">
        <f t="shared" si="1"/>
        <v>8.3333333333333339</v>
      </c>
    </row>
    <row r="67" spans="1:9">
      <c r="B67" s="308" t="s">
        <v>675</v>
      </c>
      <c r="C67" s="308"/>
      <c r="D67" s="308"/>
      <c r="E67" s="308" t="s">
        <v>323</v>
      </c>
      <c r="F67" s="303">
        <f>+cows</f>
        <v>600</v>
      </c>
      <c r="G67" s="258">
        <v>65</v>
      </c>
      <c r="H67" s="298">
        <f>+G67*F67</f>
        <v>39000</v>
      </c>
      <c r="I67" s="295">
        <f t="shared" si="1"/>
        <v>65</v>
      </c>
    </row>
    <row r="68" spans="1:9">
      <c r="B68" s="308" t="s">
        <v>317</v>
      </c>
      <c r="C68" s="308"/>
      <c r="D68" s="308"/>
      <c r="E68" s="308" t="s">
        <v>325</v>
      </c>
      <c r="F68" s="303">
        <f>2.6*H17</f>
        <v>1497.6000000000001</v>
      </c>
      <c r="G68" s="258">
        <v>14</v>
      </c>
      <c r="H68" s="294">
        <f>F68*G68</f>
        <v>20966.400000000001</v>
      </c>
      <c r="I68" s="295">
        <f t="shared" si="1"/>
        <v>34.944000000000003</v>
      </c>
    </row>
    <row r="69" spans="1:9">
      <c r="B69" s="482" t="s">
        <v>321</v>
      </c>
      <c r="C69" s="482"/>
      <c r="D69" s="482"/>
      <c r="E69" s="308" t="s">
        <v>323</v>
      </c>
      <c r="F69" s="461">
        <v>0</v>
      </c>
      <c r="G69" s="258">
        <v>800</v>
      </c>
      <c r="H69" s="294">
        <f t="shared" ref="H69:H75" si="14">F69*G69</f>
        <v>0</v>
      </c>
      <c r="I69" s="295">
        <f>+H69/cows</f>
        <v>0</v>
      </c>
    </row>
    <row r="70" spans="1:9">
      <c r="B70" s="482" t="s">
        <v>367</v>
      </c>
      <c r="C70" s="482"/>
      <c r="D70" s="482"/>
      <c r="E70" s="308" t="s">
        <v>323</v>
      </c>
      <c r="F70" s="461"/>
      <c r="G70" s="258">
        <v>365</v>
      </c>
      <c r="H70" s="294">
        <f t="shared" si="14"/>
        <v>0</v>
      </c>
      <c r="I70" s="295">
        <f>+H70/cows</f>
        <v>0</v>
      </c>
    </row>
    <row r="71" spans="1:9">
      <c r="B71" s="482" t="s">
        <v>368</v>
      </c>
      <c r="C71" s="482"/>
      <c r="D71" s="482"/>
      <c r="E71" s="308" t="s">
        <v>365</v>
      </c>
      <c r="F71" s="461">
        <v>0</v>
      </c>
      <c r="G71" s="258">
        <v>5000</v>
      </c>
      <c r="H71" s="294">
        <f t="shared" si="14"/>
        <v>0</v>
      </c>
      <c r="I71" s="295">
        <f t="shared" ref="I71:I79" si="15">+H71/cows</f>
        <v>0</v>
      </c>
    </row>
    <row r="72" spans="1:9">
      <c r="B72" s="482" t="s">
        <v>421</v>
      </c>
      <c r="C72" s="482"/>
      <c r="D72" s="482"/>
      <c r="E72" s="308" t="s">
        <v>365</v>
      </c>
      <c r="F72" s="303">
        <v>1</v>
      </c>
      <c r="G72" s="258">
        <v>15000</v>
      </c>
      <c r="H72" s="294">
        <f t="shared" si="14"/>
        <v>15000</v>
      </c>
      <c r="I72" s="295">
        <f t="shared" si="15"/>
        <v>25</v>
      </c>
    </row>
    <row r="73" spans="1:9">
      <c r="B73" s="482" t="s">
        <v>420</v>
      </c>
      <c r="C73" s="482"/>
      <c r="D73" s="482"/>
      <c r="E73" s="308" t="s">
        <v>422</v>
      </c>
      <c r="F73" s="303">
        <f>+cows</f>
        <v>600</v>
      </c>
      <c r="G73" s="258">
        <v>50</v>
      </c>
      <c r="H73" s="294">
        <f t="shared" si="14"/>
        <v>30000</v>
      </c>
      <c r="I73" s="295">
        <f t="shared" si="15"/>
        <v>50</v>
      </c>
    </row>
    <row r="74" spans="1:9">
      <c r="A74" s="219" t="s">
        <v>388</v>
      </c>
      <c r="B74" s="308" t="s">
        <v>387</v>
      </c>
      <c r="C74" s="308"/>
      <c r="D74" s="308"/>
      <c r="E74" s="308" t="s">
        <v>365</v>
      </c>
      <c r="F74" s="303">
        <v>1</v>
      </c>
      <c r="G74" s="448">
        <f>+payroll_total</f>
        <v>384120</v>
      </c>
      <c r="H74" s="294">
        <f t="shared" si="14"/>
        <v>384120</v>
      </c>
      <c r="I74" s="295">
        <f t="shared" si="15"/>
        <v>640.20000000000005</v>
      </c>
    </row>
    <row r="75" spans="1:9">
      <c r="B75" s="308" t="s">
        <v>616</v>
      </c>
      <c r="C75" s="308"/>
      <c r="D75" s="308"/>
      <c r="E75" s="308" t="s">
        <v>365</v>
      </c>
      <c r="F75" s="303">
        <v>1</v>
      </c>
      <c r="G75" s="258">
        <v>10000</v>
      </c>
      <c r="H75" s="294">
        <f t="shared" si="14"/>
        <v>10000</v>
      </c>
      <c r="I75" s="295">
        <f t="shared" si="15"/>
        <v>16.666666666666668</v>
      </c>
    </row>
    <row r="76" spans="1:9" s="233" customFormat="1">
      <c r="A76" s="202"/>
      <c r="B76" s="310" t="s">
        <v>21</v>
      </c>
      <c r="C76" s="310"/>
      <c r="D76" s="310"/>
      <c r="E76" s="310"/>
      <c r="F76" s="304"/>
      <c r="G76" s="258">
        <v>0</v>
      </c>
      <c r="H76" s="301">
        <f>+G76</f>
        <v>0</v>
      </c>
      <c r="I76" s="295">
        <f t="shared" ref="I76:I77" si="16">+H76/cows</f>
        <v>0</v>
      </c>
    </row>
    <row r="77" spans="1:9" s="233" customFormat="1">
      <c r="A77" s="202"/>
      <c r="B77" s="253" t="s">
        <v>348</v>
      </c>
      <c r="C77" s="253"/>
      <c r="D77" s="253"/>
      <c r="E77" s="253"/>
      <c r="F77" s="473">
        <v>0</v>
      </c>
      <c r="G77" s="258">
        <v>0</v>
      </c>
      <c r="H77" s="301">
        <f>+G77*F77</f>
        <v>0</v>
      </c>
      <c r="I77" s="295">
        <f t="shared" si="16"/>
        <v>0</v>
      </c>
    </row>
    <row r="78" spans="1:9" ht="16" thickBot="1">
      <c r="B78" s="253" t="s">
        <v>348</v>
      </c>
      <c r="C78" s="253"/>
      <c r="D78" s="253"/>
      <c r="E78" s="253"/>
      <c r="F78" s="473">
        <v>0</v>
      </c>
      <c r="G78" s="258">
        <v>0</v>
      </c>
      <c r="H78" s="301">
        <f>+G78*F78</f>
        <v>0</v>
      </c>
      <c r="I78" s="295">
        <f t="shared" si="15"/>
        <v>0</v>
      </c>
    </row>
    <row r="79" spans="1:9" ht="16" thickBot="1">
      <c r="A79" s="214"/>
      <c r="B79" s="517" t="s">
        <v>553</v>
      </c>
      <c r="C79" s="518"/>
      <c r="D79" s="518"/>
      <c r="E79" s="518"/>
      <c r="F79" s="220" t="s">
        <v>15</v>
      </c>
      <c r="G79" s="221" t="s">
        <v>15</v>
      </c>
      <c r="H79" s="302">
        <f>SUM(H34:H78)-H50-H38</f>
        <v>1679834.2387599996</v>
      </c>
      <c r="I79" s="300">
        <f t="shared" si="15"/>
        <v>2799.7237312666662</v>
      </c>
    </row>
    <row r="80" spans="1:9" ht="31" customHeight="1" thickBot="1">
      <c r="B80" s="515" t="s">
        <v>628</v>
      </c>
      <c r="C80" s="515"/>
      <c r="D80" s="515"/>
      <c r="E80" s="515"/>
      <c r="F80" s="515"/>
      <c r="G80" s="515"/>
      <c r="H80" s="515"/>
      <c r="I80" s="515"/>
    </row>
    <row r="81" spans="1:10" ht="16" thickBot="1">
      <c r="A81" s="219" t="s">
        <v>400</v>
      </c>
      <c r="B81" s="222" t="str">
        <f>+IF(bud_type=1,"No Fixed Costs for Variable Cost Budget","FIXED COST:(Click Link at Left for Appropriate Cost)")</f>
        <v>FIXED COST:(Click Link at Left for Appropriate Cost)</v>
      </c>
      <c r="C81" s="223"/>
      <c r="D81" s="223"/>
      <c r="E81" s="223"/>
      <c r="F81" s="223"/>
      <c r="G81" s="223"/>
      <c r="H81" s="273" t="str">
        <f>+H32</f>
        <v>TOTAL $</v>
      </c>
      <c r="I81" s="273" t="str">
        <f>+I32</f>
        <v>$/COW</v>
      </c>
    </row>
    <row r="82" spans="1:10">
      <c r="B82" s="510" t="str">
        <f>+IF(bud_type&lt;&gt;1,"Taxes &amp; Insurance Payments","")</f>
        <v>Taxes &amp; Insurance Payments</v>
      </c>
      <c r="C82" s="510"/>
      <c r="D82" s="510"/>
      <c r="E82" s="510"/>
      <c r="F82" s="311">
        <f>+Fixed_Cost!F103</f>
        <v>924613.70131601731</v>
      </c>
      <c r="G82" s="256">
        <v>1.4E-2</v>
      </c>
      <c r="H82" s="313">
        <f>+IF(B82&lt;&gt;"",F82*G82,"")</f>
        <v>12944.591818424242</v>
      </c>
      <c r="I82" s="313">
        <f t="shared" ref="I82:I88" si="17">+IF(H82&lt;&gt;"",H82/cows,"")</f>
        <v>21.574319697373735</v>
      </c>
    </row>
    <row r="83" spans="1:10">
      <c r="B83" s="488" t="str">
        <f>+IF(bud_type=2,"Total Cattle Fixed Costs",IF(bud_type=3,"Total Payments for Livestock",""))</f>
        <v>Total Cattle Fixed Costs</v>
      </c>
      <c r="C83" s="488"/>
      <c r="D83" s="488"/>
      <c r="E83" s="488"/>
      <c r="F83" s="488"/>
      <c r="H83" s="313">
        <f>IF(bud_type=2,lvstk_fc,IF(bud_type=3,lvstk_pmt,""))</f>
        <v>420581.86036363634</v>
      </c>
      <c r="I83" s="313">
        <f t="shared" si="17"/>
        <v>700.96976727272727</v>
      </c>
    </row>
    <row r="84" spans="1:10">
      <c r="B84" s="487" t="str">
        <f>+IF(bud_type=2,"Total Facilities &amp; Buildings Fixed Costs",IF(bud_type=3,"Total Payments for Facilities &amp; Buildings",""))</f>
        <v>Total Facilities &amp; Buildings Fixed Costs</v>
      </c>
      <c r="C84" s="487"/>
      <c r="D84" s="487"/>
      <c r="E84" s="487"/>
      <c r="F84" s="487"/>
      <c r="H84" s="313">
        <f>+IF(bud_type=2,facil_fc,IF(bud_type=3,facil_pmt,""))</f>
        <v>189882</v>
      </c>
      <c r="I84" s="313">
        <f t="shared" si="17"/>
        <v>316.47000000000003</v>
      </c>
    </row>
    <row r="85" spans="1:10">
      <c r="B85" s="487" t="str">
        <f>+IF(bud_type=2,"Total Waste Management System Fixed Costs",IF(bud_type=3,"Total Payments for Waste Management System",""))</f>
        <v>Total Waste Management System Fixed Costs</v>
      </c>
      <c r="C85" s="487"/>
      <c r="D85" s="487"/>
      <c r="E85" s="487"/>
      <c r="F85" s="487"/>
      <c r="H85" s="313">
        <f>+IF(bud_type=2,waste_fc,IF(bud_type=3,WASTE_MGMT_PMT,""))</f>
        <v>63912.483809523808</v>
      </c>
      <c r="I85" s="313">
        <f t="shared" si="17"/>
        <v>106.52080634920635</v>
      </c>
    </row>
    <row r="86" spans="1:10">
      <c r="B86" s="487" t="str">
        <f>+IF(bud_type=2,"Total Machinery Fixed Costs",IF(bud_type=3,"Total Payments for Machinery",""))</f>
        <v>Total Machinery Fixed Costs</v>
      </c>
      <c r="C86" s="487"/>
      <c r="D86" s="487"/>
      <c r="E86" s="487"/>
      <c r="F86" s="487"/>
      <c r="H86" s="313">
        <f>+IF(bud_type=2,impl_fc,IF(bud_type=3,equip_pmt,""))</f>
        <v>204674.85714285716</v>
      </c>
      <c r="I86" s="313">
        <f t="shared" si="17"/>
        <v>341.12476190476195</v>
      </c>
    </row>
    <row r="87" spans="1:10">
      <c r="B87" s="487" t="str">
        <f>+IF(bud_type=2,"Total Land Fixed Costs",IF(bud_type=3,"Total Payments for Land",""))</f>
        <v>Total Land Fixed Costs</v>
      </c>
      <c r="C87" s="487"/>
      <c r="D87" s="487"/>
      <c r="E87" s="487"/>
      <c r="F87" s="487"/>
      <c r="H87" s="313">
        <f>+IF(bud_type=2,land_fc,IF(bud_type=3,land_pmt,""))</f>
        <v>45562.5</v>
      </c>
      <c r="I87" s="313">
        <f t="shared" si="17"/>
        <v>75.9375</v>
      </c>
    </row>
    <row r="88" spans="1:10">
      <c r="B88" s="487" t="str">
        <f>+IF(bud_type=2,"Overhead Costs Per Cow",IF(bud_type=3,"Existing Mortgage Payments",""))</f>
        <v>Overhead Costs Per Cow</v>
      </c>
      <c r="C88" s="487"/>
      <c r="D88" s="487"/>
      <c r="E88" s="487"/>
      <c r="F88" s="487"/>
      <c r="G88" s="203">
        <v>1</v>
      </c>
      <c r="H88" s="314">
        <f>+IF(bud_type=2,(G88*cows),IF(bud_type=3,existing_pmt,""))</f>
        <v>600</v>
      </c>
      <c r="I88" s="313">
        <f t="shared" si="17"/>
        <v>1</v>
      </c>
    </row>
    <row r="89" spans="1:10" ht="16" thickBot="1">
      <c r="B89" s="481" t="str">
        <f>+IF(bud_type=2,"Management Costs (% of Value of Production) 1/","")</f>
        <v>Management Costs (% of Value of Production) 1/</v>
      </c>
      <c r="C89" s="481"/>
      <c r="D89" s="481"/>
      <c r="E89" s="481"/>
      <c r="F89" s="312">
        <f>+IF(bud_type=2,total_rev,"")</f>
        <v>2876794.8</v>
      </c>
      <c r="G89" s="263">
        <v>0.04</v>
      </c>
      <c r="H89" s="315">
        <f>+IF(F89&lt;&gt;"",G89*F89,"")</f>
        <v>115071.792</v>
      </c>
      <c r="I89" s="315">
        <f>+IF(H89&lt;&gt;"",H89/cows,"")</f>
        <v>191.78631999999999</v>
      </c>
    </row>
    <row r="90" spans="1:10" ht="16" thickBot="1">
      <c r="B90" s="498" t="str">
        <f>+IF(bud_type=2,"Total Fixed Costs",IF(bud_type=3,"Total Payments",""))</f>
        <v>Total Fixed Costs</v>
      </c>
      <c r="C90" s="498"/>
      <c r="D90" s="498"/>
      <c r="E90" s="498"/>
      <c r="F90" s="498"/>
      <c r="G90" s="224"/>
      <c r="H90" s="316">
        <f>+SUM(H82:H89)</f>
        <v>1053230.0851344415</v>
      </c>
      <c r="I90" s="317">
        <f>SUM(I82:I89)</f>
        <v>1755.3834752240693</v>
      </c>
    </row>
    <row r="91" spans="1:10" ht="16" thickTop="1"/>
    <row r="92" spans="1:10">
      <c r="I92" s="210" t="s">
        <v>15</v>
      </c>
    </row>
    <row r="93" spans="1:10">
      <c r="B93" s="501" t="s">
        <v>22</v>
      </c>
      <c r="C93" s="501"/>
      <c r="D93" s="501"/>
      <c r="E93" s="501"/>
      <c r="F93" s="501"/>
      <c r="G93" s="501"/>
      <c r="H93" s="501"/>
      <c r="I93" s="501"/>
      <c r="J93" s="225"/>
    </row>
    <row r="94" spans="1:10">
      <c r="A94" s="226"/>
      <c r="B94" s="308"/>
      <c r="C94" s="308"/>
      <c r="D94" s="308"/>
      <c r="E94" s="308"/>
      <c r="F94" s="308"/>
      <c r="G94" s="308"/>
      <c r="H94" s="308"/>
      <c r="I94" s="308"/>
    </row>
    <row r="95" spans="1:10">
      <c r="A95" s="231" t="s">
        <v>24</v>
      </c>
      <c r="B95" s="318"/>
      <c r="C95" s="318"/>
      <c r="D95" s="318"/>
      <c r="E95" s="318"/>
      <c r="F95" s="319"/>
      <c r="G95" s="320" t="s">
        <v>9</v>
      </c>
      <c r="H95" s="321" t="s">
        <v>10</v>
      </c>
      <c r="I95" s="320" t="s">
        <v>11</v>
      </c>
    </row>
    <row r="96" spans="1:10">
      <c r="A96" s="226"/>
      <c r="B96" s="308"/>
      <c r="C96" s="308"/>
      <c r="D96" s="308"/>
      <c r="E96" s="308"/>
      <c r="F96" s="308"/>
      <c r="G96" s="308"/>
      <c r="H96" s="308"/>
      <c r="I96" s="308"/>
    </row>
    <row r="97" spans="1:9">
      <c r="A97" s="226"/>
      <c r="B97" s="308" t="s">
        <v>401</v>
      </c>
      <c r="C97" s="308"/>
      <c r="D97" s="308"/>
      <c r="E97" s="308"/>
      <c r="F97" s="308"/>
      <c r="G97" s="303">
        <f>+TOTAL_MILK_PROD</f>
        <v>114192</v>
      </c>
      <c r="H97" s="462">
        <f>+MILK_PRICE</f>
        <v>23</v>
      </c>
      <c r="I97" s="294">
        <f>G97*H97</f>
        <v>2626416</v>
      </c>
    </row>
    <row r="98" spans="1:9">
      <c r="A98" s="226"/>
      <c r="B98" s="308" t="s">
        <v>25</v>
      </c>
      <c r="C98" s="308"/>
      <c r="D98" s="308"/>
      <c r="E98" s="322"/>
      <c r="F98" s="308"/>
      <c r="G98" s="303">
        <f>+bf-3.5%</f>
        <v>9.9999999999999395E-4</v>
      </c>
      <c r="H98" s="463">
        <v>0.15</v>
      </c>
      <c r="I98" s="294">
        <f>G98*1000*H98*G97</f>
        <v>17128.799999999897</v>
      </c>
    </row>
    <row r="99" spans="1:9">
      <c r="A99" s="226"/>
      <c r="B99" s="308" t="s">
        <v>26</v>
      </c>
      <c r="C99" s="308"/>
      <c r="D99" s="308"/>
      <c r="E99" s="308"/>
      <c r="F99" s="308"/>
      <c r="G99" s="303">
        <f>+cull_rate*cows*(100%-death_loss)</f>
        <v>177.60000000000002</v>
      </c>
      <c r="H99" s="463">
        <f>12.5*85</f>
        <v>1062.5</v>
      </c>
      <c r="I99" s="294">
        <f>G99*H99</f>
        <v>188700.00000000003</v>
      </c>
    </row>
    <row r="100" spans="1:9">
      <c r="A100" s="226"/>
      <c r="B100" s="308" t="s">
        <v>27</v>
      </c>
      <c r="C100" s="308"/>
      <c r="D100" s="308"/>
      <c r="E100" s="308"/>
      <c r="F100" s="308"/>
      <c r="G100" s="303">
        <f>ROUND((lactations-HEIFERS_RAISED)*(100%-bull_death),0)</f>
        <v>215</v>
      </c>
      <c r="H100" s="463">
        <v>150</v>
      </c>
      <c r="I100" s="294">
        <f>G100*H100</f>
        <v>32250</v>
      </c>
    </row>
    <row r="101" spans="1:9">
      <c r="A101" s="226"/>
      <c r="B101" s="308" t="s">
        <v>744</v>
      </c>
      <c r="D101" s="478">
        <f>+HEIFERS_RAISED-H27</f>
        <v>41</v>
      </c>
      <c r="E101" s="203" t="s">
        <v>743</v>
      </c>
      <c r="G101" s="477">
        <v>41</v>
      </c>
      <c r="H101" s="463">
        <v>300</v>
      </c>
      <c r="I101" s="301">
        <f>G101*H101</f>
        <v>12300</v>
      </c>
    </row>
    <row r="102" spans="1:9" s="459" customFormat="1">
      <c r="A102" s="226"/>
      <c r="B102" s="460" t="s">
        <v>474</v>
      </c>
      <c r="C102" s="460"/>
      <c r="D102" s="460"/>
      <c r="E102" s="308"/>
      <c r="F102" s="308"/>
      <c r="G102" s="461">
        <v>1</v>
      </c>
      <c r="H102" s="464">
        <v>0</v>
      </c>
      <c r="I102" s="325">
        <f>+H102</f>
        <v>0</v>
      </c>
    </row>
    <row r="103" spans="1:9" s="459" customFormat="1">
      <c r="A103" s="226"/>
      <c r="B103" s="460" t="s">
        <v>710</v>
      </c>
      <c r="C103" s="460"/>
      <c r="D103" s="460"/>
      <c r="E103" s="308"/>
      <c r="F103" s="308"/>
      <c r="G103" s="461">
        <v>75000</v>
      </c>
      <c r="H103" s="464">
        <v>0</v>
      </c>
      <c r="I103" s="325">
        <f>+H103*G103</f>
        <v>0</v>
      </c>
    </row>
    <row r="104" spans="1:9">
      <c r="A104" s="226"/>
      <c r="B104" s="324" t="s">
        <v>738</v>
      </c>
      <c r="C104" s="324"/>
      <c r="D104" s="324"/>
      <c r="E104" s="308"/>
      <c r="F104" s="308"/>
      <c r="G104" s="461">
        <v>1</v>
      </c>
      <c r="H104" s="464">
        <v>0</v>
      </c>
      <c r="I104" s="325">
        <f>+H104*G104</f>
        <v>0</v>
      </c>
    </row>
    <row r="105" spans="1:9">
      <c r="A105" s="226"/>
      <c r="B105" s="326" t="s">
        <v>28</v>
      </c>
      <c r="C105" s="308"/>
      <c r="D105" s="308"/>
      <c r="E105" s="308"/>
      <c r="F105" s="308"/>
      <c r="G105" s="323"/>
      <c r="H105" s="298"/>
      <c r="I105" s="327">
        <f>SUM(I97:I104)</f>
        <v>2876794.8</v>
      </c>
    </row>
    <row r="106" spans="1:9">
      <c r="A106" s="214"/>
      <c r="B106" s="326"/>
      <c r="C106" s="308"/>
      <c r="D106" s="326"/>
      <c r="E106" s="326"/>
      <c r="F106" s="326"/>
      <c r="G106" s="328"/>
      <c r="H106" s="329"/>
      <c r="I106" s="308"/>
    </row>
    <row r="107" spans="1:9" ht="16" thickBot="1">
      <c r="A107" s="226"/>
      <c r="B107" s="330"/>
      <c r="C107" s="330"/>
      <c r="D107" s="330"/>
      <c r="E107" s="330"/>
      <c r="F107" s="330"/>
      <c r="G107" s="330"/>
      <c r="H107" s="330"/>
      <c r="I107" s="330"/>
    </row>
    <row r="108" spans="1:9" ht="16" thickTop="1">
      <c r="A108" s="226"/>
      <c r="B108" s="308"/>
      <c r="C108" s="308"/>
      <c r="D108" s="308"/>
      <c r="E108" s="308"/>
      <c r="F108" s="308"/>
      <c r="G108" s="308"/>
      <c r="H108" s="308"/>
      <c r="I108" s="308"/>
    </row>
    <row r="109" spans="1:9">
      <c r="A109" s="226"/>
      <c r="B109" s="497" t="s">
        <v>623</v>
      </c>
      <c r="C109" s="497"/>
      <c r="D109" s="497"/>
      <c r="E109" s="497"/>
      <c r="F109" s="497"/>
      <c r="G109" s="497"/>
      <c r="H109" s="497"/>
      <c r="I109" s="497"/>
    </row>
    <row r="110" spans="1:9" ht="16" thickBot="1">
      <c r="A110" s="226"/>
      <c r="B110" s="310"/>
      <c r="C110" s="310"/>
      <c r="D110" s="310"/>
      <c r="E110" s="310"/>
      <c r="F110" s="310"/>
      <c r="G110" s="310"/>
      <c r="H110" s="310"/>
      <c r="I110" s="310"/>
    </row>
    <row r="111" spans="1:9">
      <c r="A111" s="232"/>
      <c r="B111" s="499" t="s">
        <v>24</v>
      </c>
      <c r="C111" s="331"/>
      <c r="D111" s="331"/>
      <c r="E111" s="331"/>
      <c r="F111" s="483" t="s">
        <v>622</v>
      </c>
      <c r="G111" s="493" t="s">
        <v>621</v>
      </c>
      <c r="H111" s="495" t="s">
        <v>627</v>
      </c>
      <c r="I111" s="332"/>
    </row>
    <row r="112" spans="1:9" ht="16" thickBot="1">
      <c r="A112" s="231"/>
      <c r="B112" s="500"/>
      <c r="C112" s="333"/>
      <c r="D112" s="333"/>
      <c r="E112" s="333"/>
      <c r="F112" s="484"/>
      <c r="G112" s="494"/>
      <c r="H112" s="496"/>
      <c r="I112" s="332"/>
    </row>
    <row r="113" spans="1:9">
      <c r="A113" s="226"/>
      <c r="B113" s="310"/>
      <c r="C113" s="310"/>
      <c r="D113" s="310"/>
      <c r="E113" s="310"/>
      <c r="F113" s="310"/>
      <c r="G113" s="310"/>
      <c r="H113" s="310"/>
      <c r="I113" s="310"/>
    </row>
    <row r="114" spans="1:9">
      <c r="A114" s="226"/>
      <c r="B114" s="482" t="s">
        <v>30</v>
      </c>
      <c r="C114" s="482"/>
      <c r="D114" s="324"/>
      <c r="E114" s="324"/>
      <c r="F114" s="334">
        <f>+tvc_milk_production</f>
        <v>1679834.2387599996</v>
      </c>
      <c r="G114" s="335">
        <f>+F114/cows</f>
        <v>2799.7237312666662</v>
      </c>
      <c r="H114" s="335">
        <f>+F114/TOTAL_MILK_PROD</f>
        <v>14.710612291228804</v>
      </c>
      <c r="I114" s="308"/>
    </row>
    <row r="115" spans="1:9">
      <c r="A115" s="226"/>
      <c r="B115" s="482" t="s">
        <v>31</v>
      </c>
      <c r="C115" s="482"/>
      <c r="D115" s="324"/>
      <c r="E115" s="324"/>
      <c r="F115" s="334">
        <f>SUM(I99:I101)</f>
        <v>233250.00000000003</v>
      </c>
      <c r="G115" s="335">
        <f>+F115/cows</f>
        <v>388.75000000000006</v>
      </c>
      <c r="H115" s="335">
        <f>+F115/TOTAL_MILK_PROD</f>
        <v>2.0426124422026062</v>
      </c>
      <c r="I115" s="308"/>
    </row>
    <row r="116" spans="1:9" ht="16" thickBot="1">
      <c r="A116" s="226"/>
      <c r="B116" s="489" t="s">
        <v>366</v>
      </c>
      <c r="C116" s="489"/>
      <c r="D116" s="336"/>
      <c r="E116" s="336"/>
      <c r="F116" s="337">
        <f>F114-F115</f>
        <v>1446584.2387599996</v>
      </c>
      <c r="G116" s="338">
        <f>+F116/cows</f>
        <v>2410.9737312666662</v>
      </c>
      <c r="H116" s="338">
        <f>+F116/TOTAL_MILK_PROD</f>
        <v>12.667999849026199</v>
      </c>
      <c r="I116" s="308"/>
    </row>
    <row r="117" spans="1:9">
      <c r="B117" s="482" t="str">
        <f>+IF(bud_type&lt;&gt;1,"Total Fixed Costs","")</f>
        <v>Total Fixed Costs</v>
      </c>
      <c r="C117" s="482"/>
      <c r="D117" s="324"/>
      <c r="E117" s="324"/>
      <c r="F117" s="334">
        <f>+tfc</f>
        <v>1053230.0851344415</v>
      </c>
      <c r="G117" s="335">
        <f>+F117/cows</f>
        <v>1755.3834752240691</v>
      </c>
      <c r="H117" s="335">
        <f>+F117/TOTAL_MILK_PROD</f>
        <v>9.2233263725518562</v>
      </c>
      <c r="I117" s="308"/>
    </row>
    <row r="118" spans="1:9" ht="16" thickBot="1">
      <c r="B118" s="481" t="s">
        <v>329</v>
      </c>
      <c r="C118" s="481"/>
      <c r="D118" s="339"/>
      <c r="E118" s="339"/>
      <c r="F118" s="337">
        <f>+F116+F117</f>
        <v>2499814.3238944411</v>
      </c>
      <c r="G118" s="338">
        <f>+F118/cows</f>
        <v>4166.3572064907348</v>
      </c>
      <c r="H118" s="338">
        <f>+F118/TOTAL_MILK_PROD</f>
        <v>21.891326221578055</v>
      </c>
      <c r="I118" s="308"/>
    </row>
    <row r="119" spans="1:9">
      <c r="B119" s="340"/>
      <c r="C119" s="340"/>
      <c r="D119" s="340"/>
      <c r="E119" s="340"/>
      <c r="F119" s="341"/>
      <c r="G119" s="342"/>
      <c r="H119" s="342"/>
      <c r="I119" s="308"/>
    </row>
    <row r="120" spans="1:9">
      <c r="B120" s="482" t="s">
        <v>402</v>
      </c>
      <c r="C120" s="482"/>
      <c r="D120" s="324"/>
      <c r="E120" s="324"/>
      <c r="F120" s="334">
        <f>+H50+H38</f>
        <v>833967.43375999993</v>
      </c>
      <c r="G120" s="335">
        <f>+F120/cows</f>
        <v>1389.9457229333332</v>
      </c>
      <c r="H120" s="335">
        <f>+F120/TOTAL_MILK_PROD</f>
        <v>7.3032036724113771</v>
      </c>
      <c r="I120" s="308"/>
    </row>
    <row r="121" spans="1:9">
      <c r="B121" s="324"/>
      <c r="C121" s="324"/>
      <c r="D121" s="324"/>
      <c r="E121" s="324"/>
      <c r="F121" s="334"/>
      <c r="G121" s="335"/>
      <c r="H121" s="335"/>
      <c r="I121" s="308"/>
    </row>
    <row r="122" spans="1:9" ht="16" customHeight="1">
      <c r="B122" s="343" t="s">
        <v>624</v>
      </c>
      <c r="C122" s="343"/>
      <c r="D122" s="343"/>
      <c r="E122" s="343"/>
      <c r="F122" s="450">
        <f>+(I97+I98)-total_feed</f>
        <v>1809577.3662399999</v>
      </c>
      <c r="G122" s="344">
        <f>+F122/cows</f>
        <v>3015.9622770666665</v>
      </c>
      <c r="H122" s="344">
        <f>+F122/TOTAL_MILK_PROD</f>
        <v>15.846796327588622</v>
      </c>
      <c r="I122" s="308"/>
    </row>
    <row r="123" spans="1:9" ht="19" customHeight="1">
      <c r="B123" s="343" t="s">
        <v>625</v>
      </c>
      <c r="C123" s="343"/>
      <c r="D123" s="343"/>
      <c r="E123" s="343"/>
      <c r="F123" s="450">
        <f>+total_rev-F114</f>
        <v>1196960.5612400002</v>
      </c>
      <c r="G123" s="344">
        <f>+F123/cows</f>
        <v>1994.9342687333337</v>
      </c>
      <c r="H123" s="344">
        <f>+F123/TOTAL_MILK_PROD</f>
        <v>10.4820001509738</v>
      </c>
      <c r="I123" s="308"/>
    </row>
    <row r="124" spans="1:9" ht="20" customHeight="1">
      <c r="A124" s="226"/>
      <c r="B124" s="345" t="s">
        <v>626</v>
      </c>
      <c r="C124" s="345"/>
      <c r="D124" s="345"/>
      <c r="E124" s="345"/>
      <c r="F124" s="451">
        <f>+total_rev-F118</f>
        <v>376980.47610555869</v>
      </c>
      <c r="G124" s="346">
        <f>+F124/cows</f>
        <v>628.30079350926451</v>
      </c>
      <c r="H124" s="346">
        <f>+F124/TOTAL_MILK_PROD</f>
        <v>3.3012862206245508</v>
      </c>
      <c r="I124" s="347"/>
    </row>
    <row r="125" spans="1:9">
      <c r="A125" s="226"/>
      <c r="B125" s="310"/>
      <c r="C125" s="310"/>
      <c r="D125" s="310"/>
      <c r="E125" s="310"/>
      <c r="F125" s="310"/>
      <c r="G125" s="310"/>
      <c r="H125" s="310"/>
      <c r="I125" s="310"/>
    </row>
    <row r="126" spans="1:9">
      <c r="D126" s="227"/>
    </row>
    <row r="214" spans="3:5">
      <c r="C214" s="228" t="s">
        <v>36</v>
      </c>
    </row>
    <row r="215" spans="3:5">
      <c r="C215" s="228" t="s">
        <v>37</v>
      </c>
      <c r="E215" s="229" t="s">
        <v>38</v>
      </c>
    </row>
    <row r="216" spans="3:5">
      <c r="C216" s="228" t="s">
        <v>39</v>
      </c>
      <c r="E216" s="229" t="s">
        <v>40</v>
      </c>
    </row>
    <row r="217" spans="3:5">
      <c r="C217" s="228" t="s">
        <v>29</v>
      </c>
      <c r="E217" s="229" t="s">
        <v>41</v>
      </c>
    </row>
    <row r="218" spans="3:5">
      <c r="C218" s="228" t="s">
        <v>42</v>
      </c>
      <c r="E218" s="229" t="s">
        <v>43</v>
      </c>
    </row>
    <row r="219" spans="3:5">
      <c r="C219" s="228" t="s">
        <v>44</v>
      </c>
      <c r="E219" s="229" t="s">
        <v>45</v>
      </c>
    </row>
    <row r="220" spans="3:5">
      <c r="C220" s="228" t="s">
        <v>46</v>
      </c>
      <c r="E220" s="229" t="s">
        <v>47</v>
      </c>
    </row>
    <row r="345" spans="1:9">
      <c r="A345" s="202" t="s">
        <v>0</v>
      </c>
    </row>
    <row r="346" spans="1:9">
      <c r="A346" s="202" t="s">
        <v>49</v>
      </c>
      <c r="E346" s="230" t="s">
        <v>50</v>
      </c>
      <c r="F346" s="230" t="s">
        <v>51</v>
      </c>
      <c r="H346" s="230" t="s">
        <v>48</v>
      </c>
      <c r="I346" s="203" t="s">
        <v>52</v>
      </c>
    </row>
    <row r="347" spans="1:9">
      <c r="A347" s="202" t="s">
        <v>53</v>
      </c>
      <c r="F347" s="230" t="s">
        <v>54</v>
      </c>
      <c r="H347" s="230" t="s">
        <v>48</v>
      </c>
      <c r="I347" s="203" t="s">
        <v>55</v>
      </c>
    </row>
    <row r="348" spans="1:9">
      <c r="A348" s="202" t="s">
        <v>51</v>
      </c>
      <c r="F348" s="230" t="s">
        <v>56</v>
      </c>
      <c r="H348" s="230" t="s">
        <v>48</v>
      </c>
      <c r="I348" s="203" t="s">
        <v>51</v>
      </c>
    </row>
    <row r="349" spans="1:9">
      <c r="A349" s="202" t="s">
        <v>54</v>
      </c>
      <c r="F349" s="230" t="s">
        <v>57</v>
      </c>
      <c r="H349" s="230" t="s">
        <v>48</v>
      </c>
      <c r="I349" s="203" t="s">
        <v>54</v>
      </c>
    </row>
    <row r="350" spans="1:9">
      <c r="A350" s="202" t="s">
        <v>58</v>
      </c>
      <c r="H350" s="230" t="s">
        <v>48</v>
      </c>
      <c r="I350" s="203" t="s">
        <v>58</v>
      </c>
    </row>
    <row r="351" spans="1:9">
      <c r="A351" s="202" t="s">
        <v>59</v>
      </c>
      <c r="H351" s="230" t="s">
        <v>48</v>
      </c>
      <c r="I351" s="203" t="s">
        <v>59</v>
      </c>
    </row>
    <row r="352" spans="1:9">
      <c r="A352" s="202" t="s">
        <v>60</v>
      </c>
      <c r="H352" s="230" t="s">
        <v>48</v>
      </c>
      <c r="I352" s="203" t="s">
        <v>60</v>
      </c>
    </row>
    <row r="353" spans="1:9">
      <c r="A353" s="202" t="s">
        <v>59</v>
      </c>
      <c r="H353" s="230" t="s">
        <v>48</v>
      </c>
      <c r="I353" s="203" t="s">
        <v>59</v>
      </c>
    </row>
    <row r="354" spans="1:9">
      <c r="A354" s="202" t="s">
        <v>61</v>
      </c>
      <c r="E354" s="230" t="s">
        <v>62</v>
      </c>
      <c r="G354" s="203" t="s">
        <v>54</v>
      </c>
      <c r="H354" s="230" t="s">
        <v>48</v>
      </c>
      <c r="I354" s="203" t="s">
        <v>61</v>
      </c>
    </row>
    <row r="355" spans="1:9">
      <c r="A355" s="202" t="s">
        <v>63</v>
      </c>
      <c r="G355" s="203" t="s">
        <v>64</v>
      </c>
      <c r="H355" s="230" t="s">
        <v>48</v>
      </c>
      <c r="I355" s="203" t="s">
        <v>63</v>
      </c>
    </row>
    <row r="356" spans="1:9">
      <c r="A356" s="202" t="s">
        <v>65</v>
      </c>
      <c r="H356" s="230" t="s">
        <v>48</v>
      </c>
      <c r="I356" s="203" t="s">
        <v>65</v>
      </c>
    </row>
    <row r="357" spans="1:9">
      <c r="A357" s="202" t="s">
        <v>54</v>
      </c>
      <c r="H357" s="230" t="s">
        <v>48</v>
      </c>
      <c r="I357" s="203" t="s">
        <v>54</v>
      </c>
    </row>
    <row r="358" spans="1:9">
      <c r="A358" s="202" t="s">
        <v>66</v>
      </c>
      <c r="H358" s="230" t="s">
        <v>48</v>
      </c>
      <c r="I358" s="203" t="s">
        <v>66</v>
      </c>
    </row>
    <row r="359" spans="1:9">
      <c r="A359" s="202" t="s">
        <v>54</v>
      </c>
      <c r="E359" s="230" t="s">
        <v>67</v>
      </c>
      <c r="G359" s="203" t="s">
        <v>51</v>
      </c>
      <c r="H359" s="230" t="s">
        <v>48</v>
      </c>
      <c r="I359" s="203" t="s">
        <v>54</v>
      </c>
    </row>
    <row r="360" spans="1:9">
      <c r="A360" s="202" t="s">
        <v>68</v>
      </c>
      <c r="E360" s="230" t="s">
        <v>69</v>
      </c>
      <c r="G360" s="203" t="s">
        <v>54</v>
      </c>
      <c r="H360" s="230" t="s">
        <v>48</v>
      </c>
      <c r="I360" s="203" t="s">
        <v>68</v>
      </c>
    </row>
    <row r="361" spans="1:9">
      <c r="A361" s="202" t="s">
        <v>59</v>
      </c>
      <c r="G361" s="203" t="s">
        <v>71</v>
      </c>
      <c r="H361" s="230" t="s">
        <v>48</v>
      </c>
      <c r="I361" s="203" t="s">
        <v>59</v>
      </c>
    </row>
    <row r="362" spans="1:9">
      <c r="A362" s="202" t="s">
        <v>60</v>
      </c>
      <c r="G362" s="203" t="s">
        <v>72</v>
      </c>
      <c r="H362" s="230" t="s">
        <v>48</v>
      </c>
      <c r="I362" s="203" t="s">
        <v>60</v>
      </c>
    </row>
    <row r="363" spans="1:9">
      <c r="A363" s="202" t="s">
        <v>59</v>
      </c>
      <c r="G363" s="203" t="s">
        <v>57</v>
      </c>
      <c r="H363" s="230" t="s">
        <v>48</v>
      </c>
      <c r="I363" s="203" t="s">
        <v>59</v>
      </c>
    </row>
    <row r="364" spans="1:9">
      <c r="A364" s="202" t="s">
        <v>61</v>
      </c>
      <c r="H364" s="230" t="s">
        <v>48</v>
      </c>
      <c r="I364" s="203" t="s">
        <v>61</v>
      </c>
    </row>
    <row r="365" spans="1:9">
      <c r="A365" s="202" t="s">
        <v>73</v>
      </c>
      <c r="H365" s="230" t="s">
        <v>48</v>
      </c>
      <c r="I365" s="203" t="s">
        <v>73</v>
      </c>
    </row>
    <row r="366" spans="1:9">
      <c r="A366" s="202" t="s">
        <v>74</v>
      </c>
      <c r="H366" s="230" t="s">
        <v>48</v>
      </c>
      <c r="I366" s="203" t="s">
        <v>75</v>
      </c>
    </row>
    <row r="367" spans="1:9">
      <c r="A367" s="202" t="s">
        <v>76</v>
      </c>
      <c r="H367" s="230" t="s">
        <v>48</v>
      </c>
      <c r="I367" s="203" t="s">
        <v>76</v>
      </c>
    </row>
    <row r="368" spans="1:9">
      <c r="A368" s="202" t="s">
        <v>77</v>
      </c>
      <c r="E368" s="230" t="s">
        <v>78</v>
      </c>
      <c r="G368" s="203" t="s">
        <v>51</v>
      </c>
      <c r="H368" s="230" t="s">
        <v>48</v>
      </c>
      <c r="I368" s="203" t="s">
        <v>77</v>
      </c>
    </row>
    <row r="369" spans="1:9">
      <c r="A369" s="202" t="s">
        <v>79</v>
      </c>
      <c r="E369" s="230" t="s">
        <v>80</v>
      </c>
      <c r="G369" s="203" t="s">
        <v>54</v>
      </c>
      <c r="H369" s="230" t="s">
        <v>48</v>
      </c>
      <c r="I369" s="203" t="s">
        <v>79</v>
      </c>
    </row>
    <row r="370" spans="1:9">
      <c r="A370" s="202" t="s">
        <v>81</v>
      </c>
      <c r="G370" s="203" t="s">
        <v>82</v>
      </c>
      <c r="H370" s="230" t="s">
        <v>48</v>
      </c>
      <c r="I370" s="203" t="s">
        <v>81</v>
      </c>
    </row>
    <row r="371" spans="1:9">
      <c r="A371" s="202" t="s">
        <v>54</v>
      </c>
      <c r="G371" s="203" t="s">
        <v>72</v>
      </c>
      <c r="H371" s="230" t="s">
        <v>48</v>
      </c>
      <c r="I371" s="203" t="s">
        <v>54</v>
      </c>
    </row>
    <row r="372" spans="1:9">
      <c r="A372" s="202" t="s">
        <v>83</v>
      </c>
      <c r="G372" s="203" t="s">
        <v>57</v>
      </c>
      <c r="H372" s="230" t="s">
        <v>48</v>
      </c>
      <c r="I372" s="203" t="s">
        <v>83</v>
      </c>
    </row>
    <row r="373" spans="1:9">
      <c r="A373" s="202" t="s">
        <v>59</v>
      </c>
      <c r="H373" s="230" t="s">
        <v>48</v>
      </c>
      <c r="I373" s="203" t="s">
        <v>59</v>
      </c>
    </row>
    <row r="374" spans="1:9">
      <c r="A374" s="202" t="s">
        <v>60</v>
      </c>
      <c r="H374" s="230" t="s">
        <v>48</v>
      </c>
      <c r="I374" s="203" t="s">
        <v>60</v>
      </c>
    </row>
    <row r="375" spans="1:9">
      <c r="A375" s="202" t="s">
        <v>59</v>
      </c>
      <c r="H375" s="230" t="s">
        <v>48</v>
      </c>
      <c r="I375" s="203" t="s">
        <v>59</v>
      </c>
    </row>
    <row r="376" spans="1:9">
      <c r="A376" s="202" t="s">
        <v>61</v>
      </c>
      <c r="E376" s="230" t="s">
        <v>84</v>
      </c>
      <c r="G376" s="203" t="s">
        <v>51</v>
      </c>
      <c r="H376" s="230" t="s">
        <v>48</v>
      </c>
      <c r="I376" s="203" t="s">
        <v>61</v>
      </c>
    </row>
    <row r="377" spans="1:9">
      <c r="A377" s="202" t="s">
        <v>73</v>
      </c>
      <c r="E377" s="230" t="s">
        <v>85</v>
      </c>
      <c r="G377" s="203" t="s">
        <v>54</v>
      </c>
      <c r="H377" s="230" t="s">
        <v>48</v>
      </c>
      <c r="I377" s="203" t="s">
        <v>73</v>
      </c>
    </row>
    <row r="378" spans="1:9">
      <c r="A378" s="202" t="s">
        <v>86</v>
      </c>
      <c r="G378" s="203" t="s">
        <v>56</v>
      </c>
      <c r="H378" s="230" t="s">
        <v>48</v>
      </c>
      <c r="I378" s="203" t="s">
        <v>86</v>
      </c>
    </row>
    <row r="379" spans="1:9">
      <c r="A379" s="202" t="s">
        <v>87</v>
      </c>
      <c r="G379" s="203" t="s">
        <v>72</v>
      </c>
      <c r="H379" s="230" t="s">
        <v>48</v>
      </c>
      <c r="I379" s="203" t="s">
        <v>87</v>
      </c>
    </row>
    <row r="380" spans="1:9">
      <c r="A380" s="202" t="s">
        <v>54</v>
      </c>
      <c r="G380" s="203" t="s">
        <v>57</v>
      </c>
      <c r="H380" s="230" t="s">
        <v>48</v>
      </c>
      <c r="I380" s="203" t="s">
        <v>54</v>
      </c>
    </row>
    <row r="381" spans="1:9">
      <c r="A381" s="202" t="s">
        <v>70</v>
      </c>
      <c r="H381" s="230" t="s">
        <v>48</v>
      </c>
      <c r="I381" s="203" t="s">
        <v>70</v>
      </c>
    </row>
    <row r="382" spans="1:9">
      <c r="A382" s="202" t="s">
        <v>59</v>
      </c>
      <c r="H382" s="230" t="s">
        <v>48</v>
      </c>
      <c r="I382" s="203" t="s">
        <v>59</v>
      </c>
    </row>
    <row r="383" spans="1:9">
      <c r="A383" s="202" t="s">
        <v>60</v>
      </c>
      <c r="H383" s="230" t="s">
        <v>48</v>
      </c>
      <c r="I383" s="203" t="s">
        <v>60</v>
      </c>
    </row>
    <row r="384" spans="1:9">
      <c r="A384" s="202" t="s">
        <v>59</v>
      </c>
      <c r="H384" s="230" t="s">
        <v>48</v>
      </c>
      <c r="I384" s="203" t="s">
        <v>59</v>
      </c>
    </row>
    <row r="385" spans="1:9">
      <c r="A385" s="202" t="s">
        <v>61</v>
      </c>
      <c r="H385" s="230" t="s">
        <v>48</v>
      </c>
      <c r="I385" s="203" t="s">
        <v>61</v>
      </c>
    </row>
    <row r="386" spans="1:9">
      <c r="A386" s="202" t="s">
        <v>73</v>
      </c>
      <c r="H386" s="230" t="s">
        <v>48</v>
      </c>
      <c r="I386" s="203" t="s">
        <v>73</v>
      </c>
    </row>
    <row r="387" spans="1:9">
      <c r="A387" s="202" t="s">
        <v>88</v>
      </c>
      <c r="H387" s="230" t="s">
        <v>48</v>
      </c>
      <c r="I387" s="203" t="s">
        <v>88</v>
      </c>
    </row>
    <row r="388" spans="1:9">
      <c r="A388" s="202" t="s">
        <v>87</v>
      </c>
      <c r="H388" s="230" t="s">
        <v>48</v>
      </c>
      <c r="I388" s="203" t="s">
        <v>87</v>
      </c>
    </row>
    <row r="389" spans="1:9">
      <c r="A389" s="202" t="s">
        <v>54</v>
      </c>
      <c r="H389" s="230" t="s">
        <v>48</v>
      </c>
      <c r="I389" s="203" t="s">
        <v>54</v>
      </c>
    </row>
    <row r="390" spans="1:9">
      <c r="A390" s="202" t="s">
        <v>89</v>
      </c>
      <c r="H390" s="230" t="s">
        <v>48</v>
      </c>
      <c r="I390" s="203" t="s">
        <v>89</v>
      </c>
    </row>
    <row r="391" spans="1:9">
      <c r="A391" s="202" t="s">
        <v>72</v>
      </c>
      <c r="H391" s="230" t="s">
        <v>48</v>
      </c>
      <c r="I391" s="203" t="s">
        <v>72</v>
      </c>
    </row>
    <row r="392" spans="1:9">
      <c r="A392" s="202" t="s">
        <v>92</v>
      </c>
      <c r="H392" s="230" t="s">
        <v>48</v>
      </c>
      <c r="I392" s="203" t="s">
        <v>91</v>
      </c>
    </row>
    <row r="393" spans="1:9">
      <c r="A393" s="202" t="s">
        <v>93</v>
      </c>
      <c r="H393" s="230" t="s">
        <v>48</v>
      </c>
    </row>
    <row r="394" spans="1:9">
      <c r="H394" s="230" t="s">
        <v>48</v>
      </c>
    </row>
    <row r="395" spans="1:9">
      <c r="H395" s="230" t="s">
        <v>48</v>
      </c>
    </row>
    <row r="396" spans="1:9">
      <c r="H396" s="230" t="s">
        <v>48</v>
      </c>
    </row>
    <row r="397" spans="1:9">
      <c r="A397" s="202" t="s">
        <v>0</v>
      </c>
    </row>
  </sheetData>
  <sheetProtection sheet="1" objects="1" scenarios="1"/>
  <mergeCells count="65">
    <mergeCell ref="B72:D72"/>
    <mergeCell ref="B59:D59"/>
    <mergeCell ref="B58:D58"/>
    <mergeCell ref="B50:G50"/>
    <mergeCell ref="B25:G25"/>
    <mergeCell ref="B26:G26"/>
    <mergeCell ref="B82:E82"/>
    <mergeCell ref="B69:D69"/>
    <mergeCell ref="B27:G27"/>
    <mergeCell ref="B28:G28"/>
    <mergeCell ref="B20:G20"/>
    <mergeCell ref="B21:G21"/>
    <mergeCell ref="B22:G22"/>
    <mergeCell ref="B23:G23"/>
    <mergeCell ref="B24:G24"/>
    <mergeCell ref="B62:D62"/>
    <mergeCell ref="B80:I80"/>
    <mergeCell ref="B73:D73"/>
    <mergeCell ref="B70:D70"/>
    <mergeCell ref="B71:D71"/>
    <mergeCell ref="B66:D66"/>
    <mergeCell ref="B79:E79"/>
    <mergeCell ref="B16:G16"/>
    <mergeCell ref="B17:G17"/>
    <mergeCell ref="B18:G18"/>
    <mergeCell ref="B19:G19"/>
    <mergeCell ref="B7:I7"/>
    <mergeCell ref="B8:I8"/>
    <mergeCell ref="B9:I9"/>
    <mergeCell ref="B10:I10"/>
    <mergeCell ref="B11:I11"/>
    <mergeCell ref="B12:E12"/>
    <mergeCell ref="B13:F13"/>
    <mergeCell ref="B15:G15"/>
    <mergeCell ref="B1:I1"/>
    <mergeCell ref="B2:I2"/>
    <mergeCell ref="B3:I3"/>
    <mergeCell ref="B4:I4"/>
    <mergeCell ref="B6:I6"/>
    <mergeCell ref="B5:I5"/>
    <mergeCell ref="G111:G112"/>
    <mergeCell ref="H111:H112"/>
    <mergeCell ref="B109:I109"/>
    <mergeCell ref="B88:F88"/>
    <mergeCell ref="B87:F87"/>
    <mergeCell ref="B89:E89"/>
    <mergeCell ref="B90:F90"/>
    <mergeCell ref="B111:B112"/>
    <mergeCell ref="B93:I93"/>
    <mergeCell ref="B118:C118"/>
    <mergeCell ref="B120:C120"/>
    <mergeCell ref="F111:F112"/>
    <mergeCell ref="B115:C115"/>
    <mergeCell ref="B32:C32"/>
    <mergeCell ref="B84:F84"/>
    <mergeCell ref="B83:F83"/>
    <mergeCell ref="B116:C116"/>
    <mergeCell ref="B117:C117"/>
    <mergeCell ref="B114:C114"/>
    <mergeCell ref="B86:F86"/>
    <mergeCell ref="B85:F85"/>
    <mergeCell ref="B49:D49"/>
    <mergeCell ref="B60:D60"/>
    <mergeCell ref="B61:D61"/>
    <mergeCell ref="B57:D57"/>
  </mergeCells>
  <phoneticPr fontId="0" type="noConversion"/>
  <dataValidations count="3">
    <dataValidation type="whole" operator="lessThanOrEqual" allowBlank="1" showInputMessage="1" showErrorMessage="1" error="Hundred weight of milk receiving a premium cannot be more that total milk production._x000d_" sqref="G103">
      <formula1>H19</formula1>
    </dataValidation>
    <dataValidation type="whole" allowBlank="1" showErrorMessage="1" error="This number cannot be more than the number of heifers raised." sqref="G101">
      <formula1>0</formula1>
      <formula2>H28</formula2>
    </dataValidation>
    <dataValidation type="whole" allowBlank="1" showInputMessage="1" showErrorMessage="1" error="The number raised cannot exceed the number of lactations." prompt="Enter the number of heifers from this calf crop you want to raise." sqref="H28">
      <formula1>0</formula1>
      <formula2>H17</formula2>
    </dataValidation>
  </dataValidations>
  <hyperlinks>
    <hyperlink ref="A74" location="Payroll!B4" display="Payroll Detail"/>
    <hyperlink ref="A81" location="Fixed_Cost!B6" display="Fixed Cost &amp; Annual Payment Detail"/>
    <hyperlink ref="A51" location="Corn_silage!B7" display="Corn Silage details"/>
    <hyperlink ref="A52" location="Sorghum_silage!B4" display="Grain Sorghum silage details"/>
    <hyperlink ref="A56" location="permanent_pasture!B2" display="Permanent pasture grazing details"/>
    <hyperlink ref="A38" location="Feed_detail!B3" display="Feeding Program Details"/>
    <hyperlink ref="A53" location="Winter_Silage!B4" display="Winter Annual silage details"/>
    <hyperlink ref="A54" location="Winter_Grazing!B4" display="Winter Annual pasture details"/>
    <hyperlink ref="A55" location="Winter_Grazing!B4" display="Hay Production details"/>
    <hyperlink ref="I20" location="Monthly_Milk!A1" display="&lt;----- to calculate a weighted average milk price click here"/>
  </hyperlinks>
  <pageMargins left="0.25" right="0.25" top="0.75" bottom="0.75" header="0.3" footer="0.3"/>
  <headerFooter alignWithMargins="0">
    <oddFooter>&amp;A</oddFooter>
  </headerFooter>
  <rowBreaks count="1" manualBreakCount="1">
    <brk id="79" min="1" max="8" man="1"/>
  </rowBreaks>
  <colBreaks count="1" manualBreakCount="1">
    <brk id="1" max="1048575" man="1"/>
  </colBreaks>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B1:O112"/>
  <sheetViews>
    <sheetView zoomScale="125" zoomScaleNormal="125" zoomScalePageLayoutView="125" workbookViewId="0">
      <pane xSplit="1" ySplit="4" topLeftCell="B72" activePane="bottomRight" state="frozen"/>
      <selection pane="topRight" activeCell="B1" sqref="B1"/>
      <selection pane="bottomLeft" activeCell="A5" sqref="A5"/>
      <selection pane="bottomRight" activeCell="E7" sqref="E7"/>
    </sheetView>
  </sheetViews>
  <sheetFormatPr baseColWidth="10" defaultColWidth="8.5" defaultRowHeight="12" x14ac:dyDescent="0"/>
  <cols>
    <col min="1" max="1" width="0.83203125" style="1" customWidth="1"/>
    <col min="2" max="2" width="19.5" style="1" customWidth="1"/>
    <col min="3" max="3" width="15.83203125" style="1" customWidth="1"/>
    <col min="4" max="4" width="40.1640625" style="1" customWidth="1"/>
    <col min="5" max="5" width="19" style="1" customWidth="1"/>
    <col min="6" max="6" width="13.5" style="1" customWidth="1"/>
    <col min="7" max="7" width="14.1640625" style="1" customWidth="1"/>
    <col min="8" max="8" width="14.6640625" style="1" customWidth="1"/>
    <col min="9" max="9" width="8.5" style="1" customWidth="1"/>
    <col min="10" max="10" width="13.83203125" style="1" customWidth="1"/>
    <col min="11" max="11" width="11.5" style="1" customWidth="1"/>
    <col min="12" max="12" width="17.1640625" style="1" customWidth="1"/>
    <col min="13" max="13" width="8.5" style="1" customWidth="1"/>
    <col min="14" max="14" width="11.1640625" style="1" customWidth="1"/>
    <col min="15" max="15" width="14.1640625" style="1" customWidth="1"/>
    <col min="16" max="16384" width="8.5" style="1"/>
  </cols>
  <sheetData>
    <row r="1" spans="2:15">
      <c r="B1" s="348"/>
      <c r="C1" s="348"/>
      <c r="D1" s="349"/>
      <c r="E1" s="348"/>
      <c r="F1" s="348"/>
      <c r="G1" s="348"/>
      <c r="H1" s="348"/>
      <c r="I1" s="348"/>
      <c r="J1" s="348"/>
      <c r="K1" s="348"/>
      <c r="L1" s="348"/>
      <c r="M1" s="348"/>
      <c r="N1" s="348"/>
      <c r="O1" s="348"/>
    </row>
    <row r="2" spans="2:15">
      <c r="B2" s="348"/>
      <c r="C2" s="348"/>
      <c r="D2" s="447"/>
      <c r="E2" s="348"/>
      <c r="F2" s="348"/>
      <c r="G2" s="348"/>
      <c r="H2" s="348"/>
      <c r="I2" s="348"/>
      <c r="J2" s="348"/>
      <c r="K2" s="348"/>
      <c r="L2" s="348"/>
      <c r="M2" s="348"/>
      <c r="N2" s="348"/>
      <c r="O2" s="348"/>
    </row>
    <row r="3" spans="2:15" ht="23" thickBot="1">
      <c r="B3" s="348"/>
      <c r="C3" s="536" t="s">
        <v>418</v>
      </c>
      <c r="D3" s="536"/>
      <c r="E3" s="536"/>
      <c r="F3" s="536"/>
      <c r="G3" s="536"/>
      <c r="H3" s="536"/>
      <c r="I3" s="536"/>
      <c r="J3" s="536"/>
      <c r="K3" s="536"/>
      <c r="L3" s="536"/>
      <c r="M3" s="536"/>
      <c r="N3" s="536"/>
      <c r="O3" s="536"/>
    </row>
    <row r="4" spans="2:15" ht="37" thickBot="1">
      <c r="B4" s="350" t="s">
        <v>364</v>
      </c>
      <c r="C4" s="537" t="s">
        <v>389</v>
      </c>
      <c r="D4" s="538"/>
      <c r="E4" s="351" t="s">
        <v>390</v>
      </c>
      <c r="F4" s="351" t="s">
        <v>391</v>
      </c>
      <c r="G4" s="351" t="s">
        <v>377</v>
      </c>
      <c r="H4" s="351" t="s">
        <v>392</v>
      </c>
      <c r="I4" s="351" t="s">
        <v>393</v>
      </c>
      <c r="J4" s="351" t="s">
        <v>394</v>
      </c>
      <c r="K4" s="351" t="s">
        <v>395</v>
      </c>
      <c r="L4" s="351" t="s">
        <v>396</v>
      </c>
      <c r="M4" s="351" t="s">
        <v>397</v>
      </c>
      <c r="N4" s="351" t="s">
        <v>398</v>
      </c>
      <c r="O4" s="352" t="s">
        <v>399</v>
      </c>
    </row>
    <row r="5" spans="2:15">
      <c r="B5" s="348"/>
      <c r="C5" s="534" t="s">
        <v>119</v>
      </c>
      <c r="D5" s="534"/>
      <c r="E5" s="348"/>
      <c r="F5" s="348"/>
      <c r="G5" s="348"/>
      <c r="H5" s="348"/>
      <c r="I5" s="348"/>
      <c r="J5" s="348"/>
      <c r="K5" s="348"/>
      <c r="L5" s="348"/>
      <c r="M5" s="348"/>
      <c r="N5" s="348"/>
      <c r="O5" s="348"/>
    </row>
    <row r="6" spans="2:15" ht="15">
      <c r="B6" s="348"/>
      <c r="C6" s="348" t="s">
        <v>23</v>
      </c>
      <c r="D6" s="348"/>
      <c r="E6" s="252">
        <v>600</v>
      </c>
      <c r="F6" s="261">
        <v>2250</v>
      </c>
      <c r="G6" s="353">
        <f>E6*F6</f>
        <v>1350000</v>
      </c>
      <c r="H6" s="412">
        <f>+(E6*Main!$H$99)*100%-death_loss</f>
        <v>637499.92500000005</v>
      </c>
      <c r="I6" s="354">
        <f>1/cull_rate</f>
        <v>3.125</v>
      </c>
      <c r="J6" s="355">
        <f>+(G6-H6)/I6</f>
        <v>228000.02399999998</v>
      </c>
      <c r="K6" s="449">
        <v>0</v>
      </c>
      <c r="L6" s="357">
        <f>+K6*G6</f>
        <v>0</v>
      </c>
      <c r="M6" s="256">
        <v>0.08</v>
      </c>
      <c r="N6" s="253">
        <v>5</v>
      </c>
      <c r="O6" s="358">
        <f>-PMT(M6,N6,L6)</f>
        <v>0</v>
      </c>
    </row>
    <row r="7" spans="2:15" ht="15">
      <c r="B7" s="348"/>
      <c r="C7" s="348" t="s">
        <v>473</v>
      </c>
      <c r="D7" s="348"/>
      <c r="E7" s="252">
        <f>+Main!H27</f>
        <v>309</v>
      </c>
      <c r="F7" s="261">
        <v>2500</v>
      </c>
      <c r="G7" s="353">
        <f>E7*F7</f>
        <v>772500</v>
      </c>
      <c r="H7" s="412">
        <f>+(E7*Main!$H$99)*100%-death_loss</f>
        <v>328312.42499999999</v>
      </c>
      <c r="I7" s="354">
        <f>(1/cull_rate)+1</f>
        <v>4.125</v>
      </c>
      <c r="J7" s="355">
        <f>+(G7-H7)/I7</f>
        <v>107681.83636363636</v>
      </c>
      <c r="K7" s="449">
        <v>0</v>
      </c>
      <c r="L7" s="357">
        <f>+K7*G7</f>
        <v>0</v>
      </c>
      <c r="M7" s="256">
        <v>0.08</v>
      </c>
      <c r="N7" s="253">
        <v>5</v>
      </c>
      <c r="O7" s="358">
        <f>-PMT(M7,N7,L7)</f>
        <v>0</v>
      </c>
    </row>
    <row r="8" spans="2:15" ht="15">
      <c r="B8" s="348"/>
      <c r="C8" s="348" t="s">
        <v>472</v>
      </c>
      <c r="D8" s="348"/>
      <c r="E8" s="252">
        <v>0</v>
      </c>
      <c r="F8" s="261">
        <v>1350</v>
      </c>
      <c r="G8" s="353">
        <f>E8*F8</f>
        <v>0</v>
      </c>
      <c r="H8" s="261">
        <f>G8</f>
        <v>0</v>
      </c>
      <c r="I8" s="355" t="s">
        <v>15</v>
      </c>
      <c r="J8" s="355" t="s">
        <v>15</v>
      </c>
      <c r="K8" s="449">
        <v>0</v>
      </c>
      <c r="L8" s="357">
        <f>+K8*G8</f>
        <v>0</v>
      </c>
      <c r="M8" s="256">
        <v>0.08</v>
      </c>
      <c r="N8" s="253">
        <v>5</v>
      </c>
      <c r="O8" s="358">
        <f>-PMT(M8,N8,L8)</f>
        <v>0</v>
      </c>
    </row>
    <row r="9" spans="2:15" ht="16" thickBot="1">
      <c r="B9" s="348"/>
      <c r="C9" s="348" t="s">
        <v>471</v>
      </c>
      <c r="D9" s="348"/>
      <c r="E9" s="252">
        <v>0</v>
      </c>
      <c r="F9" s="261">
        <v>850</v>
      </c>
      <c r="G9" s="353">
        <f>E9*F9</f>
        <v>0</v>
      </c>
      <c r="H9" s="261">
        <f>G9</f>
        <v>0</v>
      </c>
      <c r="I9" s="355" t="s">
        <v>15</v>
      </c>
      <c r="J9" s="355" t="s">
        <v>15</v>
      </c>
      <c r="K9" s="449">
        <v>0</v>
      </c>
      <c r="L9" s="357">
        <f>+K9*G9</f>
        <v>0</v>
      </c>
      <c r="M9" s="256">
        <v>0.08</v>
      </c>
      <c r="N9" s="253">
        <v>5</v>
      </c>
      <c r="O9" s="358">
        <f>-PMT(M9,N9,L9)</f>
        <v>0</v>
      </c>
    </row>
    <row r="10" spans="2:15" ht="13" thickBot="1">
      <c r="B10" s="348"/>
      <c r="C10" s="530" t="s">
        <v>336</v>
      </c>
      <c r="D10" s="531"/>
      <c r="E10" s="359"/>
      <c r="F10" s="360"/>
      <c r="G10" s="361">
        <f>+SUM(G6:G9)</f>
        <v>2122500</v>
      </c>
      <c r="H10" s="360"/>
      <c r="I10" s="360"/>
      <c r="J10" s="362">
        <f>+SUM(J6:J9)</f>
        <v>335681.86036363634</v>
      </c>
      <c r="K10" s="363"/>
      <c r="L10" s="364">
        <f>+SUM(L6:L9)</f>
        <v>0</v>
      </c>
      <c r="M10" s="363"/>
      <c r="N10" s="363"/>
      <c r="O10" s="365">
        <f>SUM(O6:O9)</f>
        <v>0</v>
      </c>
    </row>
    <row r="11" spans="2:15">
      <c r="B11" s="348"/>
      <c r="C11" s="366"/>
      <c r="D11" s="366"/>
      <c r="E11" s="367"/>
      <c r="F11" s="368"/>
      <c r="G11" s="369"/>
      <c r="H11" s="368"/>
      <c r="I11" s="368"/>
      <c r="J11" s="368"/>
      <c r="K11" s="348"/>
      <c r="L11" s="348"/>
      <c r="M11" s="348"/>
      <c r="N11" s="348"/>
      <c r="O11" s="348"/>
    </row>
    <row r="12" spans="2:15">
      <c r="B12" s="348"/>
      <c r="C12" s="534" t="s">
        <v>334</v>
      </c>
      <c r="D12" s="534"/>
      <c r="E12" s="367"/>
      <c r="F12" s="368"/>
      <c r="G12" s="369"/>
      <c r="H12" s="368"/>
      <c r="I12" s="368"/>
      <c r="J12" s="368"/>
      <c r="K12" s="348"/>
      <c r="L12" s="348"/>
      <c r="M12" s="348"/>
      <c r="N12" s="348"/>
      <c r="O12" s="348"/>
    </row>
    <row r="13" spans="2:15" ht="15">
      <c r="B13" s="348"/>
      <c r="C13" s="447" t="s">
        <v>461</v>
      </c>
      <c r="D13" s="447"/>
      <c r="E13" s="348"/>
      <c r="F13" s="353"/>
      <c r="G13" s="261">
        <v>90000</v>
      </c>
      <c r="H13" s="255">
        <f>+G13*0.2</f>
        <v>18000</v>
      </c>
      <c r="I13" s="262">
        <v>20</v>
      </c>
      <c r="J13" s="353">
        <f t="shared" ref="J13:J27" si="0">G13/I13</f>
        <v>4500</v>
      </c>
      <c r="K13" s="256">
        <v>0.5</v>
      </c>
      <c r="L13" s="357">
        <f t="shared" ref="L13:L27" si="1">+K13*G13</f>
        <v>45000</v>
      </c>
      <c r="M13" s="256">
        <v>0.08</v>
      </c>
      <c r="N13" s="253">
        <v>20</v>
      </c>
      <c r="O13" s="358">
        <f t="shared" ref="O13:O27" si="2">-PMT(M13,N13,L13)</f>
        <v>4583.3493970417776</v>
      </c>
    </row>
    <row r="14" spans="2:15" ht="15">
      <c r="B14" s="348"/>
      <c r="C14" s="447" t="s">
        <v>666</v>
      </c>
      <c r="D14" s="447"/>
      <c r="E14" s="348"/>
      <c r="F14" s="353"/>
      <c r="G14" s="261">
        <v>550000</v>
      </c>
      <c r="H14" s="255">
        <f t="shared" ref="H14:H27" si="3">+G14*0.2</f>
        <v>110000</v>
      </c>
      <c r="I14" s="262">
        <v>15</v>
      </c>
      <c r="J14" s="353">
        <f t="shared" si="0"/>
        <v>36666.666666666664</v>
      </c>
      <c r="K14" s="256">
        <v>0.5</v>
      </c>
      <c r="L14" s="357">
        <f t="shared" si="1"/>
        <v>275000</v>
      </c>
      <c r="M14" s="256">
        <v>0.08</v>
      </c>
      <c r="N14" s="253">
        <v>20</v>
      </c>
      <c r="O14" s="358">
        <f t="shared" si="2"/>
        <v>28009.35742636642</v>
      </c>
    </row>
    <row r="15" spans="2:15" ht="15">
      <c r="B15" s="348"/>
      <c r="C15" s="447" t="s">
        <v>665</v>
      </c>
      <c r="D15" s="447"/>
      <c r="E15" s="348"/>
      <c r="F15" s="353"/>
      <c r="G15" s="261">
        <v>200000</v>
      </c>
      <c r="H15" s="255">
        <f t="shared" si="3"/>
        <v>40000</v>
      </c>
      <c r="I15" s="262">
        <v>10</v>
      </c>
      <c r="J15" s="353">
        <f t="shared" si="0"/>
        <v>20000</v>
      </c>
      <c r="K15" s="256">
        <v>0.5</v>
      </c>
      <c r="L15" s="357">
        <f t="shared" si="1"/>
        <v>100000</v>
      </c>
      <c r="M15" s="256">
        <v>0.08</v>
      </c>
      <c r="N15" s="253">
        <v>10</v>
      </c>
      <c r="O15" s="358">
        <f t="shared" si="2"/>
        <v>14902.948869707541</v>
      </c>
    </row>
    <row r="16" spans="2:15" ht="15">
      <c r="B16" s="348"/>
      <c r="C16" s="447" t="s">
        <v>100</v>
      </c>
      <c r="D16" s="447"/>
      <c r="E16" s="348"/>
      <c r="F16" s="353"/>
      <c r="G16" s="261">
        <v>150000</v>
      </c>
      <c r="H16" s="255">
        <f t="shared" si="3"/>
        <v>30000</v>
      </c>
      <c r="I16" s="262">
        <v>20</v>
      </c>
      <c r="J16" s="353">
        <f t="shared" si="0"/>
        <v>7500</v>
      </c>
      <c r="K16" s="256">
        <v>0.5</v>
      </c>
      <c r="L16" s="357">
        <f t="shared" si="1"/>
        <v>75000</v>
      </c>
      <c r="M16" s="256">
        <v>0.08</v>
      </c>
      <c r="N16" s="253">
        <v>20</v>
      </c>
      <c r="O16" s="358">
        <f t="shared" si="2"/>
        <v>7638.915661736296</v>
      </c>
    </row>
    <row r="17" spans="2:15" ht="15">
      <c r="B17" s="348"/>
      <c r="C17" s="447" t="s">
        <v>462</v>
      </c>
      <c r="D17" s="447"/>
      <c r="E17" s="371" t="s">
        <v>15</v>
      </c>
      <c r="F17" s="355" t="s">
        <v>15</v>
      </c>
      <c r="G17" s="261">
        <v>35000</v>
      </c>
      <c r="H17" s="255">
        <f t="shared" si="3"/>
        <v>7000</v>
      </c>
      <c r="I17" s="262">
        <v>15</v>
      </c>
      <c r="J17" s="353">
        <f t="shared" si="0"/>
        <v>2333.3333333333335</v>
      </c>
      <c r="K17" s="256">
        <v>0.5</v>
      </c>
      <c r="L17" s="357">
        <f t="shared" si="1"/>
        <v>17500</v>
      </c>
      <c r="M17" s="256">
        <v>0.08</v>
      </c>
      <c r="N17" s="253">
        <v>10</v>
      </c>
      <c r="O17" s="358">
        <f t="shared" si="2"/>
        <v>2608.0160521988196</v>
      </c>
    </row>
    <row r="18" spans="2:15" ht="15">
      <c r="B18" s="348"/>
      <c r="C18" s="447" t="s">
        <v>320</v>
      </c>
      <c r="D18" s="447"/>
      <c r="E18" s="371" t="s">
        <v>15</v>
      </c>
      <c r="F18" s="355" t="s">
        <v>15</v>
      </c>
      <c r="G18" s="261">
        <v>70000</v>
      </c>
      <c r="H18" s="255">
        <f t="shared" si="3"/>
        <v>14000</v>
      </c>
      <c r="I18" s="262">
        <v>15</v>
      </c>
      <c r="J18" s="353">
        <f t="shared" si="0"/>
        <v>4666.666666666667</v>
      </c>
      <c r="K18" s="256">
        <v>0.5</v>
      </c>
      <c r="L18" s="357">
        <f t="shared" si="1"/>
        <v>35000</v>
      </c>
      <c r="M18" s="256">
        <v>0.08</v>
      </c>
      <c r="N18" s="253">
        <v>10</v>
      </c>
      <c r="O18" s="358">
        <f t="shared" si="2"/>
        <v>5216.0321043976392</v>
      </c>
    </row>
    <row r="19" spans="2:15" ht="15">
      <c r="B19" s="348"/>
      <c r="C19" s="447" t="s">
        <v>102</v>
      </c>
      <c r="D19" s="447"/>
      <c r="E19" s="371" t="s">
        <v>15</v>
      </c>
      <c r="F19" s="355" t="s">
        <v>15</v>
      </c>
      <c r="G19" s="261">
        <v>24000</v>
      </c>
      <c r="H19" s="255">
        <f t="shared" si="3"/>
        <v>4800</v>
      </c>
      <c r="I19" s="262">
        <v>20</v>
      </c>
      <c r="J19" s="353">
        <f t="shared" si="0"/>
        <v>1200</v>
      </c>
      <c r="K19" s="256">
        <v>0.5</v>
      </c>
      <c r="L19" s="357">
        <f t="shared" si="1"/>
        <v>12000</v>
      </c>
      <c r="M19" s="256">
        <v>0.08</v>
      </c>
      <c r="N19" s="253">
        <v>15</v>
      </c>
      <c r="O19" s="358">
        <f t="shared" si="2"/>
        <v>1401.9545392322407</v>
      </c>
    </row>
    <row r="20" spans="2:15" ht="15">
      <c r="B20" s="348"/>
      <c r="C20" s="447" t="s">
        <v>369</v>
      </c>
      <c r="D20" s="447"/>
      <c r="E20" s="371"/>
      <c r="F20" s="353"/>
      <c r="G20" s="261">
        <v>120000</v>
      </c>
      <c r="H20" s="255">
        <f t="shared" si="3"/>
        <v>24000</v>
      </c>
      <c r="I20" s="262">
        <v>15</v>
      </c>
      <c r="J20" s="353">
        <f t="shared" si="0"/>
        <v>8000</v>
      </c>
      <c r="K20" s="256">
        <v>0.5</v>
      </c>
      <c r="L20" s="357">
        <f t="shared" si="1"/>
        <v>60000</v>
      </c>
      <c r="M20" s="256">
        <v>0.08</v>
      </c>
      <c r="N20" s="253">
        <v>10</v>
      </c>
      <c r="O20" s="358">
        <f t="shared" si="2"/>
        <v>8941.769321824524</v>
      </c>
    </row>
    <row r="21" spans="2:15" ht="15">
      <c r="B21" s="348"/>
      <c r="C21" s="447" t="s">
        <v>104</v>
      </c>
      <c r="D21" s="447"/>
      <c r="E21" s="371" t="s">
        <v>15</v>
      </c>
      <c r="F21" s="355" t="s">
        <v>15</v>
      </c>
      <c r="G21" s="261">
        <v>65000</v>
      </c>
      <c r="H21" s="255">
        <f t="shared" si="3"/>
        <v>13000</v>
      </c>
      <c r="I21" s="262">
        <v>15</v>
      </c>
      <c r="J21" s="353">
        <f t="shared" si="0"/>
        <v>4333.333333333333</v>
      </c>
      <c r="K21" s="256">
        <v>0.5</v>
      </c>
      <c r="L21" s="357">
        <f t="shared" si="1"/>
        <v>32500</v>
      </c>
      <c r="M21" s="256">
        <v>0.08</v>
      </c>
      <c r="N21" s="253">
        <v>10</v>
      </c>
      <c r="O21" s="358">
        <f t="shared" si="2"/>
        <v>4843.4583826549506</v>
      </c>
    </row>
    <row r="22" spans="2:15" ht="15">
      <c r="B22" s="348"/>
      <c r="C22" s="447" t="s">
        <v>105</v>
      </c>
      <c r="D22" s="447"/>
      <c r="E22" s="348"/>
      <c r="F22" s="355" t="s">
        <v>15</v>
      </c>
      <c r="G22" s="261">
        <v>85000</v>
      </c>
      <c r="H22" s="255">
        <f t="shared" si="3"/>
        <v>17000</v>
      </c>
      <c r="I22" s="262">
        <v>20</v>
      </c>
      <c r="J22" s="353">
        <f t="shared" si="0"/>
        <v>4250</v>
      </c>
      <c r="K22" s="256">
        <v>0.5</v>
      </c>
      <c r="L22" s="357">
        <f t="shared" si="1"/>
        <v>42500</v>
      </c>
      <c r="M22" s="256">
        <v>0.08</v>
      </c>
      <c r="N22" s="253">
        <v>15</v>
      </c>
      <c r="O22" s="358">
        <f t="shared" si="2"/>
        <v>4965.2556597808516</v>
      </c>
    </row>
    <row r="23" spans="2:15" ht="15">
      <c r="B23" s="348"/>
      <c r="C23" s="447" t="s">
        <v>106</v>
      </c>
      <c r="D23" s="447"/>
      <c r="E23" s="348"/>
      <c r="F23" s="355" t="s">
        <v>15</v>
      </c>
      <c r="G23" s="261">
        <v>60000</v>
      </c>
      <c r="H23" s="255">
        <f t="shared" ref="H23:H24" si="4">+G23*0.2</f>
        <v>12000</v>
      </c>
      <c r="I23" s="262">
        <v>5</v>
      </c>
      <c r="J23" s="353">
        <f t="shared" ref="J23:J24" si="5">G23/I23</f>
        <v>12000</v>
      </c>
      <c r="K23" s="256">
        <v>0.5</v>
      </c>
      <c r="L23" s="357">
        <f t="shared" ref="L23:L24" si="6">+K23*G23</f>
        <v>30000</v>
      </c>
      <c r="M23" s="256">
        <v>0.08</v>
      </c>
      <c r="N23" s="253">
        <v>5</v>
      </c>
      <c r="O23" s="358">
        <f t="shared" ref="O23:O24" si="7">-PMT(M23,N23,L23)</f>
        <v>7513.693637005098</v>
      </c>
    </row>
    <row r="24" spans="2:15" ht="15">
      <c r="B24" s="348"/>
      <c r="C24" s="447" t="s">
        <v>478</v>
      </c>
      <c r="D24" s="447"/>
      <c r="E24" s="348"/>
      <c r="F24" s="355" t="s">
        <v>15</v>
      </c>
      <c r="G24" s="261">
        <v>10000</v>
      </c>
      <c r="H24" s="255">
        <f t="shared" si="4"/>
        <v>2000</v>
      </c>
      <c r="I24" s="262">
        <v>5</v>
      </c>
      <c r="J24" s="353">
        <f t="shared" si="5"/>
        <v>2000</v>
      </c>
      <c r="K24" s="256">
        <v>0.5</v>
      </c>
      <c r="L24" s="357">
        <f t="shared" si="6"/>
        <v>5000</v>
      </c>
      <c r="M24" s="256">
        <v>0.08</v>
      </c>
      <c r="N24" s="253">
        <v>5</v>
      </c>
      <c r="O24" s="358">
        <f t="shared" si="7"/>
        <v>1252.282272834183</v>
      </c>
    </row>
    <row r="25" spans="2:15" ht="15">
      <c r="B25" s="348"/>
      <c r="C25" s="447" t="s">
        <v>479</v>
      </c>
      <c r="D25" s="447"/>
      <c r="E25" s="348"/>
      <c r="F25" s="355" t="s">
        <v>15</v>
      </c>
      <c r="G25" s="261">
        <v>50000</v>
      </c>
      <c r="H25" s="255">
        <f t="shared" si="3"/>
        <v>10000</v>
      </c>
      <c r="I25" s="262">
        <v>5</v>
      </c>
      <c r="J25" s="353">
        <f t="shared" si="0"/>
        <v>10000</v>
      </c>
      <c r="K25" s="256">
        <v>0.5</v>
      </c>
      <c r="L25" s="357">
        <f t="shared" si="1"/>
        <v>25000</v>
      </c>
      <c r="M25" s="256">
        <v>0.08</v>
      </c>
      <c r="N25" s="253">
        <v>5</v>
      </c>
      <c r="O25" s="358">
        <f t="shared" si="2"/>
        <v>6261.4113641709146</v>
      </c>
    </row>
    <row r="26" spans="2:15" ht="15">
      <c r="B26" s="348"/>
      <c r="C26" s="527" t="s">
        <v>348</v>
      </c>
      <c r="D26" s="527"/>
      <c r="E26" s="348"/>
      <c r="F26" s="355" t="s">
        <v>15</v>
      </c>
      <c r="G26" s="261">
        <v>0</v>
      </c>
      <c r="H26" s="255">
        <f t="shared" si="3"/>
        <v>0</v>
      </c>
      <c r="I26" s="262">
        <v>15</v>
      </c>
      <c r="J26" s="353">
        <f t="shared" si="0"/>
        <v>0</v>
      </c>
      <c r="K26" s="256">
        <v>0.5</v>
      </c>
      <c r="L26" s="357">
        <f t="shared" si="1"/>
        <v>0</v>
      </c>
      <c r="M26" s="256">
        <v>0.08</v>
      </c>
      <c r="N26" s="253">
        <v>10</v>
      </c>
      <c r="O26" s="358">
        <f t="shared" si="2"/>
        <v>0</v>
      </c>
    </row>
    <row r="27" spans="2:15" ht="16" thickBot="1">
      <c r="B27" s="348"/>
      <c r="C27" s="527" t="s">
        <v>348</v>
      </c>
      <c r="D27" s="527"/>
      <c r="E27" s="348"/>
      <c r="F27" s="355" t="s">
        <v>15</v>
      </c>
      <c r="G27" s="261">
        <v>0</v>
      </c>
      <c r="H27" s="255">
        <f t="shared" si="3"/>
        <v>0</v>
      </c>
      <c r="I27" s="262">
        <v>15</v>
      </c>
      <c r="J27" s="353">
        <f t="shared" si="0"/>
        <v>0</v>
      </c>
      <c r="K27" s="256">
        <v>0.5</v>
      </c>
      <c r="L27" s="357">
        <f t="shared" si="1"/>
        <v>0</v>
      </c>
      <c r="M27" s="256">
        <v>0.08</v>
      </c>
      <c r="N27" s="253">
        <v>10</v>
      </c>
      <c r="O27" s="358">
        <f t="shared" si="2"/>
        <v>0</v>
      </c>
    </row>
    <row r="28" spans="2:15" ht="13" thickBot="1">
      <c r="B28" s="348"/>
      <c r="C28" s="372" t="s">
        <v>340</v>
      </c>
      <c r="D28" s="373"/>
      <c r="E28" s="374"/>
      <c r="F28" s="375"/>
      <c r="G28" s="362">
        <f>+SUM(G13:G25)</f>
        <v>1509000</v>
      </c>
      <c r="H28" s="376">
        <f>+SUM(H13:H25)</f>
        <v>301800</v>
      </c>
      <c r="I28" s="377"/>
      <c r="J28" s="362">
        <f>+SUM(J13:J25)</f>
        <v>117449.99999999999</v>
      </c>
      <c r="K28" s="363"/>
      <c r="L28" s="378">
        <f>+SUM(L13:L25)</f>
        <v>754500</v>
      </c>
      <c r="M28" s="363"/>
      <c r="N28" s="363"/>
      <c r="O28" s="379">
        <f>+SUM(O13:O25)</f>
        <v>98138.444688951262</v>
      </c>
    </row>
    <row r="29" spans="2:15">
      <c r="B29" s="348"/>
      <c r="C29" s="348"/>
      <c r="D29" s="348"/>
      <c r="E29" s="348"/>
      <c r="F29" s="348"/>
      <c r="G29" s="348"/>
      <c r="H29" s="357"/>
      <c r="I29" s="380"/>
      <c r="J29" s="348"/>
      <c r="K29" s="348"/>
      <c r="L29" s="348"/>
      <c r="M29" s="348"/>
      <c r="N29" s="348"/>
      <c r="O29" s="348"/>
    </row>
    <row r="30" spans="2:15">
      <c r="B30" s="348"/>
      <c r="C30" s="534" t="s">
        <v>335</v>
      </c>
      <c r="D30" s="534"/>
      <c r="E30" s="367"/>
      <c r="F30" s="368"/>
      <c r="G30" s="369"/>
      <c r="H30" s="368"/>
      <c r="I30" s="368"/>
      <c r="J30" s="368"/>
      <c r="K30" s="348"/>
      <c r="L30" s="348"/>
      <c r="M30" s="348"/>
      <c r="N30" s="348"/>
      <c r="O30" s="348"/>
    </row>
    <row r="31" spans="2:15" ht="15">
      <c r="B31" s="348"/>
      <c r="C31" s="526" t="s">
        <v>404</v>
      </c>
      <c r="D31" s="526"/>
      <c r="E31" s="348"/>
      <c r="F31" s="353"/>
      <c r="G31" s="261">
        <v>66000</v>
      </c>
      <c r="H31" s="255">
        <f t="shared" ref="H31:H42" si="8">+G31*0.2</f>
        <v>13200</v>
      </c>
      <c r="I31" s="262">
        <v>20</v>
      </c>
      <c r="J31" s="353">
        <f t="shared" ref="J31:J42" si="9">G31/I31</f>
        <v>3300</v>
      </c>
      <c r="K31" s="256">
        <v>0.5</v>
      </c>
      <c r="L31" s="357">
        <f t="shared" ref="L31:L42" si="10">+K31*G31</f>
        <v>33000</v>
      </c>
      <c r="M31" s="256">
        <v>0.08</v>
      </c>
      <c r="N31" s="253">
        <v>10</v>
      </c>
      <c r="O31" s="358">
        <f t="shared" ref="O31:O42" si="11">-PMT(M31,N31,L31)</f>
        <v>4917.973127003489</v>
      </c>
    </row>
    <row r="32" spans="2:15" ht="15">
      <c r="B32" s="348"/>
      <c r="C32" s="526" t="s">
        <v>405</v>
      </c>
      <c r="D32" s="526"/>
      <c r="E32" s="348"/>
      <c r="F32" s="353"/>
      <c r="G32" s="261">
        <v>28520</v>
      </c>
      <c r="H32" s="255">
        <f t="shared" si="8"/>
        <v>5704</v>
      </c>
      <c r="I32" s="262">
        <v>20</v>
      </c>
      <c r="J32" s="353">
        <f t="shared" si="9"/>
        <v>1426</v>
      </c>
      <c r="K32" s="256">
        <v>0.5</v>
      </c>
      <c r="L32" s="357">
        <f t="shared" si="10"/>
        <v>14260</v>
      </c>
      <c r="M32" s="256">
        <v>0.08</v>
      </c>
      <c r="N32" s="253">
        <v>10</v>
      </c>
      <c r="O32" s="358">
        <f t="shared" si="11"/>
        <v>2125.160508820295</v>
      </c>
    </row>
    <row r="33" spans="2:15" ht="15">
      <c r="B33" s="348"/>
      <c r="C33" s="526" t="s">
        <v>370</v>
      </c>
      <c r="D33" s="526"/>
      <c r="E33" s="348"/>
      <c r="F33" s="353"/>
      <c r="G33" s="261">
        <v>0</v>
      </c>
      <c r="H33" s="255">
        <f t="shared" si="8"/>
        <v>0</v>
      </c>
      <c r="I33" s="262">
        <v>20</v>
      </c>
      <c r="J33" s="353">
        <f t="shared" si="9"/>
        <v>0</v>
      </c>
      <c r="K33" s="256">
        <v>0.5</v>
      </c>
      <c r="L33" s="357">
        <f t="shared" si="10"/>
        <v>0</v>
      </c>
      <c r="M33" s="256">
        <v>0.08</v>
      </c>
      <c r="N33" s="253">
        <v>10</v>
      </c>
      <c r="O33" s="358">
        <f t="shared" si="11"/>
        <v>0</v>
      </c>
    </row>
    <row r="34" spans="2:15" ht="15">
      <c r="B34" s="348"/>
      <c r="C34" s="526" t="s">
        <v>352</v>
      </c>
      <c r="D34" s="526"/>
      <c r="E34" s="348"/>
      <c r="F34" s="353"/>
      <c r="G34" s="261">
        <v>0</v>
      </c>
      <c r="H34" s="255">
        <f t="shared" si="8"/>
        <v>0</v>
      </c>
      <c r="I34" s="262">
        <v>10</v>
      </c>
      <c r="J34" s="353">
        <f t="shared" si="9"/>
        <v>0</v>
      </c>
      <c r="K34" s="256">
        <v>0.5</v>
      </c>
      <c r="L34" s="357">
        <f t="shared" si="10"/>
        <v>0</v>
      </c>
      <c r="M34" s="256">
        <v>0.08</v>
      </c>
      <c r="N34" s="253">
        <v>10</v>
      </c>
      <c r="O34" s="358">
        <f t="shared" si="11"/>
        <v>0</v>
      </c>
    </row>
    <row r="35" spans="2:15" ht="15">
      <c r="B35" s="348"/>
      <c r="C35" s="526" t="s">
        <v>353</v>
      </c>
      <c r="D35" s="526"/>
      <c r="E35" s="371" t="s">
        <v>15</v>
      </c>
      <c r="F35" s="355" t="s">
        <v>15</v>
      </c>
      <c r="G35" s="261">
        <v>15000</v>
      </c>
      <c r="H35" s="255">
        <f t="shared" si="8"/>
        <v>3000</v>
      </c>
      <c r="I35" s="262">
        <v>7</v>
      </c>
      <c r="J35" s="353">
        <f t="shared" si="9"/>
        <v>2142.8571428571427</v>
      </c>
      <c r="K35" s="256">
        <v>0.5</v>
      </c>
      <c r="L35" s="357">
        <f t="shared" si="10"/>
        <v>7500</v>
      </c>
      <c r="M35" s="256">
        <v>0.08</v>
      </c>
      <c r="N35" s="253">
        <v>10</v>
      </c>
      <c r="O35" s="358">
        <f t="shared" si="11"/>
        <v>1117.7211652280655</v>
      </c>
    </row>
    <row r="36" spans="2:15" ht="15">
      <c r="B36" s="348"/>
      <c r="C36" s="526" t="s">
        <v>354</v>
      </c>
      <c r="D36" s="526"/>
      <c r="E36" s="371" t="s">
        <v>15</v>
      </c>
      <c r="F36" s="355" t="s">
        <v>15</v>
      </c>
      <c r="G36" s="261">
        <v>20000</v>
      </c>
      <c r="H36" s="255">
        <f t="shared" si="8"/>
        <v>4000</v>
      </c>
      <c r="I36" s="262">
        <v>10</v>
      </c>
      <c r="J36" s="353">
        <f t="shared" si="9"/>
        <v>2000</v>
      </c>
      <c r="K36" s="256">
        <v>0.5</v>
      </c>
      <c r="L36" s="357">
        <f t="shared" si="10"/>
        <v>10000</v>
      </c>
      <c r="M36" s="256">
        <v>0.08</v>
      </c>
      <c r="N36" s="253">
        <v>10</v>
      </c>
      <c r="O36" s="358">
        <f t="shared" si="11"/>
        <v>1490.2948869707541</v>
      </c>
    </row>
    <row r="37" spans="2:15" ht="15">
      <c r="B37" s="348"/>
      <c r="C37" s="526" t="s">
        <v>371</v>
      </c>
      <c r="D37" s="526"/>
      <c r="E37" s="371" t="s">
        <v>15</v>
      </c>
      <c r="F37" s="355" t="s">
        <v>15</v>
      </c>
      <c r="G37" s="261">
        <v>20000</v>
      </c>
      <c r="H37" s="255">
        <f t="shared" si="8"/>
        <v>4000</v>
      </c>
      <c r="I37" s="262">
        <v>10</v>
      </c>
      <c r="J37" s="353">
        <f t="shared" si="9"/>
        <v>2000</v>
      </c>
      <c r="K37" s="256">
        <v>0.5</v>
      </c>
      <c r="L37" s="357">
        <f t="shared" si="10"/>
        <v>10000</v>
      </c>
      <c r="M37" s="256">
        <v>0.08</v>
      </c>
      <c r="N37" s="253">
        <v>10</v>
      </c>
      <c r="O37" s="358">
        <f t="shared" si="11"/>
        <v>1490.2948869707541</v>
      </c>
    </row>
    <row r="38" spans="2:15" ht="15">
      <c r="B38" s="348"/>
      <c r="C38" s="526" t="s">
        <v>372</v>
      </c>
      <c r="D38" s="526"/>
      <c r="E38" s="371"/>
      <c r="F38" s="353"/>
      <c r="G38" s="261">
        <v>400000</v>
      </c>
      <c r="H38" s="255">
        <f t="shared" si="8"/>
        <v>80000</v>
      </c>
      <c r="I38" s="262">
        <v>15</v>
      </c>
      <c r="J38" s="353">
        <f t="shared" si="9"/>
        <v>26666.666666666668</v>
      </c>
      <c r="K38" s="256">
        <v>0.5</v>
      </c>
      <c r="L38" s="357">
        <f t="shared" si="10"/>
        <v>200000</v>
      </c>
      <c r="M38" s="256">
        <v>0.08</v>
      </c>
      <c r="N38" s="253">
        <v>10</v>
      </c>
      <c r="O38" s="358">
        <f t="shared" si="11"/>
        <v>29805.897739415082</v>
      </c>
    </row>
    <row r="39" spans="2:15" ht="15">
      <c r="B39" s="348"/>
      <c r="C39" s="526" t="s">
        <v>348</v>
      </c>
      <c r="D39" s="526"/>
      <c r="E39" s="371" t="s">
        <v>15</v>
      </c>
      <c r="F39" s="355" t="s">
        <v>15</v>
      </c>
      <c r="G39" s="261">
        <v>0</v>
      </c>
      <c r="H39" s="255">
        <f t="shared" si="8"/>
        <v>0</v>
      </c>
      <c r="I39" s="262">
        <v>15</v>
      </c>
      <c r="J39" s="353">
        <f t="shared" si="9"/>
        <v>0</v>
      </c>
      <c r="K39" s="256">
        <v>0.5</v>
      </c>
      <c r="L39" s="357">
        <f t="shared" si="10"/>
        <v>0</v>
      </c>
      <c r="M39" s="256">
        <v>0.08</v>
      </c>
      <c r="N39" s="253">
        <v>10</v>
      </c>
      <c r="O39" s="358">
        <f t="shared" si="11"/>
        <v>0</v>
      </c>
    </row>
    <row r="40" spans="2:15" ht="15">
      <c r="B40" s="348"/>
      <c r="C40" s="526" t="s">
        <v>348</v>
      </c>
      <c r="D40" s="526"/>
      <c r="E40" s="348"/>
      <c r="F40" s="355" t="s">
        <v>15</v>
      </c>
      <c r="G40" s="261">
        <v>0</v>
      </c>
      <c r="H40" s="255">
        <f t="shared" si="8"/>
        <v>0</v>
      </c>
      <c r="I40" s="262">
        <v>15</v>
      </c>
      <c r="J40" s="353">
        <f t="shared" si="9"/>
        <v>0</v>
      </c>
      <c r="K40" s="256">
        <v>0.5</v>
      </c>
      <c r="L40" s="357">
        <f t="shared" si="10"/>
        <v>0</v>
      </c>
      <c r="M40" s="256">
        <v>0.08</v>
      </c>
      <c r="N40" s="253">
        <v>10</v>
      </c>
      <c r="O40" s="358">
        <f t="shared" si="11"/>
        <v>0</v>
      </c>
    </row>
    <row r="41" spans="2:15" ht="15">
      <c r="B41" s="348"/>
      <c r="C41" s="526" t="s">
        <v>348</v>
      </c>
      <c r="D41" s="526"/>
      <c r="E41" s="348"/>
      <c r="F41" s="355" t="s">
        <v>15</v>
      </c>
      <c r="G41" s="261">
        <v>0</v>
      </c>
      <c r="H41" s="255">
        <f t="shared" ref="H41" si="12">+G41*0.2</f>
        <v>0</v>
      </c>
      <c r="I41" s="262">
        <v>15</v>
      </c>
      <c r="J41" s="353">
        <f t="shared" ref="J41" si="13">G41/I41</f>
        <v>0</v>
      </c>
      <c r="K41" s="256">
        <v>0.5</v>
      </c>
      <c r="L41" s="357">
        <f t="shared" ref="L41" si="14">+K41*G41</f>
        <v>0</v>
      </c>
      <c r="M41" s="256">
        <v>0.08</v>
      </c>
      <c r="N41" s="253">
        <v>10</v>
      </c>
      <c r="O41" s="358">
        <f t="shared" ref="O41" si="15">-PMT(M41,N41,L41)</f>
        <v>0</v>
      </c>
    </row>
    <row r="42" spans="2:15" ht="16" thickBot="1">
      <c r="B42" s="348"/>
      <c r="C42" s="526" t="s">
        <v>348</v>
      </c>
      <c r="D42" s="526"/>
      <c r="E42" s="348"/>
      <c r="F42" s="355" t="s">
        <v>15</v>
      </c>
      <c r="G42" s="261">
        <v>0</v>
      </c>
      <c r="H42" s="255">
        <f t="shared" si="8"/>
        <v>0</v>
      </c>
      <c r="I42" s="262">
        <v>15</v>
      </c>
      <c r="J42" s="353">
        <f t="shared" si="9"/>
        <v>0</v>
      </c>
      <c r="K42" s="256">
        <v>0.5</v>
      </c>
      <c r="L42" s="357">
        <f t="shared" si="10"/>
        <v>0</v>
      </c>
      <c r="M42" s="256">
        <v>0.08</v>
      </c>
      <c r="N42" s="253">
        <v>10</v>
      </c>
      <c r="O42" s="358">
        <f t="shared" si="11"/>
        <v>0</v>
      </c>
    </row>
    <row r="43" spans="2:15" ht="13" thickBot="1">
      <c r="B43" s="348"/>
      <c r="C43" s="372" t="s">
        <v>349</v>
      </c>
      <c r="D43" s="373"/>
      <c r="E43" s="374"/>
      <c r="F43" s="375"/>
      <c r="G43" s="362">
        <f>+SUM(G31:G42)</f>
        <v>549520</v>
      </c>
      <c r="H43" s="376">
        <f>+SUM(H31:H42)</f>
        <v>109904</v>
      </c>
      <c r="I43" s="377"/>
      <c r="J43" s="362">
        <f>+SUM(J31:J42)</f>
        <v>37535.523809523809</v>
      </c>
      <c r="K43" s="363"/>
      <c r="L43" s="364">
        <f>+SUM(L31:L42)</f>
        <v>274760</v>
      </c>
      <c r="M43" s="363"/>
      <c r="N43" s="363"/>
      <c r="O43" s="365">
        <f>+SUM(O31:O42)</f>
        <v>40947.342314408437</v>
      </c>
    </row>
    <row r="44" spans="2:15">
      <c r="B44" s="348"/>
      <c r="C44" s="381"/>
      <c r="D44" s="381"/>
      <c r="E44" s="382"/>
      <c r="F44" s="383"/>
      <c r="G44" s="384"/>
      <c r="H44" s="385"/>
      <c r="I44" s="386"/>
      <c r="J44" s="384"/>
      <c r="K44" s="348"/>
      <c r="L44" s="348"/>
      <c r="M44" s="348"/>
      <c r="N44" s="348"/>
      <c r="O44" s="348"/>
    </row>
    <row r="45" spans="2:15">
      <c r="B45" s="348"/>
      <c r="C45" s="387" t="s">
        <v>343</v>
      </c>
      <c r="D45" s="387"/>
      <c r="E45" s="388"/>
      <c r="F45" s="355"/>
      <c r="G45" s="389"/>
      <c r="H45" s="390"/>
      <c r="I45" s="391"/>
      <c r="J45" s="389"/>
      <c r="K45" s="348"/>
      <c r="L45" s="348"/>
      <c r="M45" s="348"/>
      <c r="N45" s="348"/>
      <c r="O45" s="348"/>
    </row>
    <row r="46" spans="2:15" ht="15">
      <c r="B46" s="348"/>
      <c r="C46" s="526" t="s">
        <v>406</v>
      </c>
      <c r="D46" s="526"/>
      <c r="E46" s="253">
        <v>1</v>
      </c>
      <c r="F46" s="261">
        <v>125000</v>
      </c>
      <c r="G46" s="412">
        <f>+F46*E46</f>
        <v>125000</v>
      </c>
      <c r="H46" s="255">
        <f>+G46*0.2</f>
        <v>25000</v>
      </c>
      <c r="I46" s="262">
        <v>7</v>
      </c>
      <c r="J46" s="353">
        <f>+(G46-H46)/I46</f>
        <v>14285.714285714286</v>
      </c>
      <c r="K46" s="256">
        <v>0.5</v>
      </c>
      <c r="L46" s="357">
        <f>+K46*G46</f>
        <v>62500</v>
      </c>
      <c r="M46" s="256">
        <v>0.08</v>
      </c>
      <c r="N46" s="253">
        <v>5</v>
      </c>
      <c r="O46" s="358">
        <f>-PMT(M46,N46,L46)</f>
        <v>15653.528410427287</v>
      </c>
    </row>
    <row r="47" spans="2:15" ht="15">
      <c r="B47" s="348"/>
      <c r="C47" s="526" t="s">
        <v>407</v>
      </c>
      <c r="D47" s="526"/>
      <c r="E47" s="253">
        <v>1</v>
      </c>
      <c r="F47" s="261">
        <v>42000</v>
      </c>
      <c r="G47" s="412">
        <f t="shared" ref="G47:G68" si="16">+F47*E47</f>
        <v>42000</v>
      </c>
      <c r="H47" s="255">
        <f t="shared" ref="H47:H60" si="17">+G47*0.2</f>
        <v>8400</v>
      </c>
      <c r="I47" s="262">
        <v>7</v>
      </c>
      <c r="J47" s="353">
        <f t="shared" ref="J47:J60" si="18">+(G47-H47)/I47</f>
        <v>4800</v>
      </c>
      <c r="K47" s="256">
        <v>0.5</v>
      </c>
      <c r="L47" s="357">
        <f t="shared" ref="L47:L60" si="19">+K47*G47</f>
        <v>21000</v>
      </c>
      <c r="M47" s="256">
        <v>0.08</v>
      </c>
      <c r="N47" s="253">
        <v>5</v>
      </c>
      <c r="O47" s="358">
        <f t="shared" ref="O47:O60" si="20">-PMT(M47,N47,L47)</f>
        <v>5259.5855459035693</v>
      </c>
    </row>
    <row r="48" spans="2:15" ht="15">
      <c r="B48" s="348"/>
      <c r="C48" s="526" t="s">
        <v>408</v>
      </c>
      <c r="D48" s="526"/>
      <c r="E48" s="253">
        <v>1</v>
      </c>
      <c r="F48" s="261">
        <v>78500</v>
      </c>
      <c r="G48" s="412">
        <f t="shared" si="16"/>
        <v>78500</v>
      </c>
      <c r="H48" s="255">
        <f t="shared" si="17"/>
        <v>15700</v>
      </c>
      <c r="I48" s="262">
        <v>7</v>
      </c>
      <c r="J48" s="353">
        <f t="shared" si="18"/>
        <v>8971.4285714285706</v>
      </c>
      <c r="K48" s="256">
        <v>0.5</v>
      </c>
      <c r="L48" s="357">
        <f t="shared" si="19"/>
        <v>39250</v>
      </c>
      <c r="M48" s="256">
        <v>0.08</v>
      </c>
      <c r="N48" s="253">
        <v>5</v>
      </c>
      <c r="O48" s="358">
        <f t="shared" si="20"/>
        <v>9830.4158417483359</v>
      </c>
    </row>
    <row r="49" spans="2:15" ht="15">
      <c r="B49" s="348"/>
      <c r="C49" s="526" t="s">
        <v>409</v>
      </c>
      <c r="D49" s="526"/>
      <c r="E49" s="253">
        <v>0</v>
      </c>
      <c r="F49" s="261">
        <v>27500</v>
      </c>
      <c r="G49" s="412">
        <f t="shared" si="16"/>
        <v>0</v>
      </c>
      <c r="H49" s="255">
        <f t="shared" si="17"/>
        <v>0</v>
      </c>
      <c r="I49" s="262">
        <v>7</v>
      </c>
      <c r="J49" s="353">
        <f t="shared" si="18"/>
        <v>0</v>
      </c>
      <c r="K49" s="256">
        <v>0.5</v>
      </c>
      <c r="L49" s="357">
        <f t="shared" si="19"/>
        <v>0</v>
      </c>
      <c r="M49" s="256">
        <v>0.08</v>
      </c>
      <c r="N49" s="253">
        <v>5</v>
      </c>
      <c r="O49" s="358">
        <f t="shared" si="20"/>
        <v>0</v>
      </c>
    </row>
    <row r="50" spans="2:15" ht="15">
      <c r="B50" s="348"/>
      <c r="C50" s="526" t="s">
        <v>410</v>
      </c>
      <c r="D50" s="526"/>
      <c r="E50" s="253">
        <v>1</v>
      </c>
      <c r="F50" s="261">
        <v>18250</v>
      </c>
      <c r="G50" s="412">
        <f t="shared" si="16"/>
        <v>18250</v>
      </c>
      <c r="H50" s="255">
        <f t="shared" si="17"/>
        <v>3650</v>
      </c>
      <c r="I50" s="262">
        <v>7</v>
      </c>
      <c r="J50" s="353">
        <f t="shared" si="18"/>
        <v>2085.7142857142858</v>
      </c>
      <c r="K50" s="256">
        <v>0.5</v>
      </c>
      <c r="L50" s="357">
        <f t="shared" si="19"/>
        <v>9125</v>
      </c>
      <c r="M50" s="256">
        <v>0.08</v>
      </c>
      <c r="N50" s="253">
        <v>5</v>
      </c>
      <c r="O50" s="358">
        <f t="shared" si="20"/>
        <v>2285.4151479223838</v>
      </c>
    </row>
    <row r="51" spans="2:15" ht="15">
      <c r="B51" s="348"/>
      <c r="C51" s="526" t="s">
        <v>411</v>
      </c>
      <c r="D51" s="526"/>
      <c r="E51" s="253">
        <v>1</v>
      </c>
      <c r="F51" s="261">
        <v>60000</v>
      </c>
      <c r="G51" s="412">
        <f t="shared" si="16"/>
        <v>60000</v>
      </c>
      <c r="H51" s="255">
        <f t="shared" si="17"/>
        <v>12000</v>
      </c>
      <c r="I51" s="262">
        <v>5</v>
      </c>
      <c r="J51" s="353">
        <f t="shared" si="18"/>
        <v>9600</v>
      </c>
      <c r="K51" s="256">
        <v>0.5</v>
      </c>
      <c r="L51" s="357">
        <f t="shared" si="19"/>
        <v>30000</v>
      </c>
      <c r="M51" s="256">
        <v>0.08</v>
      </c>
      <c r="N51" s="253">
        <v>5</v>
      </c>
      <c r="O51" s="358">
        <f t="shared" si="20"/>
        <v>7513.693637005098</v>
      </c>
    </row>
    <row r="52" spans="2:15" ht="15">
      <c r="B52" s="348"/>
      <c r="C52" s="526" t="s">
        <v>413</v>
      </c>
      <c r="D52" s="526"/>
      <c r="E52" s="253">
        <v>1</v>
      </c>
      <c r="F52" s="261">
        <v>42000</v>
      </c>
      <c r="G52" s="412">
        <f t="shared" si="16"/>
        <v>42000</v>
      </c>
      <c r="H52" s="255">
        <f t="shared" si="17"/>
        <v>8400</v>
      </c>
      <c r="I52" s="262">
        <v>5</v>
      </c>
      <c r="J52" s="353">
        <f t="shared" si="18"/>
        <v>6720</v>
      </c>
      <c r="K52" s="256">
        <v>0.5</v>
      </c>
      <c r="L52" s="357">
        <f t="shared" si="19"/>
        <v>21000</v>
      </c>
      <c r="M52" s="256">
        <v>0.08</v>
      </c>
      <c r="N52" s="253">
        <v>5</v>
      </c>
      <c r="O52" s="358">
        <f t="shared" si="20"/>
        <v>5259.5855459035693</v>
      </c>
    </row>
    <row r="53" spans="2:15" ht="15">
      <c r="B53" s="348"/>
      <c r="C53" s="526" t="s">
        <v>412</v>
      </c>
      <c r="D53" s="526"/>
      <c r="E53" s="253">
        <v>1</v>
      </c>
      <c r="F53" s="261">
        <v>42000</v>
      </c>
      <c r="G53" s="412">
        <f t="shared" si="16"/>
        <v>42000</v>
      </c>
      <c r="H53" s="255">
        <f t="shared" si="17"/>
        <v>8400</v>
      </c>
      <c r="I53" s="262">
        <v>5</v>
      </c>
      <c r="J53" s="353">
        <f t="shared" si="18"/>
        <v>6720</v>
      </c>
      <c r="K53" s="256">
        <v>0.5</v>
      </c>
      <c r="L53" s="357">
        <f t="shared" si="19"/>
        <v>21000</v>
      </c>
      <c r="M53" s="256">
        <v>0.08</v>
      </c>
      <c r="N53" s="253">
        <v>5</v>
      </c>
      <c r="O53" s="358">
        <f t="shared" si="20"/>
        <v>5259.5855459035693</v>
      </c>
    </row>
    <row r="54" spans="2:15" ht="15">
      <c r="B54" s="348"/>
      <c r="C54" s="526" t="s">
        <v>667</v>
      </c>
      <c r="D54" s="526"/>
      <c r="E54" s="253">
        <v>2</v>
      </c>
      <c r="F54" s="261">
        <v>9000</v>
      </c>
      <c r="G54" s="412">
        <f t="shared" si="16"/>
        <v>18000</v>
      </c>
      <c r="H54" s="255">
        <f t="shared" si="17"/>
        <v>3600</v>
      </c>
      <c r="I54" s="262">
        <v>6</v>
      </c>
      <c r="J54" s="353">
        <f t="shared" si="18"/>
        <v>2400</v>
      </c>
      <c r="K54" s="256">
        <v>0.5</v>
      </c>
      <c r="L54" s="357">
        <f t="shared" si="19"/>
        <v>9000</v>
      </c>
      <c r="M54" s="256">
        <v>0.08</v>
      </c>
      <c r="N54" s="253">
        <v>5</v>
      </c>
      <c r="O54" s="358">
        <f t="shared" si="20"/>
        <v>2254.1080911015292</v>
      </c>
    </row>
    <row r="55" spans="2:15" ht="15">
      <c r="B55" s="348"/>
      <c r="C55" s="526" t="s">
        <v>414</v>
      </c>
      <c r="D55" s="526"/>
      <c r="E55" s="253">
        <v>0</v>
      </c>
      <c r="F55" s="261">
        <v>20000</v>
      </c>
      <c r="G55" s="412">
        <f t="shared" si="16"/>
        <v>0</v>
      </c>
      <c r="H55" s="255">
        <f t="shared" si="17"/>
        <v>0</v>
      </c>
      <c r="I55" s="262">
        <v>6</v>
      </c>
      <c r="J55" s="353">
        <f t="shared" si="18"/>
        <v>0</v>
      </c>
      <c r="K55" s="256">
        <v>0.5</v>
      </c>
      <c r="L55" s="357">
        <f t="shared" si="19"/>
        <v>0</v>
      </c>
      <c r="M55" s="256">
        <v>0.08</v>
      </c>
      <c r="N55" s="253">
        <v>5</v>
      </c>
      <c r="O55" s="358">
        <f t="shared" si="20"/>
        <v>0</v>
      </c>
    </row>
    <row r="56" spans="2:15" ht="15">
      <c r="B56" s="348"/>
      <c r="C56" s="526" t="s">
        <v>464</v>
      </c>
      <c r="D56" s="526"/>
      <c r="E56" s="253">
        <v>0</v>
      </c>
      <c r="F56" s="261">
        <v>250000</v>
      </c>
      <c r="G56" s="412">
        <f>+F56*E56</f>
        <v>0</v>
      </c>
      <c r="H56" s="255">
        <f t="shared" si="17"/>
        <v>0</v>
      </c>
      <c r="I56" s="262">
        <v>8</v>
      </c>
      <c r="J56" s="353">
        <f>+(G56-H56)/I56</f>
        <v>0</v>
      </c>
      <c r="K56" s="256">
        <v>0.5</v>
      </c>
      <c r="L56" s="357">
        <f>+K56*G56</f>
        <v>0</v>
      </c>
      <c r="M56" s="256">
        <v>0.08</v>
      </c>
      <c r="N56" s="253">
        <v>5</v>
      </c>
      <c r="O56" s="358">
        <f>-PMT(M56,N56,L56)</f>
        <v>0</v>
      </c>
    </row>
    <row r="57" spans="2:15" ht="15">
      <c r="B57" s="348"/>
      <c r="C57" s="526" t="s">
        <v>465</v>
      </c>
      <c r="D57" s="526"/>
      <c r="E57" s="253">
        <v>2</v>
      </c>
      <c r="F57" s="261">
        <v>210000</v>
      </c>
      <c r="G57" s="412">
        <f>+F57*E57</f>
        <v>420000</v>
      </c>
      <c r="H57" s="255">
        <f t="shared" si="17"/>
        <v>84000</v>
      </c>
      <c r="I57" s="262">
        <v>8</v>
      </c>
      <c r="J57" s="353">
        <f>+(G57-H57)/I57</f>
        <v>42000</v>
      </c>
      <c r="K57" s="256">
        <v>0.5</v>
      </c>
      <c r="L57" s="357">
        <f>+K57*G57</f>
        <v>210000</v>
      </c>
      <c r="M57" s="256">
        <v>0.08</v>
      </c>
      <c r="N57" s="253">
        <v>5</v>
      </c>
      <c r="O57" s="358">
        <f>-PMT(M57,N57,L57)</f>
        <v>52595.85545903568</v>
      </c>
    </row>
    <row r="58" spans="2:15" ht="15">
      <c r="B58" s="348"/>
      <c r="C58" s="527" t="s">
        <v>416</v>
      </c>
      <c r="D58" s="527"/>
      <c r="E58" s="253">
        <v>1</v>
      </c>
      <c r="F58" s="261">
        <v>34000</v>
      </c>
      <c r="G58" s="412">
        <f>+F58*E58</f>
        <v>34000</v>
      </c>
      <c r="H58" s="255">
        <f t="shared" si="17"/>
        <v>6800</v>
      </c>
      <c r="I58" s="262">
        <v>10</v>
      </c>
      <c r="J58" s="353">
        <f>+(G58-H58)/I58</f>
        <v>2720</v>
      </c>
      <c r="K58" s="256">
        <v>0.5</v>
      </c>
      <c r="L58" s="357">
        <f>+K58*G58</f>
        <v>17000</v>
      </c>
      <c r="M58" s="256">
        <v>0.08</v>
      </c>
      <c r="N58" s="253">
        <v>5</v>
      </c>
      <c r="O58" s="358">
        <f>-PMT(M58,N58,L58)</f>
        <v>4257.7597276362221</v>
      </c>
    </row>
    <row r="59" spans="2:15" ht="15">
      <c r="B59" s="348"/>
      <c r="C59" s="527" t="s">
        <v>477</v>
      </c>
      <c r="D59" s="527"/>
      <c r="E59" s="253">
        <v>1</v>
      </c>
      <c r="F59" s="261">
        <v>70000</v>
      </c>
      <c r="G59" s="412">
        <f>+F59*E59</f>
        <v>70000</v>
      </c>
      <c r="H59" s="255">
        <f t="shared" si="17"/>
        <v>14000</v>
      </c>
      <c r="I59" s="262">
        <v>8</v>
      </c>
      <c r="J59" s="353">
        <f>+(G59-H59)/I59</f>
        <v>7000</v>
      </c>
      <c r="K59" s="256">
        <v>0.5</v>
      </c>
      <c r="L59" s="357">
        <f>+K59*G59</f>
        <v>35000</v>
      </c>
      <c r="M59" s="256">
        <v>0.08</v>
      </c>
      <c r="N59" s="253">
        <v>5</v>
      </c>
      <c r="O59" s="358">
        <f>-PMT(M59,N59,L59)</f>
        <v>8765.9759098392806</v>
      </c>
    </row>
    <row r="60" spans="2:15" ht="15">
      <c r="B60" s="348"/>
      <c r="C60" s="527" t="s">
        <v>417</v>
      </c>
      <c r="D60" s="527"/>
      <c r="E60" s="253">
        <v>1</v>
      </c>
      <c r="F60" s="261">
        <v>16000</v>
      </c>
      <c r="G60" s="412">
        <f t="shared" si="16"/>
        <v>16000</v>
      </c>
      <c r="H60" s="255">
        <f t="shared" si="17"/>
        <v>3200</v>
      </c>
      <c r="I60" s="262">
        <v>8</v>
      </c>
      <c r="J60" s="353">
        <f t="shared" si="18"/>
        <v>1600</v>
      </c>
      <c r="K60" s="256">
        <v>0.5</v>
      </c>
      <c r="L60" s="357">
        <f t="shared" si="19"/>
        <v>8000</v>
      </c>
      <c r="M60" s="256">
        <v>0.08</v>
      </c>
      <c r="N60" s="253">
        <v>5</v>
      </c>
      <c r="O60" s="358">
        <f t="shared" si="20"/>
        <v>2003.6516365346927</v>
      </c>
    </row>
    <row r="61" spans="2:15" ht="15">
      <c r="B61" s="348"/>
      <c r="C61" s="526" t="s">
        <v>466</v>
      </c>
      <c r="D61" s="526"/>
      <c r="E61" s="252">
        <v>1</v>
      </c>
      <c r="F61" s="261">
        <v>15000</v>
      </c>
      <c r="G61" s="412">
        <f>+F61*E61</f>
        <v>15000</v>
      </c>
      <c r="H61" s="255">
        <f>+G61*0.2</f>
        <v>3000</v>
      </c>
      <c r="I61" s="262">
        <v>7</v>
      </c>
      <c r="J61" s="353">
        <f>+(G61-H61)/I61</f>
        <v>1714.2857142857142</v>
      </c>
      <c r="K61" s="256">
        <v>0.5</v>
      </c>
      <c r="L61" s="357">
        <f>+K61*G61</f>
        <v>7500</v>
      </c>
      <c r="M61" s="256">
        <v>0.08</v>
      </c>
      <c r="N61" s="253">
        <v>5</v>
      </c>
      <c r="O61" s="358">
        <f>-PMT(M61,N61,L61)</f>
        <v>1878.4234092512745</v>
      </c>
    </row>
    <row r="62" spans="2:15" ht="15">
      <c r="B62" s="348"/>
      <c r="C62" s="526" t="s">
        <v>475</v>
      </c>
      <c r="D62" s="526"/>
      <c r="E62" s="252">
        <v>1</v>
      </c>
      <c r="F62" s="261">
        <v>60000</v>
      </c>
      <c r="G62" s="412">
        <f t="shared" ref="G62:G67" si="21">+F62*E62</f>
        <v>60000</v>
      </c>
      <c r="H62" s="255">
        <f t="shared" ref="H62:H67" si="22">+G62*0.2</f>
        <v>12000</v>
      </c>
      <c r="I62" s="262">
        <v>7</v>
      </c>
      <c r="J62" s="353">
        <f t="shared" ref="J62:J67" si="23">+(G62-H62)/I62</f>
        <v>6857.1428571428569</v>
      </c>
      <c r="K62" s="256">
        <v>0.5</v>
      </c>
      <c r="L62" s="357">
        <f t="shared" ref="L62:L67" si="24">+K62*G62</f>
        <v>30000</v>
      </c>
      <c r="M62" s="256">
        <v>0.08</v>
      </c>
      <c r="N62" s="253">
        <v>5</v>
      </c>
      <c r="O62" s="358">
        <f t="shared" ref="O62:O67" si="25">-PMT(M62,N62,L62)</f>
        <v>7513.693637005098</v>
      </c>
    </row>
    <row r="63" spans="2:15" ht="15">
      <c r="B63" s="348"/>
      <c r="C63" s="526" t="s">
        <v>476</v>
      </c>
      <c r="D63" s="526"/>
      <c r="E63" s="252">
        <v>1</v>
      </c>
      <c r="F63" s="261">
        <v>25000</v>
      </c>
      <c r="G63" s="412">
        <f t="shared" si="21"/>
        <v>25000</v>
      </c>
      <c r="H63" s="255">
        <f t="shared" si="22"/>
        <v>5000</v>
      </c>
      <c r="I63" s="262">
        <v>7</v>
      </c>
      <c r="J63" s="353">
        <f t="shared" si="23"/>
        <v>2857.1428571428573</v>
      </c>
      <c r="K63" s="256">
        <v>0.5</v>
      </c>
      <c r="L63" s="357">
        <f t="shared" si="24"/>
        <v>12500</v>
      </c>
      <c r="M63" s="256">
        <v>0.08</v>
      </c>
      <c r="N63" s="253">
        <v>5</v>
      </c>
      <c r="O63" s="358">
        <f t="shared" si="25"/>
        <v>3130.7056820854573</v>
      </c>
    </row>
    <row r="64" spans="2:15" ht="15">
      <c r="B64" s="348"/>
      <c r="C64" s="526" t="s">
        <v>467</v>
      </c>
      <c r="D64" s="526"/>
      <c r="E64" s="252">
        <v>1</v>
      </c>
      <c r="F64" s="261">
        <v>10000</v>
      </c>
      <c r="G64" s="412">
        <f t="shared" si="21"/>
        <v>10000</v>
      </c>
      <c r="H64" s="255">
        <f t="shared" si="22"/>
        <v>2000</v>
      </c>
      <c r="I64" s="262">
        <v>7</v>
      </c>
      <c r="J64" s="353">
        <f t="shared" si="23"/>
        <v>1142.8571428571429</v>
      </c>
      <c r="K64" s="256">
        <v>0.5</v>
      </c>
      <c r="L64" s="357">
        <f t="shared" si="24"/>
        <v>5000</v>
      </c>
      <c r="M64" s="256">
        <v>0.08</v>
      </c>
      <c r="N64" s="253">
        <v>5</v>
      </c>
      <c r="O64" s="358">
        <f t="shared" si="25"/>
        <v>1252.282272834183</v>
      </c>
    </row>
    <row r="65" spans="2:15" ht="15">
      <c r="B65" s="348"/>
      <c r="C65" s="526" t="s">
        <v>468</v>
      </c>
      <c r="D65" s="526"/>
      <c r="E65" s="252">
        <v>1</v>
      </c>
      <c r="F65" s="261">
        <v>35000</v>
      </c>
      <c r="G65" s="412">
        <f t="shared" si="21"/>
        <v>35000</v>
      </c>
      <c r="H65" s="255">
        <f t="shared" si="22"/>
        <v>7000</v>
      </c>
      <c r="I65" s="262">
        <v>7</v>
      </c>
      <c r="J65" s="353">
        <f t="shared" si="23"/>
        <v>4000</v>
      </c>
      <c r="K65" s="256">
        <v>0.5</v>
      </c>
      <c r="L65" s="357">
        <f t="shared" si="24"/>
        <v>17500</v>
      </c>
      <c r="M65" s="256">
        <v>0.08</v>
      </c>
      <c r="N65" s="253">
        <v>5</v>
      </c>
      <c r="O65" s="358">
        <f t="shared" si="25"/>
        <v>4382.9879549196403</v>
      </c>
    </row>
    <row r="66" spans="2:15" ht="15">
      <c r="B66" s="348"/>
      <c r="C66" s="526" t="s">
        <v>469</v>
      </c>
      <c r="D66" s="526"/>
      <c r="E66" s="252">
        <v>1</v>
      </c>
      <c r="F66" s="261">
        <v>22000</v>
      </c>
      <c r="G66" s="412">
        <f t="shared" si="21"/>
        <v>22000</v>
      </c>
      <c r="H66" s="255">
        <f t="shared" si="22"/>
        <v>4400</v>
      </c>
      <c r="I66" s="262">
        <v>7</v>
      </c>
      <c r="J66" s="353">
        <f t="shared" si="23"/>
        <v>2514.2857142857142</v>
      </c>
      <c r="K66" s="256">
        <v>0.5</v>
      </c>
      <c r="L66" s="357">
        <f t="shared" si="24"/>
        <v>11000</v>
      </c>
      <c r="M66" s="256">
        <v>0.08</v>
      </c>
      <c r="N66" s="253">
        <v>5</v>
      </c>
      <c r="O66" s="358">
        <f t="shared" si="25"/>
        <v>2755.0210002352023</v>
      </c>
    </row>
    <row r="67" spans="2:15" ht="15">
      <c r="B67" s="348"/>
      <c r="C67" s="526" t="s">
        <v>470</v>
      </c>
      <c r="D67" s="526"/>
      <c r="E67" s="252">
        <v>1</v>
      </c>
      <c r="F67" s="261">
        <v>17500</v>
      </c>
      <c r="G67" s="412">
        <f t="shared" si="21"/>
        <v>17500</v>
      </c>
      <c r="H67" s="255">
        <f t="shared" si="22"/>
        <v>3500</v>
      </c>
      <c r="I67" s="262">
        <v>7</v>
      </c>
      <c r="J67" s="353">
        <f t="shared" si="23"/>
        <v>2000</v>
      </c>
      <c r="K67" s="256">
        <v>0.5</v>
      </c>
      <c r="L67" s="357">
        <f t="shared" si="24"/>
        <v>8750</v>
      </c>
      <c r="M67" s="256">
        <v>0.08</v>
      </c>
      <c r="N67" s="253">
        <v>5</v>
      </c>
      <c r="O67" s="358">
        <f t="shared" si="25"/>
        <v>2191.4939774598201</v>
      </c>
    </row>
    <row r="68" spans="2:15" ht="15">
      <c r="B68" s="348"/>
      <c r="C68" s="526" t="s">
        <v>463</v>
      </c>
      <c r="D68" s="526"/>
      <c r="E68" s="252">
        <v>1</v>
      </c>
      <c r="F68" s="261">
        <v>20000</v>
      </c>
      <c r="G68" s="412">
        <f t="shared" si="16"/>
        <v>20000</v>
      </c>
      <c r="H68" s="255">
        <f>+G68*0.2</f>
        <v>4000</v>
      </c>
      <c r="I68" s="262">
        <v>7</v>
      </c>
      <c r="J68" s="353">
        <f>+(G68-H68)/I68</f>
        <v>2285.7142857142858</v>
      </c>
      <c r="K68" s="256">
        <v>0.5</v>
      </c>
      <c r="L68" s="357">
        <f>+K68*G68</f>
        <v>10000</v>
      </c>
      <c r="M68" s="256">
        <v>0.08</v>
      </c>
      <c r="N68" s="253">
        <v>5</v>
      </c>
      <c r="O68" s="358">
        <f>-PMT(M68,N68,L68)</f>
        <v>2504.564545668366</v>
      </c>
    </row>
    <row r="69" spans="2:15" ht="15">
      <c r="B69" s="348"/>
      <c r="C69" s="526" t="s">
        <v>480</v>
      </c>
      <c r="D69" s="526"/>
      <c r="E69" s="252">
        <v>1</v>
      </c>
      <c r="F69" s="261">
        <v>40000</v>
      </c>
      <c r="G69" s="412">
        <f t="shared" ref="G69" si="26">+F69*E69</f>
        <v>40000</v>
      </c>
      <c r="H69" s="255">
        <f>+G69*0.2</f>
        <v>8000</v>
      </c>
      <c r="I69" s="262">
        <v>7</v>
      </c>
      <c r="J69" s="353">
        <f>+(G69-H69)/I69</f>
        <v>4571.4285714285716</v>
      </c>
      <c r="K69" s="256">
        <v>0.5</v>
      </c>
      <c r="L69" s="357">
        <f>+K69*G69</f>
        <v>20000</v>
      </c>
      <c r="M69" s="256">
        <v>0.08</v>
      </c>
      <c r="N69" s="253">
        <v>5</v>
      </c>
      <c r="O69" s="358">
        <f>-PMT(M69,N69,L69)</f>
        <v>5009.129091336732</v>
      </c>
    </row>
    <row r="70" spans="2:15" ht="15">
      <c r="B70" s="348"/>
      <c r="C70" s="526" t="s">
        <v>481</v>
      </c>
      <c r="D70" s="526"/>
      <c r="E70" s="252">
        <v>1</v>
      </c>
      <c r="F70" s="261">
        <v>35000</v>
      </c>
      <c r="G70" s="412">
        <f t="shared" ref="G70:G73" si="27">+F70*E70</f>
        <v>35000</v>
      </c>
      <c r="H70" s="255">
        <f t="shared" ref="H70:H73" si="28">+G70*0.2</f>
        <v>7000</v>
      </c>
      <c r="I70" s="262">
        <v>7</v>
      </c>
      <c r="J70" s="353">
        <f t="shared" ref="J70:J73" si="29">+(G70-H70)/I70</f>
        <v>4000</v>
      </c>
      <c r="K70" s="256">
        <v>0.5</v>
      </c>
      <c r="L70" s="357">
        <f t="shared" ref="L70:L73" si="30">+K70*G70</f>
        <v>17500</v>
      </c>
      <c r="M70" s="256">
        <v>0.08</v>
      </c>
      <c r="N70" s="253">
        <v>5</v>
      </c>
      <c r="O70" s="358">
        <f t="shared" ref="O70:O73" si="31">-PMT(M70,N70,L70)</f>
        <v>4382.9879549196403</v>
      </c>
    </row>
    <row r="71" spans="2:15" ht="15">
      <c r="B71" s="348"/>
      <c r="C71" s="526" t="s">
        <v>482</v>
      </c>
      <c r="D71" s="526"/>
      <c r="E71" s="252">
        <v>1</v>
      </c>
      <c r="F71" s="261">
        <v>25000</v>
      </c>
      <c r="G71" s="412">
        <f t="shared" si="27"/>
        <v>25000</v>
      </c>
      <c r="H71" s="255">
        <f t="shared" si="28"/>
        <v>5000</v>
      </c>
      <c r="I71" s="262">
        <v>7</v>
      </c>
      <c r="J71" s="353">
        <f t="shared" si="29"/>
        <v>2857.1428571428573</v>
      </c>
      <c r="K71" s="256">
        <v>0.5</v>
      </c>
      <c r="L71" s="357">
        <f t="shared" si="30"/>
        <v>12500</v>
      </c>
      <c r="M71" s="256">
        <v>0.08</v>
      </c>
      <c r="N71" s="253">
        <v>5</v>
      </c>
      <c r="O71" s="358">
        <f t="shared" si="31"/>
        <v>3130.7056820854573</v>
      </c>
    </row>
    <row r="72" spans="2:15" ht="15">
      <c r="B72" s="348"/>
      <c r="C72" s="526" t="s">
        <v>415</v>
      </c>
      <c r="D72" s="526"/>
      <c r="E72" s="252">
        <v>0</v>
      </c>
      <c r="F72" s="261">
        <v>0</v>
      </c>
      <c r="G72" s="412">
        <f t="shared" si="27"/>
        <v>0</v>
      </c>
      <c r="H72" s="255">
        <f t="shared" si="28"/>
        <v>0</v>
      </c>
      <c r="I72" s="262">
        <v>7</v>
      </c>
      <c r="J72" s="353">
        <f t="shared" si="29"/>
        <v>0</v>
      </c>
      <c r="K72" s="256">
        <v>0.5</v>
      </c>
      <c r="L72" s="357">
        <f t="shared" si="30"/>
        <v>0</v>
      </c>
      <c r="M72" s="256">
        <v>0.08</v>
      </c>
      <c r="N72" s="253">
        <v>5</v>
      </c>
      <c r="O72" s="358">
        <f t="shared" si="31"/>
        <v>0</v>
      </c>
    </row>
    <row r="73" spans="2:15" ht="16" thickBot="1">
      <c r="B73" s="348"/>
      <c r="C73" s="526" t="s">
        <v>415</v>
      </c>
      <c r="D73" s="526"/>
      <c r="E73" s="252">
        <v>0</v>
      </c>
      <c r="F73" s="261">
        <v>0</v>
      </c>
      <c r="G73" s="412">
        <f t="shared" si="27"/>
        <v>0</v>
      </c>
      <c r="H73" s="255">
        <f t="shared" si="28"/>
        <v>0</v>
      </c>
      <c r="I73" s="262">
        <v>7</v>
      </c>
      <c r="J73" s="353">
        <f t="shared" si="29"/>
        <v>0</v>
      </c>
      <c r="K73" s="256">
        <v>0.5</v>
      </c>
      <c r="L73" s="357">
        <f t="shared" si="30"/>
        <v>0</v>
      </c>
      <c r="M73" s="256">
        <v>0.08</v>
      </c>
      <c r="N73" s="253">
        <v>5</v>
      </c>
      <c r="O73" s="358">
        <f t="shared" si="31"/>
        <v>0</v>
      </c>
    </row>
    <row r="74" spans="2:15" ht="13" thickBot="1">
      <c r="B74" s="348"/>
      <c r="C74" s="530" t="s">
        <v>373</v>
      </c>
      <c r="D74" s="531"/>
      <c r="E74" s="531"/>
      <c r="F74" s="375"/>
      <c r="G74" s="361">
        <f>+SUM(G46:G73)</f>
        <v>1270250</v>
      </c>
      <c r="H74" s="361">
        <f>+SUM(H46:H73)</f>
        <v>254050</v>
      </c>
      <c r="I74" s="377"/>
      <c r="J74" s="361">
        <f>+SUM(J46:J73)</f>
        <v>143702.85714285716</v>
      </c>
      <c r="K74" s="363"/>
      <c r="L74" s="361">
        <f>+SUM(L46:L73)</f>
        <v>635125</v>
      </c>
      <c r="M74" s="363"/>
      <c r="N74" s="363"/>
      <c r="O74" s="361">
        <f>+SUM(O46:O73)</f>
        <v>159071.15570676207</v>
      </c>
    </row>
    <row r="75" spans="2:15">
      <c r="B75" s="348"/>
      <c r="C75" s="348"/>
      <c r="D75" s="348"/>
      <c r="E75" s="348"/>
      <c r="F75" s="348"/>
      <c r="G75" s="348"/>
      <c r="H75" s="348"/>
      <c r="I75" s="348"/>
      <c r="J75" s="348"/>
      <c r="K75" s="348"/>
      <c r="L75" s="348"/>
      <c r="M75" s="348"/>
      <c r="N75" s="348"/>
      <c r="O75" s="348"/>
    </row>
    <row r="76" spans="2:15" ht="13" thickBot="1">
      <c r="B76" s="348"/>
      <c r="C76" s="533" t="s">
        <v>657</v>
      </c>
      <c r="D76" s="534"/>
      <c r="E76" s="534"/>
      <c r="F76" s="355"/>
      <c r="G76" s="389"/>
      <c r="H76" s="390"/>
      <c r="I76" s="370"/>
      <c r="J76" s="389"/>
      <c r="K76" s="348"/>
      <c r="L76" s="348"/>
      <c r="M76" s="348"/>
      <c r="N76" s="348"/>
      <c r="O76" s="348"/>
    </row>
    <row r="77" spans="2:15" ht="16" thickBot="1">
      <c r="B77" s="348"/>
      <c r="C77" s="392" t="s">
        <v>347</v>
      </c>
      <c r="D77" s="392"/>
      <c r="E77" s="253">
        <v>675</v>
      </c>
      <c r="F77" s="261">
        <v>2250</v>
      </c>
      <c r="G77" s="393">
        <f>+F77*E77</f>
        <v>1518750</v>
      </c>
      <c r="H77" s="413"/>
      <c r="I77" s="414"/>
      <c r="J77" s="415"/>
      <c r="K77" s="256">
        <v>0.5</v>
      </c>
      <c r="L77" s="394">
        <f>+K77*G77</f>
        <v>759375</v>
      </c>
      <c r="M77" s="256">
        <v>0.06</v>
      </c>
      <c r="N77" s="253">
        <v>20</v>
      </c>
      <c r="O77" s="395">
        <f>PMT(Fixed_Cost!M77,Fixed_Cost!N77,-L77)</f>
        <v>66205.772954296568</v>
      </c>
    </row>
    <row r="78" spans="2:15" ht="16" thickBot="1">
      <c r="B78" s="348"/>
      <c r="C78" s="523" t="s">
        <v>706</v>
      </c>
      <c r="D78" s="524"/>
      <c r="E78" s="524"/>
      <c r="F78" s="524"/>
      <c r="G78" s="524"/>
      <c r="H78" s="524"/>
      <c r="I78" s="524"/>
      <c r="J78" s="524"/>
      <c r="K78" s="525"/>
      <c r="L78" s="255">
        <v>0</v>
      </c>
      <c r="M78" s="256">
        <v>0.06</v>
      </c>
      <c r="N78" s="253">
        <v>7</v>
      </c>
      <c r="O78" s="395">
        <f>PMT(Fixed_Cost!M78,Fixed_Cost!N78,-L78)</f>
        <v>0</v>
      </c>
    </row>
    <row r="79" spans="2:15" ht="13" thickBot="1">
      <c r="B79" s="348"/>
      <c r="C79" s="348"/>
      <c r="D79" s="348"/>
      <c r="E79" s="348"/>
      <c r="F79" s="348"/>
      <c r="G79" s="348"/>
      <c r="H79" s="348"/>
      <c r="I79" s="348"/>
      <c r="J79" s="348"/>
      <c r="K79" s="348"/>
      <c r="L79" s="348"/>
      <c r="M79" s="348"/>
      <c r="N79" s="348"/>
      <c r="O79" s="348"/>
    </row>
    <row r="80" spans="2:15" ht="13" thickBot="1">
      <c r="B80" s="348"/>
      <c r="C80" s="396" t="s">
        <v>362</v>
      </c>
      <c r="D80" s="397"/>
      <c r="E80" s="397"/>
      <c r="F80" s="397"/>
      <c r="G80" s="398">
        <f>+land_inv+TOTAL_INV+G43+G28+G10</f>
        <v>5451270</v>
      </c>
      <c r="H80" s="397"/>
      <c r="I80" s="397"/>
      <c r="J80" s="397"/>
      <c r="K80" s="397"/>
      <c r="L80" s="399">
        <f>+L78+L74+L43+L28+L10</f>
        <v>1664385</v>
      </c>
      <c r="M80" s="397"/>
      <c r="N80" s="397"/>
      <c r="O80" s="400">
        <f>+land_pmt+equip_pmt+WASTE_MGMT_PMT+facil_pmt+lvstk_pmt+existing_pmt</f>
        <v>364362.71566441836</v>
      </c>
    </row>
    <row r="81" spans="2:15">
      <c r="B81" s="348"/>
      <c r="C81" s="348"/>
      <c r="D81" s="348"/>
      <c r="E81" s="348"/>
      <c r="F81" s="348"/>
      <c r="G81" s="348"/>
      <c r="H81" s="348"/>
      <c r="I81" s="348"/>
      <c r="J81" s="348"/>
      <c r="K81" s="348"/>
      <c r="L81" s="348"/>
      <c r="M81" s="348"/>
      <c r="N81" s="348"/>
      <c r="O81" s="348"/>
    </row>
    <row r="82" spans="2:15">
      <c r="B82" s="348"/>
      <c r="C82" s="532" t="s">
        <v>346</v>
      </c>
      <c r="D82" s="532"/>
      <c r="E82" s="532"/>
      <c r="F82" s="532"/>
      <c r="G82" s="532"/>
      <c r="H82" s="532"/>
      <c r="I82" s="532"/>
      <c r="J82" s="532"/>
      <c r="K82" s="348"/>
      <c r="L82" s="348"/>
      <c r="M82" s="348"/>
      <c r="N82" s="348"/>
      <c r="O82" s="348"/>
    </row>
    <row r="83" spans="2:15">
      <c r="B83" s="348"/>
      <c r="C83" s="529" t="s">
        <v>337</v>
      </c>
      <c r="D83" s="529"/>
      <c r="E83" s="529"/>
      <c r="F83" s="357">
        <f>+(G10+H10)/2</f>
        <v>1061250</v>
      </c>
      <c r="G83" s="348"/>
      <c r="H83" s="348"/>
      <c r="I83" s="348"/>
      <c r="J83" s="348"/>
      <c r="K83" s="348"/>
      <c r="L83" s="348"/>
      <c r="M83" s="348"/>
      <c r="N83" s="348"/>
      <c r="O83" s="348"/>
    </row>
    <row r="84" spans="2:15" ht="13" thickBot="1">
      <c r="B84" s="348"/>
      <c r="C84" s="526" t="s">
        <v>338</v>
      </c>
      <c r="D84" s="526"/>
      <c r="E84" s="526"/>
      <c r="F84" s="356">
        <v>0.08</v>
      </c>
      <c r="G84" s="348"/>
      <c r="H84" s="401"/>
      <c r="I84" s="348"/>
      <c r="J84" s="348"/>
      <c r="K84" s="348"/>
      <c r="L84" s="348"/>
      <c r="M84" s="348"/>
      <c r="N84" s="348"/>
      <c r="O84" s="348"/>
    </row>
    <row r="85" spans="2:15" ht="13" thickBot="1">
      <c r="B85" s="348"/>
      <c r="C85" s="523" t="s">
        <v>640</v>
      </c>
      <c r="D85" s="531"/>
      <c r="E85" s="531"/>
      <c r="F85" s="402">
        <f>IF(bud_type=3,lvstk_pmt,(lvstk_inv*lvst_int)+lvstk_dep)</f>
        <v>420581.86036363634</v>
      </c>
      <c r="G85" s="348"/>
      <c r="H85" s="401"/>
      <c r="I85" s="348"/>
      <c r="J85" s="348"/>
      <c r="K85" s="348"/>
      <c r="L85" s="348"/>
      <c r="M85" s="348"/>
      <c r="N85" s="348"/>
      <c r="O85" s="348"/>
    </row>
    <row r="86" spans="2:15">
      <c r="B86" s="348"/>
      <c r="C86" s="348"/>
      <c r="D86" s="348"/>
      <c r="E86" s="348"/>
      <c r="F86" s="348"/>
      <c r="G86" s="348"/>
      <c r="H86" s="348"/>
      <c r="I86" s="348"/>
      <c r="J86" s="348"/>
      <c r="K86" s="348"/>
      <c r="L86" s="348"/>
      <c r="M86" s="348"/>
      <c r="N86" s="348"/>
      <c r="O86" s="348"/>
    </row>
    <row r="87" spans="2:15">
      <c r="B87" s="348"/>
      <c r="C87" s="529" t="s">
        <v>341</v>
      </c>
      <c r="D87" s="529"/>
      <c r="E87" s="529"/>
      <c r="F87" s="357">
        <f>+(G28+H28)/2</f>
        <v>905400</v>
      </c>
      <c r="G87" s="348"/>
      <c r="H87" s="348"/>
      <c r="I87" s="348"/>
      <c r="J87" s="348"/>
      <c r="K87" s="348"/>
      <c r="L87" s="348"/>
      <c r="M87" s="348"/>
      <c r="N87" s="348"/>
      <c r="O87" s="348"/>
    </row>
    <row r="88" spans="2:15" ht="13" thickBot="1">
      <c r="B88" s="348"/>
      <c r="C88" s="526" t="s">
        <v>342</v>
      </c>
      <c r="D88" s="526"/>
      <c r="E88" s="526"/>
      <c r="F88" s="356">
        <v>0.08</v>
      </c>
      <c r="G88" s="403"/>
      <c r="H88" s="380" t="s">
        <v>15</v>
      </c>
      <c r="I88" s="348"/>
      <c r="J88" s="404" t="s">
        <v>15</v>
      </c>
      <c r="K88" s="348"/>
      <c r="L88" s="348"/>
      <c r="M88" s="348"/>
      <c r="N88" s="348"/>
      <c r="O88" s="348"/>
    </row>
    <row r="89" spans="2:15" ht="13" thickBot="1">
      <c r="B89" s="348"/>
      <c r="C89" s="523" t="s">
        <v>642</v>
      </c>
      <c r="D89" s="531"/>
      <c r="E89" s="531"/>
      <c r="F89" s="402">
        <f>IF(bud_type=3,facil_pmt,(facil_int*facil_avginv)+build_dep)</f>
        <v>189882</v>
      </c>
      <c r="G89" s="403"/>
      <c r="H89" s="380"/>
      <c r="I89" s="348"/>
      <c r="J89" s="404"/>
      <c r="K89" s="348"/>
      <c r="L89" s="348"/>
      <c r="M89" s="348"/>
      <c r="N89" s="348"/>
      <c r="O89" s="348"/>
    </row>
    <row r="90" spans="2:15">
      <c r="B90" s="348"/>
      <c r="C90" s="405"/>
      <c r="D90" s="405"/>
      <c r="E90" s="405"/>
      <c r="F90" s="356"/>
      <c r="G90" s="403"/>
      <c r="H90" s="380"/>
      <c r="I90" s="348"/>
      <c r="J90" s="404"/>
      <c r="K90" s="348"/>
      <c r="L90" s="348"/>
      <c r="M90" s="348"/>
      <c r="N90" s="348"/>
      <c r="O90" s="348"/>
    </row>
    <row r="91" spans="2:15">
      <c r="B91" s="348"/>
      <c r="C91" s="529" t="s">
        <v>355</v>
      </c>
      <c r="D91" s="529"/>
      <c r="E91" s="529"/>
      <c r="F91" s="357">
        <f>+(G43+H43)/2</f>
        <v>329712</v>
      </c>
      <c r="G91" s="348"/>
      <c r="H91" s="348"/>
      <c r="I91" s="348"/>
      <c r="J91" s="348"/>
      <c r="K91" s="348"/>
      <c r="L91" s="348"/>
      <c r="M91" s="348"/>
      <c r="N91" s="348"/>
      <c r="O91" s="348"/>
    </row>
    <row r="92" spans="2:15" ht="13" thickBot="1">
      <c r="B92" s="348"/>
      <c r="C92" s="526" t="s">
        <v>342</v>
      </c>
      <c r="D92" s="526"/>
      <c r="E92" s="526"/>
      <c r="F92" s="356">
        <v>0.08</v>
      </c>
      <c r="G92" s="403"/>
      <c r="H92" s="380" t="s">
        <v>15</v>
      </c>
      <c r="I92" s="348"/>
      <c r="J92" s="404" t="s">
        <v>15</v>
      </c>
      <c r="K92" s="348"/>
      <c r="L92" s="348"/>
      <c r="M92" s="348"/>
      <c r="N92" s="348"/>
      <c r="O92" s="348"/>
    </row>
    <row r="93" spans="2:15" ht="13" thickBot="1">
      <c r="B93" s="348"/>
      <c r="C93" s="523" t="s">
        <v>643</v>
      </c>
      <c r="D93" s="531"/>
      <c r="E93" s="531"/>
      <c r="F93" s="402">
        <f>IF(bud_type=3,WASTE_MGMT_PMT,(waste_inv*waste_int)+waste_dep)</f>
        <v>63912.483809523808</v>
      </c>
      <c r="G93" s="403"/>
      <c r="H93" s="380"/>
      <c r="I93" s="348"/>
      <c r="J93" s="404"/>
      <c r="K93" s="348"/>
      <c r="L93" s="348"/>
      <c r="M93" s="348"/>
      <c r="N93" s="348"/>
      <c r="O93" s="348"/>
    </row>
    <row r="94" spans="2:15">
      <c r="B94" s="348"/>
      <c r="C94" s="381"/>
      <c r="D94" s="381"/>
      <c r="E94" s="381"/>
      <c r="F94" s="406"/>
      <c r="G94" s="403"/>
      <c r="H94" s="380"/>
      <c r="I94" s="348"/>
      <c r="J94" s="404"/>
      <c r="K94" s="348"/>
      <c r="L94" s="348"/>
      <c r="M94" s="348"/>
      <c r="N94" s="348"/>
      <c r="O94" s="348"/>
    </row>
    <row r="95" spans="2:15">
      <c r="B95" s="348"/>
      <c r="C95" s="529" t="s">
        <v>345</v>
      </c>
      <c r="D95" s="529"/>
      <c r="E95" s="529"/>
      <c r="F95" s="357">
        <f>+(TOTAL_INV+H74)/2</f>
        <v>762150</v>
      </c>
      <c r="G95" s="348"/>
      <c r="H95" s="348"/>
      <c r="I95" s="348"/>
      <c r="J95" s="348"/>
      <c r="K95" s="348"/>
      <c r="L95" s="348"/>
      <c r="M95" s="348"/>
      <c r="N95" s="348"/>
      <c r="O95" s="348"/>
    </row>
    <row r="96" spans="2:15" ht="13" thickBot="1">
      <c r="B96" s="348"/>
      <c r="C96" s="535" t="s">
        <v>344</v>
      </c>
      <c r="D96" s="535"/>
      <c r="E96" s="535"/>
      <c r="F96" s="356">
        <v>0.08</v>
      </c>
      <c r="G96" s="403"/>
      <c r="H96" s="380" t="s">
        <v>15</v>
      </c>
      <c r="I96" s="348"/>
      <c r="J96" s="404" t="s">
        <v>15</v>
      </c>
      <c r="K96" s="348"/>
      <c r="L96" s="348"/>
      <c r="M96" s="348"/>
      <c r="N96" s="348"/>
      <c r="O96" s="348"/>
    </row>
    <row r="97" spans="2:15" ht="13" thickBot="1">
      <c r="B97" s="348"/>
      <c r="C97" s="523" t="s">
        <v>641</v>
      </c>
      <c r="D97" s="531"/>
      <c r="E97" s="531"/>
      <c r="F97" s="402">
        <f>IF(bud_type=3,equip_pmt,(impl_avginv*impl_int)+impl_dep)</f>
        <v>204674.85714285716</v>
      </c>
      <c r="G97" s="403"/>
      <c r="H97" s="380"/>
      <c r="I97" s="348"/>
      <c r="J97" s="404"/>
      <c r="K97" s="348"/>
      <c r="L97" s="348"/>
      <c r="M97" s="348"/>
      <c r="N97" s="348"/>
      <c r="O97" s="348"/>
    </row>
    <row r="98" spans="2:15">
      <c r="B98" s="348"/>
      <c r="C98" s="348"/>
      <c r="D98" s="348"/>
      <c r="E98" s="370" t="s">
        <v>15</v>
      </c>
      <c r="F98" s="370" t="s">
        <v>15</v>
      </c>
      <c r="G98" s="370" t="s">
        <v>15</v>
      </c>
      <c r="H98" s="370" t="s">
        <v>15</v>
      </c>
      <c r="I98" s="348"/>
      <c r="J98" s="407" t="s">
        <v>15</v>
      </c>
      <c r="K98" s="348"/>
      <c r="L98" s="348"/>
      <c r="M98" s="348"/>
      <c r="N98" s="348"/>
      <c r="O98" s="348"/>
    </row>
    <row r="99" spans="2:15">
      <c r="B99" s="348"/>
      <c r="C99" s="529" t="s">
        <v>357</v>
      </c>
      <c r="D99" s="529"/>
      <c r="E99" s="529"/>
      <c r="F99" s="357">
        <f>+G77</f>
        <v>1518750</v>
      </c>
      <c r="G99" s="370"/>
      <c r="H99" s="370"/>
      <c r="I99" s="348"/>
      <c r="J99" s="407"/>
      <c r="K99" s="348"/>
      <c r="L99" s="348"/>
      <c r="M99" s="348"/>
      <c r="N99" s="348"/>
      <c r="O99" s="348"/>
    </row>
    <row r="100" spans="2:15" ht="13" thickBot="1">
      <c r="B100" s="348"/>
      <c r="C100" s="535" t="s">
        <v>356</v>
      </c>
      <c r="D100" s="535"/>
      <c r="E100" s="535"/>
      <c r="F100" s="356">
        <v>0.03</v>
      </c>
      <c r="G100" s="370"/>
      <c r="H100" s="370"/>
      <c r="I100" s="348"/>
      <c r="J100" s="407"/>
      <c r="K100" s="348"/>
      <c r="L100" s="348"/>
      <c r="M100" s="348"/>
      <c r="N100" s="348"/>
      <c r="O100" s="348"/>
    </row>
    <row r="101" spans="2:15" ht="13" thickBot="1">
      <c r="B101" s="348"/>
      <c r="C101" s="523" t="s">
        <v>644</v>
      </c>
      <c r="D101" s="531"/>
      <c r="E101" s="531"/>
      <c r="F101" s="402">
        <f>IF(bud_type=3,land_pmt,(land_int*F99))</f>
        <v>45562.5</v>
      </c>
      <c r="G101" s="370"/>
      <c r="H101" s="370"/>
      <c r="I101" s="348"/>
      <c r="J101" s="407"/>
      <c r="K101" s="348"/>
      <c r="L101" s="348"/>
      <c r="M101" s="348"/>
      <c r="N101" s="348"/>
      <c r="O101" s="348"/>
    </row>
    <row r="102" spans="2:15">
      <c r="B102" s="348"/>
      <c r="C102" s="348"/>
      <c r="D102" s="348"/>
      <c r="E102" s="370"/>
      <c r="F102" s="370"/>
      <c r="G102" s="370"/>
      <c r="H102" s="370"/>
      <c r="I102" s="348"/>
      <c r="J102" s="407"/>
      <c r="K102" s="348"/>
      <c r="L102" s="348"/>
      <c r="M102" s="348"/>
      <c r="N102" s="348"/>
      <c r="O102" s="348"/>
    </row>
    <row r="103" spans="2:15">
      <c r="B103" s="348"/>
      <c r="C103" s="528" t="s">
        <v>645</v>
      </c>
      <c r="D103" s="528"/>
      <c r="E103" s="528"/>
      <c r="F103" s="408">
        <f>+(lvstk_fc+facil_fc+F93+impl_fc+land_fc)</f>
        <v>924613.70131601731</v>
      </c>
      <c r="G103" s="409"/>
      <c r="H103" s="409"/>
      <c r="I103" s="410"/>
      <c r="J103" s="348"/>
      <c r="K103" s="348"/>
      <c r="L103" s="348"/>
      <c r="M103" s="348"/>
      <c r="N103" s="348"/>
      <c r="O103" s="348"/>
    </row>
    <row r="104" spans="2:15">
      <c r="B104" s="348"/>
      <c r="C104" s="348"/>
      <c r="D104" s="348"/>
      <c r="E104" s="348"/>
      <c r="F104" s="348"/>
      <c r="G104" s="348"/>
      <c r="H104" s="348"/>
      <c r="I104" s="348"/>
      <c r="J104" s="348"/>
      <c r="K104" s="348"/>
      <c r="L104" s="348"/>
      <c r="M104" s="348"/>
      <c r="N104" s="348"/>
      <c r="O104" s="348"/>
    </row>
    <row r="105" spans="2:15">
      <c r="B105" s="348"/>
      <c r="C105" s="411"/>
      <c r="D105" s="348"/>
      <c r="E105" s="348"/>
      <c r="F105" s="348"/>
      <c r="G105" s="348"/>
      <c r="H105" s="348"/>
      <c r="I105" s="348"/>
      <c r="J105" s="348"/>
      <c r="K105" s="348"/>
      <c r="L105" s="348"/>
      <c r="M105" s="348"/>
      <c r="N105" s="348"/>
      <c r="O105" s="348"/>
    </row>
    <row r="106" spans="2:15">
      <c r="B106" s="348"/>
      <c r="C106" s="348"/>
      <c r="D106" s="348"/>
      <c r="E106" s="348"/>
      <c r="F106" s="348"/>
      <c r="G106" s="348"/>
      <c r="H106" s="348"/>
      <c r="I106" s="348"/>
      <c r="J106" s="348"/>
      <c r="K106" s="348"/>
      <c r="L106" s="348"/>
      <c r="M106" s="348"/>
      <c r="N106" s="348"/>
      <c r="O106" s="348"/>
    </row>
    <row r="107" spans="2:15">
      <c r="B107" s="348"/>
      <c r="C107" s="348"/>
      <c r="D107" s="348"/>
      <c r="E107" s="348"/>
      <c r="F107" s="348"/>
      <c r="G107" s="348"/>
      <c r="H107" s="348"/>
      <c r="I107" s="348"/>
      <c r="J107" s="348"/>
      <c r="K107" s="348"/>
      <c r="L107" s="348"/>
      <c r="M107" s="348"/>
      <c r="N107" s="348"/>
      <c r="O107" s="348"/>
    </row>
    <row r="108" spans="2:15">
      <c r="B108" s="348"/>
      <c r="C108" s="348"/>
      <c r="D108" s="348"/>
      <c r="E108" s="348"/>
      <c r="F108" s="348"/>
      <c r="G108" s="348"/>
      <c r="H108" s="348"/>
      <c r="I108" s="348"/>
      <c r="J108" s="348"/>
      <c r="K108" s="348"/>
      <c r="L108" s="348"/>
      <c r="M108" s="348"/>
      <c r="N108" s="348"/>
      <c r="O108" s="348"/>
    </row>
    <row r="109" spans="2:15">
      <c r="B109" s="348"/>
      <c r="C109" s="348"/>
      <c r="D109" s="348"/>
      <c r="E109" s="348"/>
      <c r="F109" s="348"/>
      <c r="G109" s="348"/>
      <c r="H109" s="348"/>
      <c r="I109" s="348"/>
      <c r="J109" s="348"/>
      <c r="K109" s="348"/>
      <c r="L109" s="348"/>
      <c r="M109" s="348"/>
      <c r="N109" s="348"/>
      <c r="O109" s="348"/>
    </row>
    <row r="110" spans="2:15">
      <c r="B110" s="348"/>
      <c r="C110" s="348"/>
      <c r="D110" s="348"/>
      <c r="E110" s="348"/>
      <c r="F110" s="348"/>
      <c r="G110" s="348"/>
      <c r="H110" s="348"/>
      <c r="I110" s="348"/>
      <c r="J110" s="348"/>
      <c r="K110" s="348"/>
      <c r="L110" s="348"/>
      <c r="M110" s="348"/>
      <c r="N110" s="348"/>
      <c r="O110" s="348"/>
    </row>
    <row r="111" spans="2:15">
      <c r="B111" s="348"/>
      <c r="C111" s="348"/>
      <c r="D111" s="348"/>
      <c r="E111" s="348"/>
      <c r="F111" s="348"/>
      <c r="G111" s="348"/>
      <c r="H111" s="348"/>
      <c r="I111" s="348"/>
      <c r="J111" s="348"/>
      <c r="K111" s="348"/>
      <c r="L111" s="348"/>
      <c r="M111" s="348"/>
      <c r="N111" s="348"/>
      <c r="O111" s="348"/>
    </row>
    <row r="112" spans="2:15">
      <c r="B112" s="348"/>
      <c r="C112" s="348"/>
      <c r="D112" s="348"/>
      <c r="E112" s="348"/>
      <c r="F112" s="348"/>
      <c r="G112" s="348"/>
      <c r="H112" s="348"/>
      <c r="I112" s="348"/>
      <c r="J112" s="348"/>
      <c r="K112" s="348"/>
      <c r="L112" s="348"/>
      <c r="M112" s="348"/>
      <c r="N112" s="348"/>
      <c r="O112" s="348"/>
    </row>
  </sheetData>
  <sheetProtection sheet="1" objects="1" scenarios="1"/>
  <mergeCells count="68">
    <mergeCell ref="C72:D72"/>
    <mergeCell ref="C73:D73"/>
    <mergeCell ref="C33:D33"/>
    <mergeCell ref="C34:D34"/>
    <mergeCell ref="C51:D51"/>
    <mergeCell ref="C52:D52"/>
    <mergeCell ref="C66:D66"/>
    <mergeCell ref="C69:D69"/>
    <mergeCell ref="C70:D70"/>
    <mergeCell ref="C26:D26"/>
    <mergeCell ref="C27:D27"/>
    <mergeCell ref="C3:O3"/>
    <mergeCell ref="C4:D4"/>
    <mergeCell ref="C50:D50"/>
    <mergeCell ref="C35:D35"/>
    <mergeCell ref="C36:D36"/>
    <mergeCell ref="C37:D37"/>
    <mergeCell ref="C38:D38"/>
    <mergeCell ref="C39:D39"/>
    <mergeCell ref="C41:D41"/>
    <mergeCell ref="C99:E99"/>
    <mergeCell ref="C100:E100"/>
    <mergeCell ref="C5:D5"/>
    <mergeCell ref="C12:D12"/>
    <mergeCell ref="C10:D10"/>
    <mergeCell ref="C30:D30"/>
    <mergeCell ref="C31:D31"/>
    <mergeCell ref="C32:D32"/>
    <mergeCell ref="C97:E97"/>
    <mergeCell ref="C93:E93"/>
    <mergeCell ref="C84:E84"/>
    <mergeCell ref="C88:E88"/>
    <mergeCell ref="C96:E96"/>
    <mergeCell ref="C89:E89"/>
    <mergeCell ref="C95:E95"/>
    <mergeCell ref="C49:D49"/>
    <mergeCell ref="C103:E103"/>
    <mergeCell ref="C40:D40"/>
    <mergeCell ref="C42:D42"/>
    <mergeCell ref="C91:E91"/>
    <mergeCell ref="C92:E92"/>
    <mergeCell ref="C74:E74"/>
    <mergeCell ref="C82:J82"/>
    <mergeCell ref="C85:E85"/>
    <mergeCell ref="C76:E76"/>
    <mergeCell ref="C61:D61"/>
    <mergeCell ref="C101:E101"/>
    <mergeCell ref="C83:E83"/>
    <mergeCell ref="C87:E87"/>
    <mergeCell ref="C46:D46"/>
    <mergeCell ref="C47:D47"/>
    <mergeCell ref="C48:D48"/>
    <mergeCell ref="C78:K78"/>
    <mergeCell ref="C67:D67"/>
    <mergeCell ref="C68:D68"/>
    <mergeCell ref="C53:D53"/>
    <mergeCell ref="C54:D54"/>
    <mergeCell ref="C55:D55"/>
    <mergeCell ref="C60:D60"/>
    <mergeCell ref="C56:D56"/>
    <mergeCell ref="C57:D57"/>
    <mergeCell ref="C59:D59"/>
    <mergeCell ref="C58:D58"/>
    <mergeCell ref="C62:D62"/>
    <mergeCell ref="C63:D63"/>
    <mergeCell ref="C64:D64"/>
    <mergeCell ref="C65:D65"/>
    <mergeCell ref="C71:D71"/>
  </mergeCells>
  <phoneticPr fontId="0" type="noConversion"/>
  <hyperlinks>
    <hyperlink ref="B4" location="Main!A74" display="Return to Main Budget"/>
  </hyperlinks>
  <pageMargins left="0.75" right="0.75" top="1" bottom="0.5" header="0.5" footer="0.5"/>
  <headerFooter alignWithMargins="0">
    <oddFooter>&amp;A</oddFooter>
  </headerFooter>
  <rowBreaks count="2" manualBreakCount="2">
    <brk id="43" min="2" max="14" man="1"/>
    <brk id="81" max="16383" man="1"/>
  </rowBreaks>
  <colBreaks count="1" manualBreakCount="1">
    <brk id="1" max="1048575" man="1"/>
  </col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pageSetUpPr fitToPage="1"/>
  </sheetPr>
  <dimension ref="C1:O86"/>
  <sheetViews>
    <sheetView topLeftCell="B1" zoomScale="125" zoomScaleNormal="125" zoomScalePageLayoutView="125" workbookViewId="0">
      <selection activeCell="H13" sqref="H13"/>
    </sheetView>
  </sheetViews>
  <sheetFormatPr baseColWidth="10" defaultColWidth="8.83203125" defaultRowHeight="12" x14ac:dyDescent="0"/>
  <cols>
    <col min="4" max="4" width="26.5" bestFit="1" customWidth="1"/>
    <col min="5" max="5" width="10.5" customWidth="1"/>
    <col min="6" max="6" width="15.83203125" bestFit="1" customWidth="1"/>
    <col min="9" max="9" width="13.5" bestFit="1" customWidth="1"/>
    <col min="10" max="10" width="12" customWidth="1"/>
    <col min="11" max="11" width="14.83203125" customWidth="1"/>
    <col min="12" max="12" width="26.1640625" customWidth="1"/>
    <col min="13" max="13" width="9.83203125" bestFit="1" customWidth="1"/>
    <col min="14" max="15" width="9" bestFit="1" customWidth="1"/>
  </cols>
  <sheetData>
    <row r="1" spans="3:15" ht="24">
      <c r="L1" s="125" t="s">
        <v>497</v>
      </c>
      <c r="M1" s="126" t="s">
        <v>493</v>
      </c>
      <c r="N1" s="126" t="s">
        <v>499</v>
      </c>
      <c r="O1" s="126" t="s">
        <v>498</v>
      </c>
    </row>
    <row r="2" spans="3:15">
      <c r="D2" s="127" t="s">
        <v>483</v>
      </c>
      <c r="E2" s="127" t="s">
        <v>488</v>
      </c>
      <c r="F2" s="127" t="s">
        <v>489</v>
      </c>
      <c r="G2" s="127" t="s">
        <v>490</v>
      </c>
      <c r="L2" t="s">
        <v>495</v>
      </c>
      <c r="M2" s="122">
        <f>+conr_silage_milk+corn_silage_dry_herd+corn_silage_bred_hfrs+corn_silage_yng_hfrs</f>
        <v>6187.8830399999988</v>
      </c>
      <c r="N2" s="122">
        <v>25</v>
      </c>
      <c r="O2" s="123">
        <f>+M2/N2</f>
        <v>247.51532159999996</v>
      </c>
    </row>
    <row r="3" spans="3:15">
      <c r="D3" t="s">
        <v>484</v>
      </c>
      <c r="E3" s="114">
        <v>55</v>
      </c>
      <c r="F3" s="117">
        <v>0.35</v>
      </c>
      <c r="G3" s="114">
        <f>+(E3/F3)/2000</f>
        <v>7.857142857142857E-2</v>
      </c>
      <c r="L3" t="s">
        <v>485</v>
      </c>
      <c r="M3" s="122">
        <f>+winter_ann_sil_milking</f>
        <v>1355.5468800000001</v>
      </c>
      <c r="N3" s="122">
        <v>9</v>
      </c>
      <c r="O3" s="123">
        <f t="shared" ref="O3:O5" si="0">+M3/N3</f>
        <v>150.61632</v>
      </c>
    </row>
    <row r="4" spans="3:15">
      <c r="D4" t="s">
        <v>430</v>
      </c>
      <c r="E4" s="114">
        <v>45</v>
      </c>
      <c r="F4" s="117">
        <v>0.35</v>
      </c>
      <c r="G4" s="114">
        <f t="shared" ref="G4:G6" si="1">+(E4/F4)/2000</f>
        <v>6.4285714285714293E-2</v>
      </c>
      <c r="L4" t="s">
        <v>449</v>
      </c>
      <c r="M4" s="122">
        <f>+sorghum_sil_dry+sorghum_sialge_bred_hfrs</f>
        <v>784.23551999999995</v>
      </c>
      <c r="N4" s="122">
        <v>15</v>
      </c>
      <c r="O4" s="123">
        <f t="shared" si="0"/>
        <v>52.282367999999998</v>
      </c>
    </row>
    <row r="5" spans="3:15">
      <c r="D5" t="s">
        <v>486</v>
      </c>
      <c r="E5" s="114">
        <v>180</v>
      </c>
      <c r="F5" s="117">
        <v>0.9</v>
      </c>
      <c r="G5" s="114">
        <f t="shared" si="1"/>
        <v>0.1</v>
      </c>
      <c r="L5" t="s">
        <v>496</v>
      </c>
      <c r="M5" s="122">
        <f>+corn_milk+corn_dry+corn_hfrs+K71+corn_yng_hfrs</f>
        <v>920.12687999999991</v>
      </c>
      <c r="N5" s="122">
        <v>5</v>
      </c>
      <c r="O5" s="123">
        <f t="shared" si="0"/>
        <v>184.02537599999999</v>
      </c>
    </row>
    <row r="6" spans="3:15">
      <c r="D6" t="s">
        <v>487</v>
      </c>
      <c r="E6" s="114">
        <v>350</v>
      </c>
      <c r="F6" s="117">
        <v>0.9</v>
      </c>
      <c r="G6" s="114">
        <f t="shared" si="1"/>
        <v>0.19444444444444442</v>
      </c>
      <c r="L6" t="s">
        <v>494</v>
      </c>
      <c r="M6" s="122">
        <f>+t85_dry+t85_bred_hfrs+t85_young_hfrs</f>
        <v>343.05983999999995</v>
      </c>
      <c r="N6" s="122">
        <v>7</v>
      </c>
      <c r="O6" s="124">
        <f>+M6/N6</f>
        <v>49.008548571428562</v>
      </c>
    </row>
    <row r="8" spans="3:15" ht="24">
      <c r="D8" s="99" t="s">
        <v>423</v>
      </c>
      <c r="E8" s="100" t="s">
        <v>424</v>
      </c>
      <c r="F8" s="101" t="s">
        <v>425</v>
      </c>
      <c r="G8" s="102" t="s">
        <v>426</v>
      </c>
      <c r="H8" s="102" t="s">
        <v>427</v>
      </c>
      <c r="I8" s="102" t="s">
        <v>428</v>
      </c>
      <c r="J8" s="120" t="s">
        <v>491</v>
      </c>
      <c r="K8" s="119" t="s">
        <v>492</v>
      </c>
    </row>
    <row r="9" spans="3:15">
      <c r="C9" s="98" t="s">
        <v>452</v>
      </c>
    </row>
    <row r="10" spans="3:15">
      <c r="D10" s="103" t="s">
        <v>429</v>
      </c>
      <c r="E10" s="104">
        <v>35</v>
      </c>
      <c r="F10" s="116">
        <v>30.78</v>
      </c>
      <c r="G10" s="114">
        <f t="shared" ref="G10:G27" si="2">+F10/2000</f>
        <v>1.5390000000000001E-2</v>
      </c>
      <c r="H10" s="105">
        <v>62.856999999999999</v>
      </c>
      <c r="I10" s="105">
        <f t="shared" ref="I10:I21" si="3">H10*G10</f>
        <v>0.96736923000000008</v>
      </c>
      <c r="J10" s="121">
        <f>+H10*305/2000</f>
        <v>9.5856924999999986</v>
      </c>
      <c r="K10" s="2">
        <f t="shared" ref="K10:K27" si="4">+J10*lactations</f>
        <v>5521.3588799999989</v>
      </c>
    </row>
    <row r="11" spans="3:15">
      <c r="D11" s="103" t="s">
        <v>430</v>
      </c>
      <c r="E11" s="104">
        <v>32.4</v>
      </c>
      <c r="F11" s="116">
        <v>13.75</v>
      </c>
      <c r="G11" s="114">
        <f t="shared" si="2"/>
        <v>6.875E-3</v>
      </c>
      <c r="H11" s="105">
        <v>15.432</v>
      </c>
      <c r="I11" s="105">
        <f t="shared" si="3"/>
        <v>0.10609500000000001</v>
      </c>
      <c r="J11" s="121">
        <f t="shared" ref="J11:J27" si="5">+H11*305/2000</f>
        <v>2.35338</v>
      </c>
      <c r="K11" s="2">
        <f t="shared" si="4"/>
        <v>1355.5468800000001</v>
      </c>
    </row>
    <row r="12" spans="3:15">
      <c r="D12" s="103" t="s">
        <v>431</v>
      </c>
      <c r="E12" s="104">
        <v>24.5</v>
      </c>
      <c r="F12" s="103">
        <v>39</v>
      </c>
      <c r="G12" s="114">
        <f t="shared" si="2"/>
        <v>1.95E-2</v>
      </c>
      <c r="H12" s="105">
        <v>26.530999999999999</v>
      </c>
      <c r="I12" s="105">
        <f t="shared" si="3"/>
        <v>0.51735449999999994</v>
      </c>
      <c r="J12" s="121">
        <f t="shared" si="5"/>
        <v>4.0459775000000002</v>
      </c>
      <c r="K12" s="2">
        <f t="shared" si="4"/>
        <v>2330.4830400000001</v>
      </c>
    </row>
    <row r="13" spans="3:15">
      <c r="D13" s="103" t="s">
        <v>432</v>
      </c>
      <c r="E13" s="104">
        <v>88</v>
      </c>
      <c r="F13" s="118">
        <f>+$E5</f>
        <v>180</v>
      </c>
      <c r="G13" s="114">
        <f t="shared" si="2"/>
        <v>0.09</v>
      </c>
      <c r="H13" s="105">
        <v>9.0909999999999993</v>
      </c>
      <c r="I13" s="105">
        <f t="shared" si="3"/>
        <v>0.81818999999999986</v>
      </c>
      <c r="J13" s="121">
        <f t="shared" si="5"/>
        <v>1.3863774999999998</v>
      </c>
      <c r="K13" s="2">
        <f t="shared" si="4"/>
        <v>798.55343999999991</v>
      </c>
    </row>
    <row r="14" spans="3:15">
      <c r="D14" s="103" t="s">
        <v>434</v>
      </c>
      <c r="E14" s="104">
        <v>88.6</v>
      </c>
      <c r="F14" s="109">
        <v>180</v>
      </c>
      <c r="G14" s="114">
        <f t="shared" si="2"/>
        <v>0.09</v>
      </c>
      <c r="H14" s="105">
        <v>4.5149999999999997</v>
      </c>
      <c r="I14" s="105">
        <f t="shared" si="3"/>
        <v>0.40634999999999993</v>
      </c>
      <c r="J14" s="121">
        <f t="shared" si="5"/>
        <v>0.68853749999999991</v>
      </c>
      <c r="K14" s="2">
        <f t="shared" si="4"/>
        <v>396.59759999999994</v>
      </c>
    </row>
    <row r="15" spans="3:15">
      <c r="D15" s="103" t="s">
        <v>436</v>
      </c>
      <c r="E15" s="104">
        <v>90</v>
      </c>
      <c r="F15" s="109">
        <v>350</v>
      </c>
      <c r="G15" s="114">
        <f t="shared" si="2"/>
        <v>0.17499999999999999</v>
      </c>
      <c r="H15" s="105">
        <v>4.444</v>
      </c>
      <c r="I15" s="105">
        <f t="shared" si="3"/>
        <v>0.77769999999999995</v>
      </c>
      <c r="J15" s="121">
        <f t="shared" si="5"/>
        <v>0.67771000000000003</v>
      </c>
      <c r="K15" s="2">
        <f t="shared" si="4"/>
        <v>390.36096000000003</v>
      </c>
    </row>
    <row r="16" spans="3:15">
      <c r="D16" s="103" t="s">
        <v>437</v>
      </c>
      <c r="E16" s="104">
        <v>99</v>
      </c>
      <c r="F16" s="103">
        <v>597</v>
      </c>
      <c r="G16" s="114">
        <f t="shared" si="2"/>
        <v>0.29849999999999999</v>
      </c>
      <c r="H16" s="105">
        <v>0.152</v>
      </c>
      <c r="I16" s="105">
        <f t="shared" si="3"/>
        <v>4.5371999999999996E-2</v>
      </c>
      <c r="J16" s="121">
        <f t="shared" si="5"/>
        <v>2.3179999999999999E-2</v>
      </c>
      <c r="K16" s="2">
        <f t="shared" si="4"/>
        <v>13.35168</v>
      </c>
    </row>
    <row r="17" spans="3:11">
      <c r="D17" s="103" t="s">
        <v>438</v>
      </c>
      <c r="E17" s="104">
        <v>88</v>
      </c>
      <c r="F17" s="103">
        <v>560</v>
      </c>
      <c r="G17" s="114">
        <f t="shared" si="2"/>
        <v>0.28000000000000003</v>
      </c>
      <c r="H17" s="105">
        <v>2.1019999999999999</v>
      </c>
      <c r="I17" s="105">
        <f t="shared" si="3"/>
        <v>0.58855999999999997</v>
      </c>
      <c r="J17" s="121">
        <f t="shared" si="5"/>
        <v>0.32055500000000003</v>
      </c>
      <c r="K17" s="2">
        <f t="shared" si="4"/>
        <v>184.63968000000003</v>
      </c>
    </row>
    <row r="18" spans="3:11">
      <c r="D18" s="103" t="s">
        <v>439</v>
      </c>
      <c r="E18" s="104">
        <v>99.5</v>
      </c>
      <c r="F18" s="103">
        <v>154</v>
      </c>
      <c r="G18" s="114">
        <f t="shared" si="2"/>
        <v>7.6999999999999999E-2</v>
      </c>
      <c r="H18" s="105">
        <v>0.55300000000000005</v>
      </c>
      <c r="I18" s="105">
        <f t="shared" si="3"/>
        <v>4.2581000000000001E-2</v>
      </c>
      <c r="J18" s="121">
        <f t="shared" si="5"/>
        <v>8.4332500000000005E-2</v>
      </c>
      <c r="K18" s="2">
        <f t="shared" si="4"/>
        <v>48.575520000000004</v>
      </c>
    </row>
    <row r="19" spans="3:11">
      <c r="D19" s="103" t="s">
        <v>440</v>
      </c>
      <c r="E19" s="104">
        <v>99.5</v>
      </c>
      <c r="F19" s="103">
        <v>781</v>
      </c>
      <c r="G19" s="114">
        <f t="shared" si="2"/>
        <v>0.39050000000000001</v>
      </c>
      <c r="H19" s="105">
        <v>0.10100000000000001</v>
      </c>
      <c r="I19" s="105">
        <f t="shared" si="3"/>
        <v>3.9440500000000003E-2</v>
      </c>
      <c r="J19" s="121">
        <f t="shared" si="5"/>
        <v>1.5402500000000001E-2</v>
      </c>
      <c r="K19" s="2">
        <f t="shared" si="4"/>
        <v>8.8718400000000006</v>
      </c>
    </row>
    <row r="20" spans="3:11">
      <c r="D20" s="103" t="s">
        <v>441</v>
      </c>
      <c r="E20" s="104">
        <v>99.5</v>
      </c>
      <c r="F20" s="103">
        <v>589</v>
      </c>
      <c r="G20" s="114">
        <f t="shared" si="2"/>
        <v>0.29449999999999998</v>
      </c>
      <c r="H20" s="105">
        <v>0.10100000000000001</v>
      </c>
      <c r="I20" s="105">
        <f t="shared" si="3"/>
        <v>2.97445E-2</v>
      </c>
      <c r="J20" s="121">
        <f t="shared" si="5"/>
        <v>1.5402500000000001E-2</v>
      </c>
      <c r="K20" s="2">
        <f t="shared" si="4"/>
        <v>8.8718400000000006</v>
      </c>
    </row>
    <row r="21" spans="3:11">
      <c r="D21" s="103" t="s">
        <v>442</v>
      </c>
      <c r="E21" s="104">
        <v>99.5</v>
      </c>
      <c r="F21" s="103">
        <v>225</v>
      </c>
      <c r="G21" s="114">
        <f t="shared" si="2"/>
        <v>0.1125</v>
      </c>
      <c r="H21" s="105">
        <v>0.151</v>
      </c>
      <c r="I21" s="105">
        <f t="shared" si="3"/>
        <v>1.6987499999999999E-2</v>
      </c>
      <c r="J21" s="121">
        <f t="shared" si="5"/>
        <v>2.3027499999999999E-2</v>
      </c>
      <c r="K21" s="2">
        <f t="shared" si="4"/>
        <v>13.26384</v>
      </c>
    </row>
    <row r="22" spans="3:11">
      <c r="D22" s="103" t="s">
        <v>443</v>
      </c>
      <c r="E22" s="104">
        <v>99.5</v>
      </c>
      <c r="F22" s="103">
        <v>451</v>
      </c>
      <c r="G22" s="114">
        <f t="shared" si="2"/>
        <v>0.22550000000000001</v>
      </c>
      <c r="H22" s="105">
        <v>0.40200000000000002</v>
      </c>
      <c r="I22" s="105">
        <f t="shared" ref="I22:I27" si="6">H22*G22</f>
        <v>9.0651000000000009E-2</v>
      </c>
      <c r="J22" s="121">
        <f t="shared" si="5"/>
        <v>6.1305000000000005E-2</v>
      </c>
      <c r="K22" s="2">
        <f t="shared" si="4"/>
        <v>35.311680000000003</v>
      </c>
    </row>
    <row r="23" spans="3:11">
      <c r="D23" s="103" t="s">
        <v>444</v>
      </c>
      <c r="E23" s="104">
        <v>99.5</v>
      </c>
      <c r="F23" s="103">
        <v>1770</v>
      </c>
      <c r="G23" s="114">
        <f t="shared" si="2"/>
        <v>0.88500000000000001</v>
      </c>
      <c r="H23" s="105">
        <v>0.10100000000000001</v>
      </c>
      <c r="I23" s="105">
        <f t="shared" si="6"/>
        <v>8.9385000000000006E-2</v>
      </c>
      <c r="J23" s="121">
        <f t="shared" si="5"/>
        <v>1.5402500000000001E-2</v>
      </c>
      <c r="K23" s="2">
        <f t="shared" si="4"/>
        <v>8.8718400000000006</v>
      </c>
    </row>
    <row r="24" spans="3:11">
      <c r="D24" s="103" t="s">
        <v>445</v>
      </c>
      <c r="E24" s="104">
        <v>99.5</v>
      </c>
      <c r="F24" s="103">
        <v>623</v>
      </c>
      <c r="G24" s="114">
        <f t="shared" si="2"/>
        <v>0.3115</v>
      </c>
      <c r="H24" s="105">
        <v>0.151</v>
      </c>
      <c r="I24" s="105">
        <f t="shared" si="6"/>
        <v>4.7036499999999995E-2</v>
      </c>
      <c r="J24" s="121">
        <f t="shared" si="5"/>
        <v>2.3027499999999999E-2</v>
      </c>
      <c r="K24" s="2">
        <f t="shared" si="4"/>
        <v>13.26384</v>
      </c>
    </row>
    <row r="25" spans="3:11">
      <c r="D25" s="103" t="s">
        <v>446</v>
      </c>
      <c r="E25" s="104">
        <v>93</v>
      </c>
      <c r="F25" s="103">
        <v>1800</v>
      </c>
      <c r="G25" s="114">
        <f t="shared" si="2"/>
        <v>0.9</v>
      </c>
      <c r="H25" s="105">
        <v>0.13400000000000001</v>
      </c>
      <c r="I25" s="105">
        <f t="shared" si="6"/>
        <v>0.12060000000000001</v>
      </c>
      <c r="J25" s="121">
        <f t="shared" si="5"/>
        <v>2.0435000000000002E-2</v>
      </c>
      <c r="K25" s="2">
        <f t="shared" si="4"/>
        <v>11.770560000000001</v>
      </c>
    </row>
    <row r="26" spans="3:11">
      <c r="D26" s="103" t="s">
        <v>447</v>
      </c>
      <c r="E26" s="104">
        <v>93.1</v>
      </c>
      <c r="F26" s="103">
        <v>3998</v>
      </c>
      <c r="G26" s="114">
        <f t="shared" si="2"/>
        <v>1.9990000000000001</v>
      </c>
      <c r="H26" s="105">
        <v>2.1000000000000001E-2</v>
      </c>
      <c r="I26" s="105">
        <f t="shared" si="6"/>
        <v>4.1979000000000002E-2</v>
      </c>
      <c r="J26" s="121">
        <f t="shared" si="5"/>
        <v>3.2025000000000001E-3</v>
      </c>
      <c r="K26" s="2">
        <f t="shared" si="4"/>
        <v>1.8446400000000001</v>
      </c>
    </row>
    <row r="27" spans="3:11">
      <c r="D27" s="103" t="s">
        <v>448</v>
      </c>
      <c r="E27" s="104">
        <v>99.5</v>
      </c>
      <c r="F27" s="103">
        <v>1895</v>
      </c>
      <c r="G27" s="114">
        <f t="shared" si="2"/>
        <v>0.94750000000000001</v>
      </c>
      <c r="H27" s="105">
        <v>1.2999999999999999E-2</v>
      </c>
      <c r="I27" s="105">
        <f t="shared" si="6"/>
        <v>1.23175E-2</v>
      </c>
      <c r="J27" s="121">
        <f t="shared" si="5"/>
        <v>1.9824999999999999E-3</v>
      </c>
      <c r="K27" s="2">
        <f t="shared" si="4"/>
        <v>1.1419199999999998</v>
      </c>
    </row>
    <row r="28" spans="3:11">
      <c r="G28" s="107" t="s">
        <v>453</v>
      </c>
      <c r="H28" s="113">
        <f>+SUM(H10:H27)</f>
        <v>126.85199999999999</v>
      </c>
      <c r="I28" s="108">
        <f>SUM(I10:I27)*I29*I30</f>
        <v>870661.52109000005</v>
      </c>
      <c r="J28">
        <f>+I28/I29/I30</f>
        <v>4.7577132300000002</v>
      </c>
    </row>
    <row r="29" spans="3:11">
      <c r="G29" s="98" t="s">
        <v>454</v>
      </c>
      <c r="I29">
        <f>+cows</f>
        <v>600</v>
      </c>
    </row>
    <row r="30" spans="3:11">
      <c r="G30" s="98" t="s">
        <v>455</v>
      </c>
      <c r="I30">
        <v>305</v>
      </c>
    </row>
    <row r="31" spans="3:11">
      <c r="H31" s="98"/>
    </row>
    <row r="32" spans="3:11">
      <c r="C32" s="98" t="s">
        <v>7</v>
      </c>
    </row>
    <row r="33" spans="4:11">
      <c r="D33" s="103" t="s">
        <v>429</v>
      </c>
      <c r="E33" s="104">
        <v>35</v>
      </c>
      <c r="F33" s="116">
        <v>30.78</v>
      </c>
      <c r="G33" s="114">
        <f t="shared" ref="G33:G47" si="7">+F33/2000</f>
        <v>1.5390000000000001E-2</v>
      </c>
      <c r="H33" s="105">
        <v>17.143000000000001</v>
      </c>
      <c r="I33" s="105">
        <f>H33*G33</f>
        <v>0.26383077000000005</v>
      </c>
      <c r="J33" s="121">
        <f>+H33*60/2000</f>
        <v>0.51428999999999991</v>
      </c>
      <c r="K33" s="2">
        <f t="shared" ref="K33:K47" si="8">+J33*lactations</f>
        <v>296.23103999999995</v>
      </c>
    </row>
    <row r="34" spans="4:11">
      <c r="D34" s="103" t="s">
        <v>449</v>
      </c>
      <c r="E34" s="104">
        <v>32.28</v>
      </c>
      <c r="F34" s="116">
        <v>30.78</v>
      </c>
      <c r="G34" s="114">
        <f t="shared" si="7"/>
        <v>1.5390000000000001E-2</v>
      </c>
      <c r="H34">
        <v>16.263999999999999</v>
      </c>
      <c r="I34" s="105">
        <f t="shared" ref="I34:I41" si="9">H34*G34</f>
        <v>0.25030296000000002</v>
      </c>
      <c r="J34" s="121">
        <f t="shared" ref="J34:J47" si="10">+H34*60/2000</f>
        <v>0.48791999999999996</v>
      </c>
      <c r="K34" s="2">
        <f t="shared" si="8"/>
        <v>281.04192</v>
      </c>
    </row>
    <row r="35" spans="4:11">
      <c r="D35" s="103" t="s">
        <v>450</v>
      </c>
      <c r="E35" s="104">
        <v>92</v>
      </c>
      <c r="F35" s="103">
        <v>100</v>
      </c>
      <c r="G35" s="114">
        <f t="shared" si="7"/>
        <v>0.05</v>
      </c>
      <c r="H35">
        <v>12.69</v>
      </c>
      <c r="I35" s="105">
        <f t="shared" si="9"/>
        <v>0.63450000000000006</v>
      </c>
      <c r="J35" s="121">
        <f t="shared" si="10"/>
        <v>0.38069999999999998</v>
      </c>
      <c r="K35" s="2">
        <f t="shared" si="8"/>
        <v>219.28319999999999</v>
      </c>
    </row>
    <row r="36" spans="4:11">
      <c r="D36" s="103" t="s">
        <v>431</v>
      </c>
      <c r="E36" s="104">
        <v>24.5</v>
      </c>
      <c r="F36" s="104">
        <v>39</v>
      </c>
      <c r="G36" s="114">
        <f t="shared" si="7"/>
        <v>1.95E-2</v>
      </c>
      <c r="H36" s="105">
        <v>5.1020000000000003</v>
      </c>
      <c r="I36" s="105">
        <f t="shared" si="9"/>
        <v>9.9489000000000008E-2</v>
      </c>
      <c r="J36" s="121">
        <f t="shared" si="10"/>
        <v>0.15306</v>
      </c>
      <c r="K36" s="2">
        <f t="shared" si="8"/>
        <v>88.162559999999999</v>
      </c>
    </row>
    <row r="37" spans="4:11">
      <c r="D37" s="103" t="s">
        <v>432</v>
      </c>
      <c r="E37" s="104">
        <v>88</v>
      </c>
      <c r="F37" s="109">
        <f>F13</f>
        <v>180</v>
      </c>
      <c r="G37" s="114">
        <f t="shared" si="7"/>
        <v>0.09</v>
      </c>
      <c r="H37">
        <v>1.4205000000000001</v>
      </c>
      <c r="I37" s="105">
        <f t="shared" si="9"/>
        <v>0.12784500000000001</v>
      </c>
      <c r="J37" s="121">
        <f t="shared" si="10"/>
        <v>4.2615E-2</v>
      </c>
      <c r="K37" s="2">
        <f t="shared" si="8"/>
        <v>24.546240000000001</v>
      </c>
    </row>
    <row r="38" spans="4:11">
      <c r="D38" s="103" t="s">
        <v>433</v>
      </c>
      <c r="E38" s="104">
        <v>91</v>
      </c>
      <c r="F38" s="110" t="e">
        <f>#REF!</f>
        <v>#REF!</v>
      </c>
      <c r="G38" s="114" t="e">
        <f t="shared" si="7"/>
        <v>#REF!</v>
      </c>
      <c r="H38">
        <v>1.456</v>
      </c>
      <c r="I38" s="105" t="e">
        <f>H38*G38</f>
        <v>#REF!</v>
      </c>
      <c r="J38" s="121">
        <f t="shared" si="10"/>
        <v>4.3679999999999997E-2</v>
      </c>
      <c r="K38" s="2">
        <f t="shared" si="8"/>
        <v>25.159679999999998</v>
      </c>
    </row>
    <row r="39" spans="4:11">
      <c r="D39" s="103" t="s">
        <v>435</v>
      </c>
      <c r="E39" s="104">
        <v>89.7</v>
      </c>
      <c r="F39" s="110" t="e">
        <f>#REF!</f>
        <v>#REF!</v>
      </c>
      <c r="G39" s="114" t="e">
        <f t="shared" si="7"/>
        <v>#REF!</v>
      </c>
      <c r="H39" s="105">
        <v>1.3939999999999999</v>
      </c>
      <c r="I39" s="105" t="e">
        <f t="shared" si="9"/>
        <v>#REF!</v>
      </c>
      <c r="J39" s="121">
        <f t="shared" si="10"/>
        <v>4.1820000000000003E-2</v>
      </c>
      <c r="K39" s="2">
        <f t="shared" si="8"/>
        <v>24.088320000000003</v>
      </c>
    </row>
    <row r="40" spans="4:11">
      <c r="D40" s="103" t="s">
        <v>434</v>
      </c>
      <c r="E40" s="104">
        <v>88.6</v>
      </c>
      <c r="F40" s="110">
        <f>F14</f>
        <v>180</v>
      </c>
      <c r="G40" s="114">
        <f t="shared" si="7"/>
        <v>0.09</v>
      </c>
      <c r="H40" s="105">
        <v>1.6930000000000001</v>
      </c>
      <c r="I40" s="105">
        <f t="shared" si="9"/>
        <v>0.15237000000000001</v>
      </c>
      <c r="J40" s="121">
        <f t="shared" si="10"/>
        <v>5.0790000000000002E-2</v>
      </c>
      <c r="K40" s="2">
        <f t="shared" si="8"/>
        <v>29.255040000000001</v>
      </c>
    </row>
    <row r="41" spans="4:11">
      <c r="D41" s="103" t="s">
        <v>436</v>
      </c>
      <c r="E41" s="104">
        <v>90</v>
      </c>
      <c r="F41" s="109">
        <f>F15</f>
        <v>350</v>
      </c>
      <c r="G41" s="114">
        <f t="shared" si="7"/>
        <v>0.17499999999999999</v>
      </c>
      <c r="H41" s="106">
        <v>1.4165000000000001</v>
      </c>
      <c r="I41" s="105">
        <f t="shared" si="9"/>
        <v>0.24788750000000001</v>
      </c>
      <c r="J41" s="121">
        <f t="shared" si="10"/>
        <v>4.2495000000000005E-2</v>
      </c>
      <c r="K41" s="2">
        <f t="shared" si="8"/>
        <v>24.477120000000003</v>
      </c>
    </row>
    <row r="42" spans="4:11">
      <c r="D42" s="103" t="s">
        <v>451</v>
      </c>
      <c r="E42" s="104">
        <v>88</v>
      </c>
      <c r="F42" s="104">
        <v>560</v>
      </c>
      <c r="G42" s="114">
        <f t="shared" si="7"/>
        <v>0.28000000000000003</v>
      </c>
      <c r="H42" s="105">
        <v>1.43</v>
      </c>
      <c r="I42" s="105">
        <f t="shared" ref="I42:I47" si="11">H42*G42</f>
        <v>0.40040000000000003</v>
      </c>
      <c r="J42" s="121">
        <f t="shared" si="10"/>
        <v>4.2900000000000001E-2</v>
      </c>
      <c r="K42" s="2">
        <f t="shared" si="8"/>
        <v>24.7104</v>
      </c>
    </row>
    <row r="43" spans="4:11">
      <c r="D43" s="103" t="s">
        <v>438</v>
      </c>
      <c r="E43" s="104">
        <v>88</v>
      </c>
      <c r="F43" s="104">
        <v>560</v>
      </c>
      <c r="G43" s="114">
        <f t="shared" si="7"/>
        <v>0.28000000000000003</v>
      </c>
      <c r="H43" s="105">
        <v>1.9319999999999999</v>
      </c>
      <c r="I43" s="105">
        <f t="shared" si="11"/>
        <v>0.54096</v>
      </c>
      <c r="J43" s="121">
        <f t="shared" si="10"/>
        <v>5.7959999999999998E-2</v>
      </c>
      <c r="K43" s="2">
        <f t="shared" si="8"/>
        <v>33.38496</v>
      </c>
    </row>
    <row r="44" spans="4:11">
      <c r="D44" s="103" t="s">
        <v>442</v>
      </c>
      <c r="E44" s="104">
        <v>99.5</v>
      </c>
      <c r="F44" s="103">
        <v>225</v>
      </c>
      <c r="G44" s="114">
        <f t="shared" si="7"/>
        <v>0.1125</v>
      </c>
      <c r="H44" s="105">
        <v>0.151</v>
      </c>
      <c r="I44" s="105">
        <f t="shared" si="11"/>
        <v>1.6987499999999999E-2</v>
      </c>
      <c r="J44" s="121">
        <f t="shared" si="10"/>
        <v>4.5300000000000002E-3</v>
      </c>
      <c r="K44" s="2">
        <f t="shared" si="8"/>
        <v>2.60928</v>
      </c>
    </row>
    <row r="45" spans="4:11">
      <c r="D45" s="103" t="s">
        <v>439</v>
      </c>
      <c r="E45" s="104">
        <v>99.5</v>
      </c>
      <c r="F45" s="103">
        <v>154</v>
      </c>
      <c r="G45" s="114">
        <f t="shared" si="7"/>
        <v>7.6999999999999999E-2</v>
      </c>
      <c r="H45" s="105">
        <v>8.8999999999999996E-2</v>
      </c>
      <c r="I45" s="105">
        <f t="shared" si="11"/>
        <v>6.8529999999999997E-3</v>
      </c>
      <c r="J45" s="121">
        <f t="shared" si="10"/>
        <v>2.6700000000000001E-3</v>
      </c>
      <c r="K45" s="2">
        <f t="shared" si="8"/>
        <v>1.53792</v>
      </c>
    </row>
    <row r="46" spans="4:11">
      <c r="D46" s="103" t="s">
        <v>441</v>
      </c>
      <c r="E46" s="104">
        <v>99.5</v>
      </c>
      <c r="F46" s="103">
        <v>589</v>
      </c>
      <c r="G46" s="114">
        <f t="shared" si="7"/>
        <v>0.29449999999999998</v>
      </c>
      <c r="H46" s="105">
        <v>0.10100000000000001</v>
      </c>
      <c r="I46" s="105">
        <f t="shared" si="11"/>
        <v>2.97445E-2</v>
      </c>
      <c r="J46" s="121">
        <f t="shared" si="10"/>
        <v>3.0300000000000001E-3</v>
      </c>
      <c r="K46" s="2">
        <f t="shared" si="8"/>
        <v>1.7452800000000002</v>
      </c>
    </row>
    <row r="47" spans="4:11">
      <c r="D47" s="103" t="s">
        <v>448</v>
      </c>
      <c r="E47" s="104">
        <v>99.5</v>
      </c>
      <c r="F47" s="103">
        <v>1895</v>
      </c>
      <c r="G47" s="114">
        <f t="shared" si="7"/>
        <v>0.94750000000000001</v>
      </c>
      <c r="H47" s="105">
        <v>1.2E-2</v>
      </c>
      <c r="I47" s="105">
        <f t="shared" si="11"/>
        <v>1.137E-2</v>
      </c>
      <c r="J47" s="121">
        <f t="shared" si="10"/>
        <v>3.5999999999999997E-4</v>
      </c>
      <c r="K47" s="2">
        <f t="shared" si="8"/>
        <v>0.20735999999999999</v>
      </c>
    </row>
    <row r="48" spans="4:11">
      <c r="H48" s="107" t="s">
        <v>456</v>
      </c>
      <c r="I48" s="108" t="e">
        <f>SUM(I33:I47)*I49*I50</f>
        <v>#REF!</v>
      </c>
    </row>
    <row r="49" spans="3:11">
      <c r="H49" s="98" t="s">
        <v>454</v>
      </c>
      <c r="I49">
        <f>+cows</f>
        <v>600</v>
      </c>
    </row>
    <row r="50" spans="3:11">
      <c r="H50" s="98" t="s">
        <v>455</v>
      </c>
      <c r="I50">
        <v>60</v>
      </c>
    </row>
    <row r="51" spans="3:11" ht="24">
      <c r="E51" s="100" t="s">
        <v>424</v>
      </c>
      <c r="F51" s="101" t="s">
        <v>425</v>
      </c>
      <c r="G51" s="102" t="s">
        <v>426</v>
      </c>
      <c r="H51" s="102" t="s">
        <v>427</v>
      </c>
      <c r="I51" s="102" t="s">
        <v>428</v>
      </c>
      <c r="J51" s="120" t="s">
        <v>491</v>
      </c>
      <c r="K51" s="119" t="s">
        <v>492</v>
      </c>
    </row>
    <row r="52" spans="3:11">
      <c r="C52" s="98" t="s">
        <v>458</v>
      </c>
    </row>
    <row r="53" spans="3:11">
      <c r="D53" t="s">
        <v>429</v>
      </c>
      <c r="E53">
        <v>35</v>
      </c>
      <c r="F53" s="116">
        <v>30.78</v>
      </c>
      <c r="G53" s="114">
        <f t="shared" ref="G53:G62" si="12">+F53/2000</f>
        <v>1.5390000000000001E-2</v>
      </c>
      <c r="H53">
        <v>7.1429999999999998</v>
      </c>
      <c r="I53" s="113">
        <f>H53*G53</f>
        <v>0.10993077</v>
      </c>
      <c r="J53" s="121">
        <f t="shared" ref="J53:J62" si="13">+H53*60/2000</f>
        <v>0.21428999999999998</v>
      </c>
      <c r="K53" s="2">
        <f t="shared" ref="K53:K62" si="14">+J53*lactations</f>
        <v>123.43104</v>
      </c>
    </row>
    <row r="54" spans="3:11">
      <c r="D54" t="s">
        <v>449</v>
      </c>
      <c r="E54">
        <v>32.28</v>
      </c>
      <c r="F54" s="116">
        <v>30.78</v>
      </c>
      <c r="G54" s="114">
        <f t="shared" si="12"/>
        <v>1.5390000000000001E-2</v>
      </c>
      <c r="H54">
        <v>29.12</v>
      </c>
      <c r="I54" s="113">
        <f t="shared" ref="I54:I62" si="15">H54*G54</f>
        <v>0.44815680000000002</v>
      </c>
      <c r="J54" s="121">
        <f t="shared" si="13"/>
        <v>0.87360000000000004</v>
      </c>
      <c r="K54" s="2">
        <f t="shared" si="14"/>
        <v>503.1936</v>
      </c>
    </row>
    <row r="55" spans="3:11">
      <c r="D55" t="s">
        <v>450</v>
      </c>
      <c r="E55">
        <v>92</v>
      </c>
      <c r="F55">
        <v>100</v>
      </c>
      <c r="G55" s="114">
        <f t="shared" si="12"/>
        <v>0.05</v>
      </c>
      <c r="H55">
        <v>4.891</v>
      </c>
      <c r="I55" s="113">
        <f t="shared" si="15"/>
        <v>0.24455000000000002</v>
      </c>
      <c r="J55" s="121">
        <f t="shared" si="13"/>
        <v>0.14673</v>
      </c>
      <c r="K55" s="2">
        <f t="shared" si="14"/>
        <v>84.516480000000001</v>
      </c>
    </row>
    <row r="56" spans="3:11">
      <c r="D56" t="s">
        <v>431</v>
      </c>
      <c r="E56">
        <v>24.5</v>
      </c>
      <c r="F56">
        <v>39</v>
      </c>
      <c r="G56" s="114">
        <f t="shared" si="12"/>
        <v>1.95E-2</v>
      </c>
      <c r="H56">
        <v>6.1219999999999999</v>
      </c>
      <c r="I56" s="113">
        <f t="shared" si="15"/>
        <v>0.119379</v>
      </c>
      <c r="J56" s="121">
        <f t="shared" si="13"/>
        <v>0.18365999999999999</v>
      </c>
      <c r="K56" s="2">
        <f t="shared" si="14"/>
        <v>105.78815999999999</v>
      </c>
    </row>
    <row r="57" spans="3:11">
      <c r="D57" t="s">
        <v>432</v>
      </c>
      <c r="E57">
        <v>88</v>
      </c>
      <c r="F57" s="112">
        <f>F37</f>
        <v>180</v>
      </c>
      <c r="G57" s="114">
        <f t="shared" si="12"/>
        <v>0.09</v>
      </c>
      <c r="H57">
        <v>2.2730000000000001</v>
      </c>
      <c r="I57" s="113">
        <f t="shared" si="15"/>
        <v>0.20457</v>
      </c>
      <c r="J57" s="121">
        <f t="shared" si="13"/>
        <v>6.8190000000000001E-2</v>
      </c>
      <c r="K57" s="2">
        <f t="shared" si="14"/>
        <v>39.277439999999999</v>
      </c>
    </row>
    <row r="58" spans="3:11">
      <c r="D58" t="s">
        <v>433</v>
      </c>
      <c r="E58">
        <v>91</v>
      </c>
      <c r="F58" s="112" t="e">
        <f>F38</f>
        <v>#REF!</v>
      </c>
      <c r="G58" s="114" t="e">
        <f t="shared" si="12"/>
        <v>#REF!</v>
      </c>
      <c r="H58">
        <v>1.6930000000000001</v>
      </c>
      <c r="I58" s="113" t="e">
        <f>H58*G58</f>
        <v>#REF!</v>
      </c>
      <c r="J58" s="121">
        <f t="shared" si="13"/>
        <v>5.0790000000000002E-2</v>
      </c>
      <c r="K58" s="2">
        <f t="shared" si="14"/>
        <v>29.255040000000001</v>
      </c>
    </row>
    <row r="59" spans="3:11">
      <c r="D59" t="s">
        <v>439</v>
      </c>
      <c r="E59">
        <v>99.5</v>
      </c>
      <c r="F59">
        <v>154</v>
      </c>
      <c r="G59" s="114">
        <f t="shared" si="12"/>
        <v>7.6999999999999999E-2</v>
      </c>
      <c r="H59">
        <v>0.10100000000000001</v>
      </c>
      <c r="I59" s="113">
        <f t="shared" si="15"/>
        <v>7.7770000000000001E-3</v>
      </c>
      <c r="J59" s="121">
        <f t="shared" si="13"/>
        <v>3.0300000000000001E-3</v>
      </c>
      <c r="K59" s="2">
        <f t="shared" si="14"/>
        <v>1.7452800000000002</v>
      </c>
    </row>
    <row r="60" spans="3:11">
      <c r="D60" t="s">
        <v>441</v>
      </c>
      <c r="E60">
        <v>99.5</v>
      </c>
      <c r="F60">
        <v>589</v>
      </c>
      <c r="G60" s="114">
        <f t="shared" si="12"/>
        <v>0.29449999999999998</v>
      </c>
      <c r="H60">
        <v>0.05</v>
      </c>
      <c r="I60" s="113">
        <f t="shared" si="15"/>
        <v>1.4725E-2</v>
      </c>
      <c r="J60" s="121">
        <f t="shared" si="13"/>
        <v>1.5E-3</v>
      </c>
      <c r="K60" s="2">
        <f t="shared" si="14"/>
        <v>0.86399999999999999</v>
      </c>
    </row>
    <row r="61" spans="3:11">
      <c r="D61" t="s">
        <v>442</v>
      </c>
      <c r="E61">
        <v>99.5</v>
      </c>
      <c r="F61">
        <v>225</v>
      </c>
      <c r="G61" s="114">
        <f t="shared" si="12"/>
        <v>0.1125</v>
      </c>
      <c r="H61">
        <v>0.05</v>
      </c>
      <c r="I61" s="113">
        <f t="shared" si="15"/>
        <v>5.6250000000000007E-3</v>
      </c>
      <c r="J61" s="121">
        <f t="shared" si="13"/>
        <v>1.5E-3</v>
      </c>
      <c r="K61" s="2">
        <f t="shared" si="14"/>
        <v>0.86399999999999999</v>
      </c>
    </row>
    <row r="62" spans="3:11">
      <c r="D62" t="s">
        <v>448</v>
      </c>
      <c r="E62">
        <v>99.5</v>
      </c>
      <c r="F62">
        <v>1895</v>
      </c>
      <c r="G62" s="114">
        <f t="shared" si="12"/>
        <v>0.94750000000000001</v>
      </c>
      <c r="H62">
        <v>0.01</v>
      </c>
      <c r="I62" s="113">
        <f t="shared" si="15"/>
        <v>9.4750000000000008E-3</v>
      </c>
      <c r="J62" s="121">
        <f t="shared" si="13"/>
        <v>2.9999999999999997E-4</v>
      </c>
      <c r="K62" s="2">
        <f t="shared" si="14"/>
        <v>0.17279999999999998</v>
      </c>
    </row>
    <row r="63" spans="3:11">
      <c r="H63" s="98" t="s">
        <v>456</v>
      </c>
      <c r="I63" s="111" t="e">
        <f>SUM(I53:I62)*I64*I65</f>
        <v>#REF!</v>
      </c>
    </row>
    <row r="64" spans="3:11">
      <c r="H64" s="98" t="s">
        <v>454</v>
      </c>
      <c r="I64" s="2">
        <f>+Main!G99</f>
        <v>177.60000000000002</v>
      </c>
    </row>
    <row r="65" spans="3:11">
      <c r="H65" s="98" t="s">
        <v>455</v>
      </c>
      <c r="I65">
        <v>270</v>
      </c>
    </row>
    <row r="67" spans="3:11">
      <c r="C67" s="98" t="s">
        <v>457</v>
      </c>
    </row>
    <row r="68" spans="3:11">
      <c r="D68" s="103" t="s">
        <v>429</v>
      </c>
      <c r="E68" s="104">
        <v>35</v>
      </c>
      <c r="F68" s="116">
        <v>30.78</v>
      </c>
      <c r="G68" s="114">
        <f t="shared" ref="G68:G76" si="16">+F68/2000</f>
        <v>1.5390000000000001E-2</v>
      </c>
      <c r="H68" s="105">
        <v>14.286</v>
      </c>
      <c r="I68" s="105">
        <f>H68*G68</f>
        <v>0.21986153999999999</v>
      </c>
      <c r="J68" s="121">
        <f t="shared" ref="J68:J76" si="17">+H68*60/2000</f>
        <v>0.42857999999999996</v>
      </c>
      <c r="K68" s="2">
        <f t="shared" ref="K68:K76" si="18">+J68*lactations</f>
        <v>246.86207999999999</v>
      </c>
    </row>
    <row r="69" spans="3:11">
      <c r="D69" s="103" t="s">
        <v>450</v>
      </c>
      <c r="E69" s="104">
        <v>92</v>
      </c>
      <c r="F69" s="103">
        <v>100</v>
      </c>
      <c r="G69" s="114">
        <f t="shared" si="16"/>
        <v>0.05</v>
      </c>
      <c r="H69" s="105">
        <v>2.2719999999999998</v>
      </c>
      <c r="I69" s="105">
        <f t="shared" ref="I69:I76" si="19">H69*G69</f>
        <v>0.11359999999999999</v>
      </c>
      <c r="J69" s="121">
        <f t="shared" si="17"/>
        <v>6.8159999999999998E-2</v>
      </c>
      <c r="K69" s="2">
        <f t="shared" si="18"/>
        <v>39.260159999999999</v>
      </c>
    </row>
    <row r="70" spans="3:11">
      <c r="D70" s="103" t="s">
        <v>432</v>
      </c>
      <c r="E70" s="104">
        <v>88</v>
      </c>
      <c r="F70" s="109">
        <f>F37</f>
        <v>180</v>
      </c>
      <c r="G70" s="114">
        <f t="shared" si="16"/>
        <v>0.09</v>
      </c>
      <c r="H70" s="105">
        <v>1.3640000000000001</v>
      </c>
      <c r="I70" s="105">
        <f t="shared" si="19"/>
        <v>0.12276000000000001</v>
      </c>
      <c r="J70" s="121">
        <f t="shared" si="17"/>
        <v>4.0920000000000005E-2</v>
      </c>
      <c r="K70" s="2">
        <f t="shared" si="18"/>
        <v>23.569920000000003</v>
      </c>
    </row>
    <row r="71" spans="3:11">
      <c r="D71" s="103" t="s">
        <v>433</v>
      </c>
      <c r="E71" s="104">
        <v>91</v>
      </c>
      <c r="F71" s="109" t="e">
        <f>F38</f>
        <v>#REF!</v>
      </c>
      <c r="G71" s="114" t="e">
        <f t="shared" si="16"/>
        <v>#REF!</v>
      </c>
      <c r="H71" s="105">
        <v>1.978</v>
      </c>
      <c r="I71" s="105" t="e">
        <f t="shared" si="19"/>
        <v>#REF!</v>
      </c>
      <c r="J71" s="121">
        <f t="shared" si="17"/>
        <v>5.9339999999999997E-2</v>
      </c>
      <c r="K71" s="2">
        <f t="shared" si="18"/>
        <v>34.179839999999999</v>
      </c>
    </row>
    <row r="72" spans="3:11">
      <c r="D72" s="103" t="s">
        <v>435</v>
      </c>
      <c r="E72" s="104">
        <v>89.7</v>
      </c>
      <c r="F72" s="109" t="e">
        <f>F39</f>
        <v>#REF!</v>
      </c>
      <c r="G72" s="114" t="e">
        <f t="shared" si="16"/>
        <v>#REF!</v>
      </c>
      <c r="H72" s="105">
        <v>2.0070000000000001</v>
      </c>
      <c r="I72" s="105" t="e">
        <f t="shared" si="19"/>
        <v>#REF!</v>
      </c>
      <c r="J72" s="121">
        <f t="shared" si="17"/>
        <v>6.021E-2</v>
      </c>
      <c r="K72" s="2">
        <f t="shared" si="18"/>
        <v>34.680959999999999</v>
      </c>
    </row>
    <row r="73" spans="3:11">
      <c r="D73" s="103" t="s">
        <v>436</v>
      </c>
      <c r="E73" s="104">
        <v>90</v>
      </c>
      <c r="F73" s="109">
        <f>F41</f>
        <v>350</v>
      </c>
      <c r="G73" s="114">
        <f t="shared" si="16"/>
        <v>0.17499999999999999</v>
      </c>
      <c r="H73" s="105">
        <v>0.27800000000000002</v>
      </c>
      <c r="I73" s="105">
        <f t="shared" si="19"/>
        <v>4.8649999999999999E-2</v>
      </c>
      <c r="J73" s="121">
        <f t="shared" si="17"/>
        <v>8.3400000000000002E-3</v>
      </c>
      <c r="K73" s="2">
        <f t="shared" si="18"/>
        <v>4.8038400000000001</v>
      </c>
    </row>
    <row r="74" spans="3:11">
      <c r="D74" s="103" t="s">
        <v>439</v>
      </c>
      <c r="E74" s="104">
        <v>99.5</v>
      </c>
      <c r="F74" s="103">
        <v>154</v>
      </c>
      <c r="G74" s="114">
        <f t="shared" si="16"/>
        <v>7.6999999999999999E-2</v>
      </c>
      <c r="H74" s="105">
        <v>0.10100000000000001</v>
      </c>
      <c r="I74" s="105">
        <f>H74*G74</f>
        <v>7.7770000000000001E-3</v>
      </c>
      <c r="J74" s="121">
        <f t="shared" si="17"/>
        <v>3.0300000000000001E-3</v>
      </c>
      <c r="K74" s="2">
        <f t="shared" si="18"/>
        <v>1.7452800000000002</v>
      </c>
    </row>
    <row r="75" spans="3:11">
      <c r="D75" s="103" t="s">
        <v>442</v>
      </c>
      <c r="E75" s="104">
        <v>99.5</v>
      </c>
      <c r="F75" s="103">
        <v>225</v>
      </c>
      <c r="G75" s="114">
        <f t="shared" si="16"/>
        <v>0.1125</v>
      </c>
      <c r="H75" s="105">
        <v>0.05</v>
      </c>
      <c r="I75" s="105">
        <f t="shared" si="19"/>
        <v>5.6250000000000007E-3</v>
      </c>
      <c r="J75" s="121">
        <f t="shared" si="17"/>
        <v>1.5E-3</v>
      </c>
      <c r="K75" s="2">
        <f t="shared" si="18"/>
        <v>0.86399999999999999</v>
      </c>
    </row>
    <row r="76" spans="3:11">
      <c r="D76" s="103" t="s">
        <v>448</v>
      </c>
      <c r="E76" s="104">
        <v>99.5</v>
      </c>
      <c r="F76" s="103">
        <v>1895</v>
      </c>
      <c r="G76" s="114">
        <f t="shared" si="16"/>
        <v>0.94750000000000001</v>
      </c>
      <c r="H76" s="105">
        <v>6.0000000000000001E-3</v>
      </c>
      <c r="I76" s="105">
        <f t="shared" si="19"/>
        <v>5.6849999999999999E-3</v>
      </c>
      <c r="J76" s="121">
        <f t="shared" si="17"/>
        <v>1.7999999999999998E-4</v>
      </c>
      <c r="K76" s="2">
        <f t="shared" si="18"/>
        <v>0.10367999999999999</v>
      </c>
    </row>
    <row r="77" spans="3:11">
      <c r="H77" s="107" t="s">
        <v>456</v>
      </c>
      <c r="I77" s="108" t="e">
        <f>SUM(I68:I76)*I78*I79</f>
        <v>#REF!</v>
      </c>
      <c r="J77" t="e">
        <f>+I77/I78/I79</f>
        <v>#REF!</v>
      </c>
    </row>
    <row r="78" spans="3:11">
      <c r="H78" s="98" t="s">
        <v>454</v>
      </c>
      <c r="I78" s="2">
        <f>+Main!G99</f>
        <v>177.60000000000002</v>
      </c>
    </row>
    <row r="79" spans="3:11">
      <c r="H79" s="98" t="s">
        <v>455</v>
      </c>
      <c r="I79">
        <v>365</v>
      </c>
    </row>
    <row r="81" spans="3:11">
      <c r="C81" s="98" t="s">
        <v>97</v>
      </c>
    </row>
    <row r="82" spans="3:11">
      <c r="D82" t="s">
        <v>459</v>
      </c>
      <c r="E82">
        <v>95</v>
      </c>
      <c r="F82">
        <v>80</v>
      </c>
      <c r="G82" s="114">
        <f>+F82/50</f>
        <v>1.6</v>
      </c>
      <c r="H82">
        <v>1.8</v>
      </c>
      <c r="I82">
        <f>H82*G82</f>
        <v>2.8800000000000003</v>
      </c>
      <c r="J82" s="121">
        <f t="shared" ref="J82:J83" si="20">+H82*60/2000</f>
        <v>5.3999999999999999E-2</v>
      </c>
      <c r="K82" s="2">
        <f>+J82*lactations</f>
        <v>31.103999999999999</v>
      </c>
    </row>
    <row r="83" spans="3:11">
      <c r="D83" t="s">
        <v>460</v>
      </c>
      <c r="E83">
        <v>90</v>
      </c>
      <c r="F83">
        <v>550</v>
      </c>
      <c r="G83" s="114">
        <f>+F83/2000</f>
        <v>0.27500000000000002</v>
      </c>
      <c r="H83">
        <v>1</v>
      </c>
      <c r="I83">
        <f>H83*G83</f>
        <v>0.27500000000000002</v>
      </c>
      <c r="J83" s="121">
        <f t="shared" si="20"/>
        <v>0.03</v>
      </c>
      <c r="K83" s="2">
        <f>+J83*lactations</f>
        <v>17.28</v>
      </c>
    </row>
    <row r="84" spans="3:11">
      <c r="H84" s="98" t="s">
        <v>456</v>
      </c>
      <c r="I84" s="111">
        <f>SUM(I82:I83)*I85*I86</f>
        <v>53004.000000000007</v>
      </c>
      <c r="J84">
        <f>+I84/I85/I86</f>
        <v>3.1550000000000007</v>
      </c>
    </row>
    <row r="85" spans="3:11">
      <c r="H85" s="98" t="s">
        <v>454</v>
      </c>
      <c r="I85">
        <f>+cows*0.5</f>
        <v>300</v>
      </c>
    </row>
    <row r="86" spans="3:11">
      <c r="H86" s="98" t="s">
        <v>455</v>
      </c>
      <c r="I86">
        <v>56</v>
      </c>
    </row>
  </sheetData>
  <phoneticPr fontId="19" type="noConversion"/>
  <pageMargins left="0.75" right="0.75" top="1" bottom="1" header="0.5" footer="0.5"/>
  <headerFooter alignWithMargins="0"/>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B1:AA73"/>
  <sheetViews>
    <sheetView topLeftCell="A21" workbookViewId="0">
      <selection activeCell="L51" sqref="L51"/>
    </sheetView>
  </sheetViews>
  <sheetFormatPr baseColWidth="10" defaultColWidth="8.83203125" defaultRowHeight="12" x14ac:dyDescent="0"/>
  <cols>
    <col min="1" max="1" width="4.5" customWidth="1"/>
    <col min="2" max="2" width="6.1640625" customWidth="1"/>
    <col min="3" max="3" width="17.5" customWidth="1"/>
    <col min="4" max="4" width="12.83203125" customWidth="1"/>
    <col min="5" max="5" width="10.1640625" customWidth="1"/>
    <col min="6" max="6" width="11.1640625" customWidth="1"/>
    <col min="7" max="7" width="10.1640625" customWidth="1"/>
    <col min="8" max="8" width="11.1640625" customWidth="1"/>
    <col min="9" max="9" width="12.1640625" customWidth="1"/>
    <col min="10" max="10" width="11.1640625" customWidth="1"/>
    <col min="11" max="11" width="16.83203125" customWidth="1"/>
    <col min="12" max="12" width="11.1640625" customWidth="1"/>
    <col min="27" max="27" width="9.5" bestFit="1" customWidth="1"/>
  </cols>
  <sheetData>
    <row r="1" spans="2:13">
      <c r="E1" s="30"/>
    </row>
    <row r="3" spans="2:13">
      <c r="B3" s="7" t="s">
        <v>109</v>
      </c>
      <c r="C3" s="7"/>
      <c r="D3" s="5"/>
      <c r="E3" s="5"/>
      <c r="F3" s="7"/>
      <c r="G3" s="5"/>
      <c r="H3" s="7"/>
      <c r="I3" s="7"/>
      <c r="J3" s="7"/>
      <c r="K3" s="7"/>
      <c r="L3" s="7"/>
    </row>
    <row r="4" spans="2:13">
      <c r="L4" s="20" t="s">
        <v>15</v>
      </c>
    </row>
    <row r="5" spans="2:13">
      <c r="B5" s="8"/>
      <c r="C5" s="15"/>
      <c r="D5" s="16"/>
      <c r="E5" s="12"/>
      <c r="F5" s="12" t="s">
        <v>94</v>
      </c>
      <c r="G5" s="25" t="s">
        <v>110</v>
      </c>
      <c r="H5" s="12" t="s">
        <v>358</v>
      </c>
      <c r="I5" s="12" t="s">
        <v>11</v>
      </c>
      <c r="J5" s="12" t="s">
        <v>111</v>
      </c>
      <c r="K5" s="12" t="s">
        <v>112</v>
      </c>
      <c r="L5" s="12" t="s">
        <v>113</v>
      </c>
    </row>
    <row r="6" spans="2:13">
      <c r="B6" s="6" t="s">
        <v>114</v>
      </c>
      <c r="C6" s="10"/>
      <c r="D6" s="17"/>
      <c r="E6" s="13" t="s">
        <v>95</v>
      </c>
      <c r="F6" s="13" t="s">
        <v>96</v>
      </c>
      <c r="G6" s="26" t="s">
        <v>115</v>
      </c>
      <c r="H6" s="13" t="s">
        <v>116</v>
      </c>
      <c r="I6" s="13" t="s">
        <v>116</v>
      </c>
      <c r="J6" s="13" t="s">
        <v>117</v>
      </c>
      <c r="K6" s="13" t="s">
        <v>116</v>
      </c>
      <c r="L6" s="13" t="s">
        <v>118</v>
      </c>
    </row>
    <row r="7" spans="2:13">
      <c r="M7" s="1" t="s">
        <v>15</v>
      </c>
    </row>
    <row r="8" spans="2:13">
      <c r="B8" s="539" t="s">
        <v>119</v>
      </c>
      <c r="C8" s="539"/>
    </row>
    <row r="9" spans="2:13">
      <c r="B9" t="s">
        <v>23</v>
      </c>
      <c r="E9" s="2">
        <f>Main!H15</f>
        <v>600</v>
      </c>
      <c r="F9" s="33">
        <f>Fixed_Cost!F6</f>
        <v>2250</v>
      </c>
      <c r="G9" s="34">
        <f>E9*F9</f>
        <v>1350000</v>
      </c>
      <c r="H9" s="23">
        <v>0.5</v>
      </c>
      <c r="I9" s="41">
        <f>+H9*G9</f>
        <v>675000</v>
      </c>
      <c r="J9" s="24">
        <v>9.5000000000000001E-2</v>
      </c>
      <c r="K9" s="19">
        <v>7</v>
      </c>
      <c r="L9" s="31">
        <f>PMT(J9,K9,-I9)</f>
        <v>136374.3199733973</v>
      </c>
    </row>
    <row r="10" spans="2:13">
      <c r="B10" t="s">
        <v>8</v>
      </c>
      <c r="E10" s="2">
        <f>(Main!H17*0.5)*(1-Main!H26)</f>
        <v>253.44</v>
      </c>
      <c r="F10" s="33">
        <f>Fixed_Cost!F7</f>
        <v>2500</v>
      </c>
      <c r="G10" s="34">
        <f>E10*F10</f>
        <v>633600</v>
      </c>
      <c r="H10" s="23">
        <f>H9</f>
        <v>0.5</v>
      </c>
      <c r="I10" s="41">
        <f>+H10*G10</f>
        <v>316800</v>
      </c>
      <c r="J10" s="24">
        <f>J9</f>
        <v>9.5000000000000001E-2</v>
      </c>
      <c r="K10" s="19">
        <f>K9</f>
        <v>7</v>
      </c>
      <c r="L10" s="31">
        <f>PMT(J10,K10,-I10)</f>
        <v>64005.014174181131</v>
      </c>
    </row>
    <row r="11" spans="2:13">
      <c r="B11" t="s">
        <v>8</v>
      </c>
      <c r="E11" s="2">
        <f>(Main!H17*0.5)*(1-Main!H26)</f>
        <v>253.44</v>
      </c>
      <c r="F11" s="33">
        <f>Fixed_Cost!F8</f>
        <v>1350</v>
      </c>
      <c r="G11" s="34">
        <f>E11*F11</f>
        <v>342144</v>
      </c>
      <c r="H11" s="23">
        <f>H9</f>
        <v>0.5</v>
      </c>
      <c r="I11" s="41">
        <f>+H11*G11</f>
        <v>171072</v>
      </c>
      <c r="J11" s="24">
        <f>J9</f>
        <v>9.5000000000000001E-2</v>
      </c>
      <c r="K11" s="19">
        <f>K9</f>
        <v>7</v>
      </c>
      <c r="L11" s="31">
        <f>PMT(J11,K11,-I11)</f>
        <v>34562.707654057813</v>
      </c>
    </row>
    <row r="12" spans="2:13" ht="13" thickBot="1">
      <c r="B12" t="s">
        <v>97</v>
      </c>
      <c r="E12" s="2">
        <f>(Main!H17*0.5)*(1-Main!H26*0.67)</f>
        <v>264.84479999999996</v>
      </c>
      <c r="F12" s="33">
        <f>Fixed_Cost!F9</f>
        <v>850</v>
      </c>
      <c r="G12" s="77">
        <f>E12*F12</f>
        <v>225118.07999999996</v>
      </c>
      <c r="H12" s="23">
        <f>H9</f>
        <v>0.5</v>
      </c>
      <c r="I12" s="41">
        <f>+H12*G12</f>
        <v>112559.03999999998</v>
      </c>
      <c r="J12" s="24">
        <f>J9</f>
        <v>9.5000000000000001E-2</v>
      </c>
      <c r="K12" s="19">
        <f>K9</f>
        <v>7</v>
      </c>
      <c r="L12" s="31">
        <f>PMT(J12,K12,-I12)</f>
        <v>22740.981536086554</v>
      </c>
    </row>
    <row r="13" spans="2:13" ht="13" thickBot="1">
      <c r="B13" s="540" t="s">
        <v>336</v>
      </c>
      <c r="C13" s="541"/>
      <c r="D13" s="71"/>
      <c r="E13" s="71"/>
      <c r="F13" s="78"/>
      <c r="G13" s="78">
        <f>SUM(G9:G12)</f>
        <v>2550862.08</v>
      </c>
      <c r="H13" s="79"/>
      <c r="I13" s="78">
        <f>SUM(I9:I12)</f>
        <v>1275431.04</v>
      </c>
      <c r="J13" s="71"/>
      <c r="K13" s="79"/>
    </row>
    <row r="14" spans="2:13">
      <c r="B14" s="4"/>
      <c r="C14" s="4"/>
      <c r="D14" s="4"/>
      <c r="E14" s="4"/>
      <c r="F14" s="4"/>
      <c r="G14" s="4"/>
      <c r="H14" s="4"/>
      <c r="I14" s="4"/>
      <c r="J14" s="4"/>
      <c r="K14" s="4"/>
      <c r="L14" s="4"/>
    </row>
    <row r="15" spans="2:13">
      <c r="B15" s="539" t="s">
        <v>120</v>
      </c>
      <c r="C15" s="539"/>
      <c r="G15" s="19"/>
      <c r="H15" s="19"/>
      <c r="I15" s="19"/>
      <c r="K15" s="19"/>
      <c r="L15" s="19"/>
    </row>
    <row r="16" spans="2:13">
      <c r="B16" t="s">
        <v>121</v>
      </c>
      <c r="E16" s="2" t="s">
        <v>15</v>
      </c>
      <c r="F16" s="31" t="s">
        <v>15</v>
      </c>
      <c r="G16" s="31">
        <f>IF(Main!H15&lt;600,180000,300*Main!H15)</f>
        <v>180000</v>
      </c>
      <c r="H16" s="23">
        <f>H9</f>
        <v>0.5</v>
      </c>
      <c r="I16" s="41">
        <f t="shared" ref="I16:I27" si="0">+H16*G16</f>
        <v>90000</v>
      </c>
      <c r="J16" s="24">
        <f>J9</f>
        <v>9.5000000000000001E-2</v>
      </c>
      <c r="K16" s="19">
        <v>30</v>
      </c>
      <c r="L16" s="31">
        <f t="shared" ref="L16:L27" si="1">PMT(J16,K16,-I16)</f>
        <v>9151.2526008276709</v>
      </c>
    </row>
    <row r="17" spans="2:12">
      <c r="B17" t="s">
        <v>106</v>
      </c>
      <c r="E17" s="2" t="s">
        <v>15</v>
      </c>
      <c r="F17" s="31" t="s">
        <v>15</v>
      </c>
      <c r="G17" s="31">
        <f>IF(Main!H15&lt;600,29000,110*(Fixed_Cost!E9+Fixed_Cost!E8))</f>
        <v>0</v>
      </c>
      <c r="H17" s="23">
        <f>H16</f>
        <v>0.5</v>
      </c>
      <c r="I17" s="41">
        <f t="shared" si="0"/>
        <v>0</v>
      </c>
      <c r="J17" s="24">
        <f>J16</f>
        <v>9.5000000000000001E-2</v>
      </c>
      <c r="K17" s="19">
        <f>K16</f>
        <v>30</v>
      </c>
      <c r="L17" s="31">
        <f t="shared" si="1"/>
        <v>0</v>
      </c>
    </row>
    <row r="18" spans="2:12">
      <c r="B18" t="s">
        <v>99</v>
      </c>
      <c r="F18" s="34"/>
      <c r="G18" s="31">
        <f>IF(Main!H15&lt;600,360000,600*Main!H15)</f>
        <v>360000</v>
      </c>
      <c r="H18" s="23">
        <f>H16</f>
        <v>0.5</v>
      </c>
      <c r="I18" s="41">
        <f t="shared" si="0"/>
        <v>180000</v>
      </c>
      <c r="J18" s="24">
        <f>J16</f>
        <v>9.5000000000000001E-2</v>
      </c>
      <c r="K18" s="19">
        <f>K16</f>
        <v>30</v>
      </c>
      <c r="L18" s="31">
        <f t="shared" si="1"/>
        <v>18302.505201655342</v>
      </c>
    </row>
    <row r="19" spans="2:12">
      <c r="B19" t="s">
        <v>102</v>
      </c>
      <c r="F19" s="34"/>
      <c r="G19" s="31">
        <f>IF(Main!H15&lt;600,24000,40*Main!H15)</f>
        <v>24000</v>
      </c>
      <c r="H19" s="23">
        <f>H16</f>
        <v>0.5</v>
      </c>
      <c r="I19" s="41">
        <f t="shared" si="0"/>
        <v>12000</v>
      </c>
      <c r="J19" s="24">
        <f>J16</f>
        <v>9.5000000000000001E-2</v>
      </c>
      <c r="K19" s="19">
        <f>K16</f>
        <v>30</v>
      </c>
      <c r="L19" s="31">
        <f t="shared" si="1"/>
        <v>1220.1670134436895</v>
      </c>
    </row>
    <row r="20" spans="2:12">
      <c r="B20" t="s">
        <v>105</v>
      </c>
      <c r="F20" s="34"/>
      <c r="G20" s="31">
        <f>IF(Main!H15&lt;600,15000,25*Main!H15)</f>
        <v>15000</v>
      </c>
      <c r="H20" s="23">
        <f>H16</f>
        <v>0.5</v>
      </c>
      <c r="I20" s="41">
        <f t="shared" si="0"/>
        <v>7500</v>
      </c>
      <c r="J20" s="24">
        <f>J16</f>
        <v>9.5000000000000001E-2</v>
      </c>
      <c r="K20" s="19">
        <f>K16</f>
        <v>30</v>
      </c>
      <c r="L20" s="31">
        <f t="shared" si="1"/>
        <v>762.60438340230587</v>
      </c>
    </row>
    <row r="21" spans="2:12">
      <c r="B21" t="s">
        <v>122</v>
      </c>
      <c r="F21" s="34"/>
      <c r="G21" s="31">
        <f>IF(Main!H15&lt;600,90000,150*Main!H15)</f>
        <v>90000</v>
      </c>
      <c r="H21" s="23">
        <f>H16</f>
        <v>0.5</v>
      </c>
      <c r="I21" s="41">
        <f t="shared" si="0"/>
        <v>45000</v>
      </c>
      <c r="J21" s="24">
        <f>J16</f>
        <v>9.5000000000000001E-2</v>
      </c>
      <c r="K21" s="19">
        <f>K16</f>
        <v>30</v>
      </c>
      <c r="L21" s="31">
        <f t="shared" si="1"/>
        <v>4575.6263004138355</v>
      </c>
    </row>
    <row r="22" spans="2:12">
      <c r="B22" t="s">
        <v>98</v>
      </c>
      <c r="F22" s="3" t="s">
        <v>15</v>
      </c>
      <c r="G22" s="31">
        <f>IF(Main!H15&lt;600,60000,100*Main!H15)</f>
        <v>60000</v>
      </c>
      <c r="H22" s="23">
        <f>H9</f>
        <v>0.5</v>
      </c>
      <c r="I22" s="41">
        <f t="shared" si="0"/>
        <v>30000</v>
      </c>
      <c r="J22" s="24">
        <f>J9</f>
        <v>9.5000000000000001E-2</v>
      </c>
      <c r="K22" s="19">
        <v>30</v>
      </c>
      <c r="L22" s="31">
        <f t="shared" si="1"/>
        <v>3050.4175336092235</v>
      </c>
    </row>
    <row r="23" spans="2:12">
      <c r="B23" t="s">
        <v>100</v>
      </c>
      <c r="E23" s="2" t="s">
        <v>15</v>
      </c>
      <c r="F23" s="3" t="s">
        <v>15</v>
      </c>
      <c r="G23" s="31">
        <f>IF(Main!H15&lt;600,51000,85*Main!H15)</f>
        <v>51000</v>
      </c>
      <c r="H23" s="23">
        <f>H22</f>
        <v>0.5</v>
      </c>
      <c r="I23" s="41">
        <f t="shared" si="0"/>
        <v>25500</v>
      </c>
      <c r="J23" s="24">
        <f>J22</f>
        <v>9.5000000000000001E-2</v>
      </c>
      <c r="K23" s="19">
        <f>K22</f>
        <v>30</v>
      </c>
      <c r="L23" s="31">
        <f t="shared" si="1"/>
        <v>2592.8549035678398</v>
      </c>
    </row>
    <row r="24" spans="2:12">
      <c r="B24" t="s">
        <v>320</v>
      </c>
      <c r="E24" s="2" t="s">
        <v>15</v>
      </c>
      <c r="F24" s="3" t="s">
        <v>15</v>
      </c>
      <c r="G24" s="31">
        <f>IF(Main!H15&lt;600,10000,16.666666*Main!H15)</f>
        <v>9999.9995999999992</v>
      </c>
      <c r="H24" s="23">
        <f>H22</f>
        <v>0.5</v>
      </c>
      <c r="I24" s="41">
        <f t="shared" si="0"/>
        <v>4999.9997999999996</v>
      </c>
      <c r="J24" s="24">
        <f>J22</f>
        <v>9.5000000000000001E-2</v>
      </c>
      <c r="K24" s="19">
        <f>K22</f>
        <v>30</v>
      </c>
      <c r="L24" s="31">
        <f t="shared" si="1"/>
        <v>508.40290193208699</v>
      </c>
    </row>
    <row r="25" spans="2:12">
      <c r="B25" t="s">
        <v>101</v>
      </c>
      <c r="E25" s="22"/>
      <c r="F25" s="3" t="s">
        <v>15</v>
      </c>
      <c r="G25" s="31">
        <f>IF(Main!H15&lt;600,24000,40*Main!H15)</f>
        <v>24000</v>
      </c>
      <c r="H25" s="23">
        <f>H22</f>
        <v>0.5</v>
      </c>
      <c r="I25" s="41">
        <f t="shared" si="0"/>
        <v>12000</v>
      </c>
      <c r="J25" s="24">
        <f>J22</f>
        <v>9.5000000000000001E-2</v>
      </c>
      <c r="K25" s="19">
        <f>K22</f>
        <v>30</v>
      </c>
      <c r="L25" s="31">
        <f t="shared" si="1"/>
        <v>1220.1670134436895</v>
      </c>
    </row>
    <row r="26" spans="2:12">
      <c r="B26" t="s">
        <v>103</v>
      </c>
      <c r="E26" s="22"/>
      <c r="G26" s="31">
        <f>IF(Main!H15&lt;600,36000,60*Main!H15)</f>
        <v>36000</v>
      </c>
      <c r="H26" s="23">
        <f>H22</f>
        <v>0.5</v>
      </c>
      <c r="I26" s="41">
        <f t="shared" si="0"/>
        <v>18000</v>
      </c>
      <c r="J26" s="24">
        <f>J22</f>
        <v>9.5000000000000001E-2</v>
      </c>
      <c r="K26" s="19">
        <f>K22</f>
        <v>30</v>
      </c>
      <c r="L26" s="31">
        <f t="shared" si="1"/>
        <v>1830.250520165534</v>
      </c>
    </row>
    <row r="27" spans="2:12" ht="13" thickBot="1">
      <c r="B27" s="51" t="s">
        <v>104</v>
      </c>
      <c r="C27" s="51"/>
      <c r="D27" s="51"/>
      <c r="E27" s="52" t="s">
        <v>15</v>
      </c>
      <c r="F27" s="53" t="s">
        <v>15</v>
      </c>
      <c r="G27" s="40">
        <f>IF(Main!H15&lt;600,15000,25*Main!H15)</f>
        <v>15000</v>
      </c>
      <c r="H27" s="39">
        <f>H22</f>
        <v>0.5</v>
      </c>
      <c r="I27" s="56">
        <f t="shared" si="0"/>
        <v>7500</v>
      </c>
      <c r="J27" s="54">
        <f>J22</f>
        <v>9.5000000000000001E-2</v>
      </c>
      <c r="K27" s="38">
        <f>K22</f>
        <v>30</v>
      </c>
      <c r="L27" s="40">
        <f t="shared" si="1"/>
        <v>762.60438340230587</v>
      </c>
    </row>
    <row r="28" spans="2:12" ht="13" thickBot="1">
      <c r="B28" s="70" t="s">
        <v>359</v>
      </c>
      <c r="C28" s="71"/>
      <c r="D28" s="71"/>
      <c r="E28" s="72"/>
      <c r="F28" s="73"/>
      <c r="G28" s="69">
        <f>+SUM(G16:G27)</f>
        <v>864999.99959999998</v>
      </c>
      <c r="H28" s="74"/>
      <c r="I28" s="69">
        <f>+SUM(I16:I27)</f>
        <v>432499.99979999999</v>
      </c>
      <c r="J28" s="75"/>
      <c r="K28" s="76"/>
    </row>
    <row r="29" spans="2:12">
      <c r="E29" s="2"/>
      <c r="F29" s="3"/>
      <c r="G29" s="31"/>
      <c r="H29" s="23"/>
      <c r="I29" s="23"/>
      <c r="J29" s="24"/>
      <c r="K29" s="19"/>
      <c r="L29" s="31"/>
    </row>
    <row r="30" spans="2:12" s="1" customFormat="1">
      <c r="B30" s="539" t="s">
        <v>335</v>
      </c>
      <c r="C30" s="539"/>
      <c r="E30" s="42"/>
      <c r="F30" s="43"/>
      <c r="G30" s="44"/>
      <c r="H30" s="43"/>
      <c r="I30" s="43"/>
      <c r="J30" s="43"/>
    </row>
    <row r="31" spans="2:12" s="1" customFormat="1">
      <c r="B31" s="36" t="s">
        <v>101</v>
      </c>
      <c r="C31" s="36"/>
      <c r="F31" s="32"/>
      <c r="G31" s="31">
        <v>100000</v>
      </c>
      <c r="H31" s="23">
        <f t="shared" ref="H31:H41" si="2">H23</f>
        <v>0.5</v>
      </c>
      <c r="I31" s="41">
        <f t="shared" ref="I31:I41" si="3">+H31*G31</f>
        <v>50000</v>
      </c>
      <c r="J31" s="24">
        <f t="shared" ref="J31:J41" si="4">J23</f>
        <v>9.5000000000000001E-2</v>
      </c>
      <c r="K31" s="19">
        <v>10</v>
      </c>
      <c r="L31" s="31">
        <f t="shared" ref="L31:L41" si="5">PMT(J31,K31,-I31)</f>
        <v>7963.307583184911</v>
      </c>
    </row>
    <row r="32" spans="2:12" s="1" customFormat="1">
      <c r="B32" s="36" t="s">
        <v>350</v>
      </c>
      <c r="C32" s="36"/>
      <c r="F32" s="32"/>
      <c r="G32" s="31">
        <v>50000</v>
      </c>
      <c r="H32" s="23">
        <f t="shared" si="2"/>
        <v>0.5</v>
      </c>
      <c r="I32" s="41">
        <f t="shared" si="3"/>
        <v>25000</v>
      </c>
      <c r="J32" s="24">
        <f t="shared" si="4"/>
        <v>9.5000000000000001E-2</v>
      </c>
      <c r="K32" s="19">
        <v>10</v>
      </c>
      <c r="L32" s="31">
        <f t="shared" si="5"/>
        <v>3981.6537915924555</v>
      </c>
    </row>
    <row r="33" spans="2:12" s="1" customFormat="1">
      <c r="B33" s="36" t="s">
        <v>351</v>
      </c>
      <c r="C33" s="36"/>
      <c r="F33" s="32"/>
      <c r="G33" s="31">
        <v>5000</v>
      </c>
      <c r="H33" s="23">
        <f t="shared" si="2"/>
        <v>0.5</v>
      </c>
      <c r="I33" s="41">
        <f t="shared" si="3"/>
        <v>2500</v>
      </c>
      <c r="J33" s="24">
        <f t="shared" si="4"/>
        <v>9.5000000000000001E-2</v>
      </c>
      <c r="K33" s="19">
        <v>10</v>
      </c>
      <c r="L33" s="31">
        <f t="shared" si="5"/>
        <v>398.16537915924556</v>
      </c>
    </row>
    <row r="34" spans="2:12" s="1" customFormat="1">
      <c r="B34" s="36" t="s">
        <v>352</v>
      </c>
      <c r="C34" s="36"/>
      <c r="F34" s="32"/>
      <c r="G34" s="31">
        <v>75000</v>
      </c>
      <c r="H34" s="23">
        <f t="shared" si="2"/>
        <v>0.5</v>
      </c>
      <c r="I34" s="41">
        <f t="shared" si="3"/>
        <v>37500</v>
      </c>
      <c r="J34" s="24">
        <f t="shared" si="4"/>
        <v>9.5000000000000001E-2</v>
      </c>
      <c r="K34" s="19">
        <v>10</v>
      </c>
      <c r="L34" s="31">
        <f t="shared" si="5"/>
        <v>5972.4806873886828</v>
      </c>
    </row>
    <row r="35" spans="2:12" s="1" customFormat="1">
      <c r="B35" s="36" t="s">
        <v>353</v>
      </c>
      <c r="C35" s="36"/>
      <c r="E35" s="19" t="s">
        <v>15</v>
      </c>
      <c r="F35" s="31" t="s">
        <v>15</v>
      </c>
      <c r="G35" s="31">
        <v>15000</v>
      </c>
      <c r="H35" s="23">
        <f t="shared" si="2"/>
        <v>0.5</v>
      </c>
      <c r="I35" s="41">
        <f t="shared" si="3"/>
        <v>7500</v>
      </c>
      <c r="J35" s="24">
        <f t="shared" si="4"/>
        <v>9.5000000000000001E-2</v>
      </c>
      <c r="K35" s="19">
        <v>10</v>
      </c>
      <c r="L35" s="31">
        <f t="shared" si="5"/>
        <v>1194.4961374777365</v>
      </c>
    </row>
    <row r="36" spans="2:12" s="1" customFormat="1">
      <c r="B36" s="36" t="s">
        <v>354</v>
      </c>
      <c r="C36" s="36"/>
      <c r="E36" s="19" t="s">
        <v>15</v>
      </c>
      <c r="F36" s="31" t="s">
        <v>15</v>
      </c>
      <c r="G36" s="31">
        <v>20000</v>
      </c>
      <c r="H36" s="23">
        <f t="shared" si="2"/>
        <v>0</v>
      </c>
      <c r="I36" s="41">
        <f t="shared" si="3"/>
        <v>0</v>
      </c>
      <c r="J36" s="24">
        <f t="shared" si="4"/>
        <v>0</v>
      </c>
      <c r="K36" s="19">
        <v>10</v>
      </c>
      <c r="L36" s="31">
        <f t="shared" si="5"/>
        <v>0</v>
      </c>
    </row>
    <row r="37" spans="2:12" s="1" customFormat="1">
      <c r="B37" s="36" t="s">
        <v>348</v>
      </c>
      <c r="C37" s="36"/>
      <c r="E37" s="19" t="s">
        <v>15</v>
      </c>
      <c r="F37" s="31" t="s">
        <v>15</v>
      </c>
      <c r="G37" s="31">
        <v>0</v>
      </c>
      <c r="H37" s="23">
        <f t="shared" si="2"/>
        <v>0</v>
      </c>
      <c r="I37" s="41">
        <f t="shared" si="3"/>
        <v>0</v>
      </c>
      <c r="J37" s="24">
        <f t="shared" si="4"/>
        <v>0</v>
      </c>
      <c r="K37" s="19">
        <v>10</v>
      </c>
      <c r="L37" s="31">
        <f t="shared" si="5"/>
        <v>0</v>
      </c>
    </row>
    <row r="38" spans="2:12" s="1" customFormat="1">
      <c r="B38" s="36" t="s">
        <v>348</v>
      </c>
      <c r="C38" s="36"/>
      <c r="E38" s="19"/>
      <c r="F38" s="32"/>
      <c r="G38" s="31">
        <v>0</v>
      </c>
      <c r="H38" s="23">
        <f t="shared" si="2"/>
        <v>0</v>
      </c>
      <c r="I38" s="41">
        <f t="shared" si="3"/>
        <v>0</v>
      </c>
      <c r="J38" s="24">
        <f t="shared" si="4"/>
        <v>0</v>
      </c>
      <c r="K38" s="19">
        <v>10</v>
      </c>
      <c r="L38" s="31">
        <f t="shared" si="5"/>
        <v>0</v>
      </c>
    </row>
    <row r="39" spans="2:12" s="1" customFormat="1">
      <c r="B39" s="36" t="s">
        <v>348</v>
      </c>
      <c r="C39" s="36"/>
      <c r="E39" s="19" t="s">
        <v>15</v>
      </c>
      <c r="F39" s="31" t="s">
        <v>15</v>
      </c>
      <c r="G39" s="31">
        <v>0</v>
      </c>
      <c r="H39" s="23">
        <f t="shared" si="2"/>
        <v>0.5</v>
      </c>
      <c r="I39" s="41">
        <f t="shared" si="3"/>
        <v>0</v>
      </c>
      <c r="J39" s="24">
        <f t="shared" si="4"/>
        <v>9.5000000000000001E-2</v>
      </c>
      <c r="K39" s="19">
        <v>10</v>
      </c>
      <c r="L39" s="31">
        <f t="shared" si="5"/>
        <v>0</v>
      </c>
    </row>
    <row r="40" spans="2:12" s="1" customFormat="1">
      <c r="B40" s="36" t="s">
        <v>348</v>
      </c>
      <c r="C40" s="36"/>
      <c r="F40" s="31" t="s">
        <v>15</v>
      </c>
      <c r="G40" s="31">
        <v>0</v>
      </c>
      <c r="H40" s="23">
        <f t="shared" si="2"/>
        <v>0.5</v>
      </c>
      <c r="I40" s="41">
        <f t="shared" si="3"/>
        <v>0</v>
      </c>
      <c r="J40" s="24">
        <f t="shared" si="4"/>
        <v>9.5000000000000001E-2</v>
      </c>
      <c r="K40" s="19">
        <v>10</v>
      </c>
      <c r="L40" s="31">
        <f t="shared" si="5"/>
        <v>0</v>
      </c>
    </row>
    <row r="41" spans="2:12" s="1" customFormat="1" ht="13" thickBot="1">
      <c r="B41" s="64" t="s">
        <v>348</v>
      </c>
      <c r="C41" s="64"/>
      <c r="D41" s="37"/>
      <c r="E41" s="37"/>
      <c r="F41" s="43" t="s">
        <v>15</v>
      </c>
      <c r="G41" s="43">
        <v>0</v>
      </c>
      <c r="H41" s="65">
        <f t="shared" si="2"/>
        <v>0.5</v>
      </c>
      <c r="I41" s="66">
        <f t="shared" si="3"/>
        <v>0</v>
      </c>
      <c r="J41" s="67">
        <f t="shared" si="4"/>
        <v>9.5000000000000001E-2</v>
      </c>
      <c r="K41" s="68">
        <v>10</v>
      </c>
      <c r="L41" s="43">
        <f t="shared" si="5"/>
        <v>0</v>
      </c>
    </row>
    <row r="42" spans="2:12" s="1" customFormat="1" ht="13" thickBot="1">
      <c r="B42" s="58" t="s">
        <v>349</v>
      </c>
      <c r="C42" s="59"/>
      <c r="D42" s="63"/>
      <c r="E42" s="60"/>
      <c r="F42" s="61"/>
      <c r="G42" s="69">
        <f>+SUM(G31:G41)</f>
        <v>265000</v>
      </c>
      <c r="H42" s="62"/>
      <c r="I42" s="62">
        <f>+SUM(I31:I41)</f>
        <v>122500</v>
      </c>
      <c r="J42" s="69"/>
      <c r="K42" s="63"/>
    </row>
    <row r="43" spans="2:12" s="1" customFormat="1">
      <c r="B43" s="45"/>
      <c r="C43" s="45"/>
      <c r="E43" s="46"/>
      <c r="F43" s="47"/>
      <c r="G43" s="48"/>
      <c r="H43" s="49"/>
      <c r="I43" s="50"/>
      <c r="J43" s="48"/>
      <c r="L43" s="32"/>
    </row>
    <row r="44" spans="2:12" s="1" customFormat="1">
      <c r="B44" s="45"/>
      <c r="C44" s="45"/>
      <c r="E44" s="46"/>
      <c r="F44" s="47"/>
      <c r="G44" s="48"/>
      <c r="H44" s="49"/>
      <c r="I44" s="50"/>
      <c r="J44" s="48"/>
      <c r="L44" s="32"/>
    </row>
    <row r="45" spans="2:12" s="1" customFormat="1">
      <c r="B45" s="83" t="s">
        <v>361</v>
      </c>
      <c r="C45" s="83"/>
      <c r="D45" s="83"/>
      <c r="E45" s="42"/>
      <c r="F45" s="43"/>
      <c r="G45" s="44"/>
      <c r="H45" s="43"/>
      <c r="I45" s="43"/>
      <c r="J45" s="43"/>
    </row>
    <row r="46" spans="2:12" ht="13" thickBot="1">
      <c r="B46" s="51" t="s">
        <v>319</v>
      </c>
      <c r="C46" s="51"/>
      <c r="D46" s="51"/>
      <c r="E46" s="51"/>
      <c r="F46" s="53" t="s">
        <v>15</v>
      </c>
      <c r="G46" s="55">
        <f>IF(Main!H15&lt;600,250000,416*Main!H15)</f>
        <v>249600</v>
      </c>
      <c r="H46" s="39">
        <f>H22</f>
        <v>0.5</v>
      </c>
      <c r="I46" s="56">
        <f>+H46*G46</f>
        <v>124800</v>
      </c>
      <c r="J46" s="54">
        <f>J22</f>
        <v>9.5000000000000001E-2</v>
      </c>
      <c r="K46" s="38">
        <f>K22</f>
        <v>30</v>
      </c>
      <c r="L46" s="40">
        <f>PMT(J46,K46,-I46)</f>
        <v>12689.736939814369</v>
      </c>
    </row>
    <row r="47" spans="2:12" ht="13" thickBot="1">
      <c r="B47" t="s">
        <v>107</v>
      </c>
      <c r="E47" s="2" t="s">
        <v>15</v>
      </c>
      <c r="F47" s="3" t="s">
        <v>15</v>
      </c>
      <c r="G47" s="31">
        <f>IF(Main!H15&lt;600,60000,100*Main!H15)</f>
        <v>60000</v>
      </c>
      <c r="H47" s="23">
        <f>H22</f>
        <v>0.5</v>
      </c>
      <c r="I47" s="41">
        <f>+H47*G47</f>
        <v>30000</v>
      </c>
      <c r="J47" s="24">
        <f>J22</f>
        <v>9.5000000000000001E-2</v>
      </c>
      <c r="K47" s="19">
        <f>K22</f>
        <v>30</v>
      </c>
      <c r="L47" s="31">
        <f>PMT(J47,K47,-I47)</f>
        <v>3050.4175336092235</v>
      </c>
    </row>
    <row r="48" spans="2:12">
      <c r="B48" s="84" t="s">
        <v>360</v>
      </c>
      <c r="C48" s="85"/>
      <c r="D48" s="85"/>
      <c r="E48" s="85"/>
      <c r="F48" s="85"/>
      <c r="G48" s="86">
        <f>+G47+G46</f>
        <v>309600</v>
      </c>
      <c r="H48" s="87"/>
      <c r="I48" s="87">
        <f>+I47+I46</f>
        <v>154800</v>
      </c>
      <c r="J48" s="85"/>
      <c r="K48" s="87"/>
    </row>
    <row r="49" spans="2:27" s="90" customFormat="1">
      <c r="B49" s="88"/>
      <c r="C49" s="88"/>
      <c r="D49" s="88"/>
      <c r="E49" s="88"/>
      <c r="F49" s="88"/>
      <c r="G49" s="89"/>
      <c r="H49" s="89"/>
      <c r="I49" s="89"/>
      <c r="J49" s="89"/>
      <c r="K49" s="89"/>
      <c r="L49" s="89"/>
    </row>
    <row r="50" spans="2:27" s="90" customFormat="1">
      <c r="B50" s="4"/>
      <c r="C50" s="4"/>
      <c r="D50" s="4"/>
      <c r="E50" s="4"/>
      <c r="F50" s="4"/>
      <c r="G50" s="4"/>
      <c r="H50" s="4"/>
      <c r="I50" s="4"/>
      <c r="J50" s="4"/>
      <c r="K50" s="4"/>
      <c r="L50" s="4"/>
    </row>
    <row r="51" spans="2:27" ht="13" thickBot="1">
      <c r="B51" s="91" t="s">
        <v>108</v>
      </c>
      <c r="C51" s="51"/>
      <c r="D51" s="51"/>
      <c r="E51" s="38">
        <f>+Fixed_Cost!E78</f>
        <v>0</v>
      </c>
      <c r="F51" s="40">
        <f>+Fixed_Cost!F78</f>
        <v>0</v>
      </c>
      <c r="G51" s="55">
        <f>E51*F51</f>
        <v>0</v>
      </c>
      <c r="H51" s="39">
        <f>H16</f>
        <v>0.5</v>
      </c>
      <c r="I51" s="56">
        <f>+H51*G51</f>
        <v>0</v>
      </c>
      <c r="J51" s="54">
        <f>J16</f>
        <v>9.5000000000000001E-2</v>
      </c>
      <c r="K51" s="38">
        <f>K16</f>
        <v>30</v>
      </c>
    </row>
    <row r="52" spans="2:27" ht="13" thickBot="1">
      <c r="B52" s="543" t="s">
        <v>362</v>
      </c>
      <c r="C52" s="544"/>
      <c r="D52" s="544"/>
      <c r="E52" s="544"/>
      <c r="F52" s="92"/>
      <c r="G52" s="92">
        <f>+G51+G48+G42+G28+G13</f>
        <v>3990462.0795999998</v>
      </c>
      <c r="H52" s="93"/>
      <c r="I52" s="92">
        <f>+I51+I48+I42+I28+I13</f>
        <v>1985231.0397999999</v>
      </c>
      <c r="J52" s="94"/>
      <c r="K52" s="93"/>
      <c r="L52" s="95">
        <f>+land_pmt+equip_pmt+WASTE_MGMT_PMT+facil_pmt+lvstk_pmt</f>
        <v>364362.71566441836</v>
      </c>
    </row>
    <row r="56" spans="2:27">
      <c r="B56" s="9" t="s">
        <v>124</v>
      </c>
      <c r="C56" s="14"/>
      <c r="D56" s="14"/>
      <c r="E56" s="14"/>
      <c r="F56" s="14"/>
      <c r="G56" s="14"/>
      <c r="H56" s="14"/>
      <c r="I56" s="14"/>
      <c r="J56" s="14"/>
    </row>
    <row r="57" spans="2:27">
      <c r="B57" t="s">
        <v>125</v>
      </c>
    </row>
    <row r="58" spans="2:27">
      <c r="B58" t="s">
        <v>126</v>
      </c>
    </row>
    <row r="59" spans="2:27">
      <c r="C59" s="9"/>
      <c r="D59" s="18"/>
      <c r="E59" s="16"/>
      <c r="F59" s="18" t="s">
        <v>111</v>
      </c>
      <c r="G59" s="16"/>
      <c r="H59" s="29"/>
      <c r="I59" s="11"/>
      <c r="J59" s="12" t="s">
        <v>127</v>
      </c>
    </row>
    <row r="60" spans="2:27">
      <c r="D60" s="28" t="s">
        <v>128</v>
      </c>
      <c r="E60" s="17"/>
      <c r="F60" s="28" t="s">
        <v>117</v>
      </c>
      <c r="G60" s="17"/>
      <c r="H60" s="28" t="s">
        <v>129</v>
      </c>
      <c r="I60" s="27"/>
      <c r="J60" s="13" t="s">
        <v>118</v>
      </c>
      <c r="AA60" s="21" t="e">
        <f>PMT(F61,H61,-D61)</f>
        <v>#NUM!</v>
      </c>
    </row>
    <row r="61" spans="2:27">
      <c r="B61" s="1" t="s">
        <v>130</v>
      </c>
      <c r="D61" s="31">
        <v>0</v>
      </c>
      <c r="E61" s="22"/>
      <c r="F61" s="24">
        <v>0</v>
      </c>
      <c r="G61" s="22"/>
      <c r="H61" s="22">
        <v>0</v>
      </c>
      <c r="J61" s="32">
        <f>IF(H61&gt;0,AA60,0)</f>
        <v>0</v>
      </c>
      <c r="AA61" s="21" t="e">
        <f>PMT(F62,H62,-D62)</f>
        <v>#NUM!</v>
      </c>
    </row>
    <row r="62" spans="2:27">
      <c r="B62" s="1" t="s">
        <v>131</v>
      </c>
      <c r="D62" s="31">
        <v>0</v>
      </c>
      <c r="E62" s="22"/>
      <c r="F62" s="24">
        <v>0</v>
      </c>
      <c r="G62" s="22"/>
      <c r="H62" s="22">
        <v>0</v>
      </c>
      <c r="J62" s="32">
        <f>IF(H62&gt;0,AA61,0)</f>
        <v>0</v>
      </c>
      <c r="AA62" s="21" t="e">
        <f>PMT(F63,H63,-D63)</f>
        <v>#NUM!</v>
      </c>
    </row>
    <row r="63" spans="2:27">
      <c r="B63" s="1" t="s">
        <v>132</v>
      </c>
      <c r="D63" s="31">
        <v>0</v>
      </c>
      <c r="E63" s="22"/>
      <c r="F63" s="24">
        <v>0</v>
      </c>
      <c r="G63" s="22"/>
      <c r="H63" s="22">
        <v>0</v>
      </c>
      <c r="J63" s="32">
        <f>IF(H63&gt;0,AA62,0)</f>
        <v>0</v>
      </c>
      <c r="AA63" s="21" t="e">
        <f>PMT(F64,H64,-D64)</f>
        <v>#NUM!</v>
      </c>
    </row>
    <row r="64" spans="2:27">
      <c r="B64" s="1" t="s">
        <v>133</v>
      </c>
      <c r="D64" s="31">
        <v>0</v>
      </c>
      <c r="E64" s="22"/>
      <c r="F64" s="24">
        <v>0</v>
      </c>
      <c r="G64" s="22"/>
      <c r="H64" s="22">
        <v>0</v>
      </c>
      <c r="J64" s="32">
        <f>IF(H64&gt;0,AA63,0)</f>
        <v>0</v>
      </c>
      <c r="AA64" s="21" t="e">
        <f>PMT(F65,H65,-D65)</f>
        <v>#NUM!</v>
      </c>
    </row>
    <row r="65" spans="2:13" ht="13" thickBot="1">
      <c r="B65" s="57" t="s">
        <v>134</v>
      </c>
      <c r="C65" s="51"/>
      <c r="D65" s="40">
        <v>0</v>
      </c>
      <c r="E65" s="96"/>
      <c r="F65" s="54">
        <v>0</v>
      </c>
      <c r="G65" s="96"/>
      <c r="H65" s="96">
        <v>0</v>
      </c>
      <c r="I65" s="51"/>
      <c r="J65" s="97">
        <f>IF(H65&gt;0,AA64,0)</f>
        <v>0</v>
      </c>
    </row>
    <row r="66" spans="2:13">
      <c r="B66" s="542" t="s">
        <v>363</v>
      </c>
      <c r="C66" s="542"/>
      <c r="J66" s="34">
        <f>+SUM(J61:J65)</f>
        <v>0</v>
      </c>
    </row>
    <row r="67" spans="2:13" ht="13" thickBot="1"/>
    <row r="68" spans="2:13" ht="13" thickBot="1">
      <c r="B68" s="80" t="s">
        <v>123</v>
      </c>
      <c r="C68" s="81"/>
      <c r="D68" s="81"/>
      <c r="E68" s="81"/>
      <c r="F68" s="82">
        <f>+J66+L52</f>
        <v>364362.71566441836</v>
      </c>
    </row>
    <row r="73" spans="2:13">
      <c r="M73" s="1" t="s">
        <v>15</v>
      </c>
    </row>
  </sheetData>
  <mergeCells count="6">
    <mergeCell ref="B8:C8"/>
    <mergeCell ref="B13:C13"/>
    <mergeCell ref="B66:C66"/>
    <mergeCell ref="B15:C15"/>
    <mergeCell ref="B30:C30"/>
    <mergeCell ref="B52:E52"/>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3"/>
  <sheetViews>
    <sheetView workbookViewId="0">
      <selection activeCell="F46" sqref="F46"/>
    </sheetView>
  </sheetViews>
  <sheetFormatPr baseColWidth="10" defaultColWidth="10.83203125" defaultRowHeight="15" x14ac:dyDescent="0"/>
  <cols>
    <col min="1" max="1" width="13.1640625" style="189" customWidth="1"/>
    <col min="2" max="2" width="48.33203125" style="189" customWidth="1"/>
    <col min="3" max="3" width="14.5" style="189" customWidth="1"/>
    <col min="4" max="4" width="18.1640625" style="189" customWidth="1"/>
    <col min="5" max="5" width="18.33203125" style="189" customWidth="1"/>
    <col min="6" max="6" width="13.83203125" style="189" customWidth="1"/>
    <col min="7" max="7" width="10.83203125" style="189"/>
    <col min="8" max="8" width="11.5" style="189" bestFit="1" customWidth="1"/>
    <col min="9" max="16384" width="10.83203125" style="189"/>
  </cols>
  <sheetData>
    <row r="1" spans="1:9" ht="22">
      <c r="B1" s="545" t="s">
        <v>655</v>
      </c>
      <c r="C1" s="545"/>
      <c r="D1" s="545"/>
      <c r="E1" s="545"/>
      <c r="F1" s="545"/>
      <c r="G1" s="545"/>
      <c r="H1" s="545"/>
      <c r="I1" s="545"/>
    </row>
    <row r="2" spans="1:9">
      <c r="F2" s="546" t="s">
        <v>652</v>
      </c>
      <c r="G2" s="546"/>
      <c r="H2" s="546"/>
    </row>
    <row r="4" spans="1:9" ht="30">
      <c r="A4" s="186" t="s">
        <v>589</v>
      </c>
      <c r="B4" s="186"/>
      <c r="C4" s="186"/>
      <c r="D4" s="186"/>
      <c r="E4" s="186"/>
      <c r="F4" s="187" t="s">
        <v>590</v>
      </c>
      <c r="G4" s="188" t="s">
        <v>591</v>
      </c>
      <c r="H4" s="188" t="s">
        <v>592</v>
      </c>
      <c r="I4" s="187" t="s">
        <v>593</v>
      </c>
    </row>
    <row r="5" spans="1:9">
      <c r="A5" s="186"/>
      <c r="B5" s="189" t="s">
        <v>658</v>
      </c>
      <c r="C5" s="186"/>
      <c r="D5" s="186"/>
      <c r="E5" s="186"/>
      <c r="F5" s="264">
        <v>30</v>
      </c>
      <c r="G5" s="253">
        <v>305</v>
      </c>
      <c r="H5" s="191">
        <f t="shared" ref="H5:H14" si="0">+lactations</f>
        <v>576</v>
      </c>
      <c r="I5" s="191">
        <f>+(H5*G5*F5)/2000</f>
        <v>2635.2</v>
      </c>
    </row>
    <row r="6" spans="1:9">
      <c r="A6" s="186"/>
      <c r="B6" s="189" t="s">
        <v>594</v>
      </c>
      <c r="C6" s="186"/>
      <c r="D6" s="186"/>
      <c r="E6" s="186"/>
      <c r="F6" s="264">
        <v>45.71</v>
      </c>
      <c r="G6" s="253">
        <v>305</v>
      </c>
      <c r="H6" s="191">
        <f t="shared" si="0"/>
        <v>576</v>
      </c>
      <c r="I6" s="191">
        <f>+(H6*G6*F6)/2000</f>
        <v>4015.1664000000001</v>
      </c>
    </row>
    <row r="7" spans="1:9">
      <c r="A7" s="186"/>
      <c r="B7" s="189" t="s">
        <v>595</v>
      </c>
      <c r="C7" s="186"/>
      <c r="D7" s="186"/>
      <c r="E7" s="186"/>
      <c r="F7" s="264">
        <v>0</v>
      </c>
      <c r="G7" s="253">
        <v>305</v>
      </c>
      <c r="H7" s="191">
        <f t="shared" si="0"/>
        <v>576</v>
      </c>
      <c r="I7" s="191">
        <f t="shared" ref="I7:I11" si="1">+(H7*G7*F7)/2000</f>
        <v>0</v>
      </c>
    </row>
    <row r="8" spans="1:9">
      <c r="A8" s="186"/>
      <c r="B8" s="189" t="s">
        <v>596</v>
      </c>
      <c r="C8" s="186"/>
      <c r="D8" s="186"/>
      <c r="E8" s="186"/>
      <c r="F8" s="264">
        <v>10</v>
      </c>
      <c r="G8" s="253">
        <v>305</v>
      </c>
      <c r="H8" s="191">
        <f t="shared" si="0"/>
        <v>576</v>
      </c>
      <c r="I8" s="191">
        <f t="shared" si="1"/>
        <v>878.4</v>
      </c>
    </row>
    <row r="9" spans="1:9">
      <c r="A9" s="186"/>
      <c r="B9" s="189" t="s">
        <v>597</v>
      </c>
      <c r="C9" s="186"/>
      <c r="D9" s="186"/>
      <c r="E9" s="186"/>
      <c r="F9" s="264">
        <v>0</v>
      </c>
      <c r="G9" s="253">
        <v>305</v>
      </c>
      <c r="H9" s="191">
        <f t="shared" si="0"/>
        <v>576</v>
      </c>
      <c r="I9" s="191">
        <f t="shared" si="1"/>
        <v>0</v>
      </c>
    </row>
    <row r="10" spans="1:9">
      <c r="A10" s="186"/>
      <c r="B10" s="189" t="s">
        <v>656</v>
      </c>
      <c r="C10" s="186"/>
      <c r="D10" s="186"/>
      <c r="E10" s="186"/>
      <c r="F10" s="264">
        <v>20.41</v>
      </c>
      <c r="G10" s="253">
        <v>305</v>
      </c>
      <c r="H10" s="191">
        <f t="shared" si="0"/>
        <v>576</v>
      </c>
      <c r="I10" s="191">
        <f t="shared" ref="I10" si="2">+(H10*G10*F10)/2000</f>
        <v>1792.8144</v>
      </c>
    </row>
    <row r="11" spans="1:9">
      <c r="A11" s="186"/>
      <c r="B11" s="189" t="s">
        <v>598</v>
      </c>
      <c r="C11" s="186"/>
      <c r="D11" s="186"/>
      <c r="E11" s="186"/>
      <c r="F11" s="264">
        <v>7.39</v>
      </c>
      <c r="G11" s="253">
        <v>305</v>
      </c>
      <c r="H11" s="191">
        <f t="shared" si="0"/>
        <v>576</v>
      </c>
      <c r="I11" s="191">
        <f t="shared" si="1"/>
        <v>649.13760000000002</v>
      </c>
    </row>
    <row r="12" spans="1:9">
      <c r="A12" s="186"/>
      <c r="B12" s="189" t="s">
        <v>600</v>
      </c>
      <c r="C12" s="186"/>
      <c r="D12" s="186"/>
      <c r="E12" s="186"/>
      <c r="F12" s="264">
        <v>8.25</v>
      </c>
      <c r="G12" s="253">
        <v>305</v>
      </c>
      <c r="H12" s="191">
        <f t="shared" si="0"/>
        <v>576</v>
      </c>
      <c r="I12" s="191">
        <f>+(H12*G12*F12)/2000</f>
        <v>724.68</v>
      </c>
    </row>
    <row r="13" spans="1:9">
      <c r="A13" s="186" t="s">
        <v>7</v>
      </c>
      <c r="B13" s="186"/>
      <c r="C13" s="186"/>
      <c r="D13" s="186"/>
      <c r="E13" s="186"/>
      <c r="F13" s="416"/>
      <c r="G13" s="417"/>
    </row>
    <row r="14" spans="1:9">
      <c r="A14" s="186"/>
      <c r="B14" s="189" t="s">
        <v>658</v>
      </c>
      <c r="C14" s="186"/>
      <c r="D14" s="186"/>
      <c r="E14" s="186"/>
      <c r="F14" s="264">
        <f>+(36+20)/2</f>
        <v>28</v>
      </c>
      <c r="G14" s="253">
        <v>60</v>
      </c>
      <c r="H14" s="191">
        <f t="shared" si="0"/>
        <v>576</v>
      </c>
      <c r="I14" s="191">
        <f>+(H14*G14*F14)/2000</f>
        <v>483.84</v>
      </c>
    </row>
    <row r="15" spans="1:9">
      <c r="A15" s="186"/>
      <c r="B15" s="192" t="s">
        <v>594</v>
      </c>
      <c r="C15" s="186"/>
      <c r="D15" s="186"/>
      <c r="E15" s="186"/>
      <c r="F15" s="264">
        <v>14.29</v>
      </c>
      <c r="G15" s="253">
        <v>30</v>
      </c>
      <c r="H15" s="191">
        <f t="shared" ref="H15:H21" si="3">+lactations</f>
        <v>576</v>
      </c>
      <c r="I15" s="191">
        <f>+(H15*G15*F15)/2000</f>
        <v>123.46559999999999</v>
      </c>
    </row>
    <row r="16" spans="1:9">
      <c r="A16" s="186"/>
      <c r="B16" s="192" t="s">
        <v>595</v>
      </c>
      <c r="C16" s="186"/>
      <c r="D16" s="186"/>
      <c r="E16" s="186"/>
      <c r="F16" s="264">
        <v>14.29</v>
      </c>
      <c r="G16" s="253">
        <v>60</v>
      </c>
      <c r="H16" s="191">
        <f t="shared" si="3"/>
        <v>576</v>
      </c>
      <c r="I16" s="191">
        <f t="shared" ref="I16:I21" si="4">+(H16*G16*F16)/2000</f>
        <v>246.93119999999999</v>
      </c>
    </row>
    <row r="17" spans="1:9">
      <c r="A17" s="186"/>
      <c r="B17" s="192" t="s">
        <v>596</v>
      </c>
      <c r="C17" s="186"/>
      <c r="D17" s="186"/>
      <c r="E17" s="186"/>
      <c r="F17" s="264">
        <v>0</v>
      </c>
      <c r="G17" s="253">
        <v>0</v>
      </c>
      <c r="H17" s="191">
        <f t="shared" si="3"/>
        <v>576</v>
      </c>
      <c r="I17" s="191">
        <f t="shared" si="4"/>
        <v>0</v>
      </c>
    </row>
    <row r="18" spans="1:9">
      <c r="A18" s="186"/>
      <c r="B18" s="192" t="s">
        <v>597</v>
      </c>
      <c r="C18" s="186"/>
      <c r="D18" s="186"/>
      <c r="E18" s="186"/>
      <c r="F18" s="264">
        <f>+(10.87+9.24)/2</f>
        <v>10.055</v>
      </c>
      <c r="G18" s="253">
        <v>60</v>
      </c>
      <c r="H18" s="191">
        <f t="shared" si="3"/>
        <v>576</v>
      </c>
      <c r="I18" s="191">
        <f t="shared" si="4"/>
        <v>173.75039999999998</v>
      </c>
    </row>
    <row r="19" spans="1:9">
      <c r="A19" s="186"/>
      <c r="B19" s="189" t="s">
        <v>656</v>
      </c>
      <c r="C19" s="186"/>
      <c r="D19" s="186"/>
      <c r="E19" s="186"/>
      <c r="F19" s="264">
        <v>4.08</v>
      </c>
      <c r="G19" s="253">
        <v>30</v>
      </c>
      <c r="H19" s="191">
        <f t="shared" si="3"/>
        <v>576</v>
      </c>
      <c r="I19" s="191">
        <f t="shared" si="4"/>
        <v>35.251199999999997</v>
      </c>
    </row>
    <row r="20" spans="1:9">
      <c r="A20" s="186"/>
      <c r="B20" s="192" t="s">
        <v>598</v>
      </c>
      <c r="C20" s="186"/>
      <c r="D20" s="186"/>
      <c r="E20" s="186"/>
      <c r="F20" s="264">
        <f>+(1.99+1.71)/2</f>
        <v>1.85</v>
      </c>
      <c r="G20" s="253">
        <v>60</v>
      </c>
      <c r="H20" s="191">
        <f t="shared" si="3"/>
        <v>576</v>
      </c>
      <c r="I20" s="191">
        <f t="shared" si="4"/>
        <v>31.968</v>
      </c>
    </row>
    <row r="21" spans="1:9">
      <c r="A21" s="186"/>
      <c r="B21" s="192" t="s">
        <v>600</v>
      </c>
      <c r="C21" s="186"/>
      <c r="D21" s="186"/>
      <c r="E21" s="186"/>
      <c r="F21" s="264">
        <f>+(1.69+6.893)/2</f>
        <v>4.2915000000000001</v>
      </c>
      <c r="G21" s="253">
        <v>60</v>
      </c>
      <c r="H21" s="191">
        <f t="shared" si="3"/>
        <v>576</v>
      </c>
      <c r="I21" s="191">
        <f t="shared" si="4"/>
        <v>74.157119999999992</v>
      </c>
    </row>
    <row r="22" spans="1:9">
      <c r="A22" s="186" t="s">
        <v>603</v>
      </c>
      <c r="B22" s="186"/>
      <c r="C22" s="186"/>
      <c r="D22" s="186"/>
      <c r="E22" s="186"/>
      <c r="F22" s="416"/>
      <c r="G22" s="417"/>
    </row>
    <row r="23" spans="1:9">
      <c r="A23" s="186"/>
      <c r="B23" s="189" t="s">
        <v>658</v>
      </c>
      <c r="C23" s="186"/>
      <c r="D23" s="186"/>
      <c r="E23" s="186"/>
      <c r="F23" s="264">
        <v>40</v>
      </c>
      <c r="G23" s="253">
        <v>305</v>
      </c>
      <c r="H23" s="191">
        <f t="shared" ref="H23:H30" si="5">+HEIFERS_RAISED</f>
        <v>350</v>
      </c>
      <c r="I23" s="191">
        <f>+(H23*G23*F23)/2000</f>
        <v>2135</v>
      </c>
    </row>
    <row r="24" spans="1:9">
      <c r="A24" s="186"/>
      <c r="B24" s="192" t="s">
        <v>594</v>
      </c>
      <c r="C24" s="186"/>
      <c r="D24" s="186"/>
      <c r="E24" s="186"/>
      <c r="F24" s="264">
        <v>0</v>
      </c>
      <c r="G24" s="253">
        <v>365</v>
      </c>
      <c r="H24" s="191">
        <f t="shared" si="5"/>
        <v>350</v>
      </c>
      <c r="I24" s="191">
        <f>+(H24*G24*F24)/2000</f>
        <v>0</v>
      </c>
    </row>
    <row r="25" spans="1:9">
      <c r="A25" s="186"/>
      <c r="B25" s="192" t="s">
        <v>595</v>
      </c>
      <c r="C25" s="186"/>
      <c r="D25" s="186"/>
      <c r="E25" s="186"/>
      <c r="F25" s="264">
        <v>11.43</v>
      </c>
      <c r="G25" s="253">
        <v>365</v>
      </c>
      <c r="H25" s="191">
        <f t="shared" si="5"/>
        <v>350</v>
      </c>
      <c r="I25" s="191">
        <f t="shared" ref="I25:I30" si="6">+(H25*G25*F25)/2000</f>
        <v>730.09124999999995</v>
      </c>
    </row>
    <row r="26" spans="1:9">
      <c r="A26" s="186"/>
      <c r="B26" s="192" t="s">
        <v>596</v>
      </c>
      <c r="C26" s="186"/>
      <c r="D26" s="186"/>
      <c r="E26" s="186"/>
      <c r="F26" s="264">
        <v>0</v>
      </c>
      <c r="G26" s="253">
        <v>365</v>
      </c>
      <c r="H26" s="191">
        <f t="shared" si="5"/>
        <v>350</v>
      </c>
      <c r="I26" s="191">
        <f t="shared" si="6"/>
        <v>0</v>
      </c>
    </row>
    <row r="27" spans="1:9">
      <c r="A27" s="186"/>
      <c r="B27" s="192" t="s">
        <v>597</v>
      </c>
      <c r="C27" s="186"/>
      <c r="D27" s="186"/>
      <c r="E27" s="186"/>
      <c r="F27" s="264">
        <v>2.91</v>
      </c>
      <c r="G27" s="253">
        <v>365</v>
      </c>
      <c r="H27" s="191">
        <f t="shared" si="5"/>
        <v>350</v>
      </c>
      <c r="I27" s="191">
        <f t="shared" si="6"/>
        <v>185.87625</v>
      </c>
    </row>
    <row r="28" spans="1:9">
      <c r="A28" s="186"/>
      <c r="B28" s="189" t="s">
        <v>656</v>
      </c>
      <c r="C28" s="186"/>
      <c r="D28" s="186"/>
      <c r="E28" s="186"/>
      <c r="F28" s="264">
        <v>0</v>
      </c>
      <c r="G28" s="253">
        <v>305</v>
      </c>
      <c r="H28" s="191">
        <f t="shared" si="5"/>
        <v>350</v>
      </c>
      <c r="I28" s="191">
        <f t="shared" si="6"/>
        <v>0</v>
      </c>
    </row>
    <row r="29" spans="1:9">
      <c r="A29" s="186"/>
      <c r="B29" s="192" t="s">
        <v>598</v>
      </c>
      <c r="C29" s="186"/>
      <c r="D29" s="186"/>
      <c r="E29" s="186"/>
      <c r="F29" s="264">
        <v>1.71</v>
      </c>
      <c r="G29" s="253">
        <v>365</v>
      </c>
      <c r="H29" s="191">
        <f t="shared" si="5"/>
        <v>350</v>
      </c>
      <c r="I29" s="191">
        <f t="shared" si="6"/>
        <v>109.22624999999999</v>
      </c>
    </row>
    <row r="30" spans="1:9">
      <c r="A30" s="186"/>
      <c r="B30" s="192" t="s">
        <v>600</v>
      </c>
      <c r="C30" s="186"/>
      <c r="D30" s="186"/>
      <c r="E30" s="186"/>
      <c r="F30" s="264">
        <v>5.78</v>
      </c>
      <c r="G30" s="253">
        <v>365</v>
      </c>
      <c r="H30" s="191">
        <f t="shared" si="5"/>
        <v>350</v>
      </c>
      <c r="I30" s="191">
        <f t="shared" si="6"/>
        <v>369.19749999999999</v>
      </c>
    </row>
    <row r="31" spans="1:9">
      <c r="A31" s="186" t="s">
        <v>604</v>
      </c>
      <c r="B31" s="186"/>
      <c r="C31" s="186"/>
      <c r="D31" s="186"/>
      <c r="E31" s="186"/>
      <c r="F31" s="416"/>
      <c r="G31" s="417"/>
    </row>
    <row r="32" spans="1:9">
      <c r="A32" s="186"/>
      <c r="B32" s="189" t="s">
        <v>658</v>
      </c>
      <c r="C32" s="186"/>
      <c r="D32" s="186"/>
      <c r="E32" s="186"/>
      <c r="F32" s="264">
        <v>18</v>
      </c>
      <c r="G32" s="253">
        <v>305</v>
      </c>
      <c r="H32" s="191">
        <f t="shared" ref="H32:H39" si="7">+HEIFERS_RAISED</f>
        <v>350</v>
      </c>
      <c r="I32" s="191">
        <f>+(H32*G32*F32)/2000</f>
        <v>960.75</v>
      </c>
    </row>
    <row r="33" spans="1:9">
      <c r="A33" s="186"/>
      <c r="B33" s="192" t="s">
        <v>594</v>
      </c>
      <c r="C33" s="186"/>
      <c r="D33" s="186"/>
      <c r="E33" s="186"/>
      <c r="F33" s="264">
        <v>4.3</v>
      </c>
      <c r="G33" s="253">
        <v>365</v>
      </c>
      <c r="H33" s="191">
        <f t="shared" si="7"/>
        <v>350</v>
      </c>
      <c r="I33" s="191">
        <f>+(H33*G33*F33)/2000</f>
        <v>274.66250000000002</v>
      </c>
    </row>
    <row r="34" spans="1:9">
      <c r="A34" s="186"/>
      <c r="B34" s="192" t="s">
        <v>595</v>
      </c>
      <c r="C34" s="186"/>
      <c r="D34" s="186"/>
      <c r="E34" s="186"/>
      <c r="F34" s="264">
        <v>0</v>
      </c>
      <c r="G34" s="253">
        <v>365</v>
      </c>
      <c r="H34" s="191">
        <f t="shared" si="7"/>
        <v>350</v>
      </c>
      <c r="I34" s="191">
        <f t="shared" ref="I34:I39" si="8">+(H34*G34*F34)/2000</f>
        <v>0</v>
      </c>
    </row>
    <row r="35" spans="1:9">
      <c r="A35" s="186"/>
      <c r="B35" s="192" t="s">
        <v>596</v>
      </c>
      <c r="C35" s="186"/>
      <c r="D35" s="186"/>
      <c r="E35" s="186"/>
      <c r="F35" s="264">
        <v>0</v>
      </c>
      <c r="G35" s="253">
        <v>365</v>
      </c>
      <c r="H35" s="191">
        <f t="shared" si="7"/>
        <v>350</v>
      </c>
      <c r="I35" s="191">
        <f t="shared" si="8"/>
        <v>0</v>
      </c>
    </row>
    <row r="36" spans="1:9">
      <c r="A36" s="186"/>
      <c r="B36" s="192" t="s">
        <v>597</v>
      </c>
      <c r="C36" s="186"/>
      <c r="D36" s="186"/>
      <c r="E36" s="186"/>
      <c r="F36" s="264">
        <v>1.0900000000000001</v>
      </c>
      <c r="G36" s="253">
        <v>365</v>
      </c>
      <c r="H36" s="191">
        <f t="shared" si="7"/>
        <v>350</v>
      </c>
      <c r="I36" s="191">
        <f t="shared" si="8"/>
        <v>69.623750000000001</v>
      </c>
    </row>
    <row r="37" spans="1:9">
      <c r="A37" s="186"/>
      <c r="B37" s="189" t="s">
        <v>656</v>
      </c>
      <c r="C37" s="186"/>
      <c r="D37" s="186"/>
      <c r="E37" s="186"/>
      <c r="F37" s="264">
        <v>0</v>
      </c>
      <c r="G37" s="253">
        <v>365</v>
      </c>
      <c r="H37" s="191">
        <f t="shared" si="7"/>
        <v>350</v>
      </c>
      <c r="I37" s="191">
        <f t="shared" si="8"/>
        <v>0</v>
      </c>
    </row>
    <row r="38" spans="1:9">
      <c r="A38" s="186"/>
      <c r="B38" s="192" t="s">
        <v>598</v>
      </c>
      <c r="C38" s="186"/>
      <c r="D38" s="186"/>
      <c r="E38" s="186"/>
      <c r="F38" s="264">
        <v>1.36</v>
      </c>
      <c r="G38" s="253">
        <v>365</v>
      </c>
      <c r="H38" s="191">
        <f t="shared" si="7"/>
        <v>350</v>
      </c>
      <c r="I38" s="191">
        <f t="shared" si="8"/>
        <v>86.87</v>
      </c>
    </row>
    <row r="39" spans="1:9">
      <c r="A39" s="186"/>
      <c r="B39" s="192" t="s">
        <v>600</v>
      </c>
      <c r="C39" s="186"/>
      <c r="D39" s="186"/>
      <c r="E39" s="186"/>
      <c r="F39" s="264">
        <v>4.3600000000000003</v>
      </c>
      <c r="G39" s="253">
        <v>365</v>
      </c>
      <c r="H39" s="191">
        <f t="shared" si="7"/>
        <v>350</v>
      </c>
      <c r="I39" s="191">
        <f t="shared" si="8"/>
        <v>278.495</v>
      </c>
    </row>
    <row r="40" spans="1:9">
      <c r="A40" s="189" t="s">
        <v>605</v>
      </c>
      <c r="F40" s="416"/>
      <c r="G40" s="417"/>
    </row>
    <row r="41" spans="1:9">
      <c r="B41" s="189" t="s">
        <v>606</v>
      </c>
      <c r="F41" s="264">
        <v>1.25</v>
      </c>
      <c r="G41" s="253">
        <v>72</v>
      </c>
      <c r="H41" s="191">
        <f>+HEIFERS_RAISED</f>
        <v>350</v>
      </c>
      <c r="I41" s="191">
        <f t="shared" ref="I41:I43" si="9">+(H41*G41*F41)/2000</f>
        <v>15.75</v>
      </c>
    </row>
    <row r="42" spans="1:9">
      <c r="B42" s="189" t="s">
        <v>740</v>
      </c>
      <c r="F42" s="264">
        <v>0</v>
      </c>
      <c r="G42" s="253">
        <v>0</v>
      </c>
      <c r="H42" s="191">
        <f>+HEIFERS_RAISED</f>
        <v>350</v>
      </c>
      <c r="I42" s="191">
        <f t="shared" ref="I42" si="10">+(H42*G42*F42)/2000</f>
        <v>0</v>
      </c>
    </row>
    <row r="43" spans="1:9">
      <c r="B43" s="189" t="s">
        <v>607</v>
      </c>
      <c r="F43" s="264">
        <v>1</v>
      </c>
      <c r="G43" s="253">
        <v>72</v>
      </c>
      <c r="H43" s="191">
        <f>+HEIFERS_RAISED</f>
        <v>350</v>
      </c>
      <c r="I43" s="191">
        <f t="shared" si="9"/>
        <v>12.6</v>
      </c>
    </row>
    <row r="44" spans="1:9" ht="22">
      <c r="B44" s="545" t="s">
        <v>695</v>
      </c>
      <c r="C44" s="545"/>
      <c r="D44" s="545"/>
      <c r="E44" s="547"/>
      <c r="F44" s="264"/>
      <c r="G44" s="253"/>
      <c r="H44" s="191"/>
      <c r="I44" s="191"/>
    </row>
    <row r="45" spans="1:9" ht="45">
      <c r="B45" s="265" t="s">
        <v>599</v>
      </c>
      <c r="C45" s="266" t="s">
        <v>601</v>
      </c>
      <c r="D45" s="266" t="s">
        <v>602</v>
      </c>
      <c r="E45" s="266" t="s">
        <v>737</v>
      </c>
      <c r="F45" s="266" t="s">
        <v>701</v>
      </c>
    </row>
    <row r="46" spans="1:9">
      <c r="B46" s="189" t="s">
        <v>658</v>
      </c>
      <c r="C46" s="193">
        <f t="shared" ref="C46:C53" si="11">+I5+I14+I23+I32</f>
        <v>6214.79</v>
      </c>
      <c r="D46" s="190">
        <f>+winter_grazing_production+PERM_PASTURE_PRODUCTION</f>
        <v>11000</v>
      </c>
      <c r="E46" s="474">
        <v>0.05</v>
      </c>
      <c r="F46" s="475">
        <f t="shared" ref="F46" si="12">D46-(C46*(1+E46))</f>
        <v>4474.4704999999994</v>
      </c>
    </row>
    <row r="47" spans="1:9">
      <c r="B47" s="189" t="s">
        <v>594</v>
      </c>
      <c r="C47" s="193">
        <f t="shared" si="11"/>
        <v>4413.2945</v>
      </c>
      <c r="D47" s="190">
        <f>+CORN_SILAGE_PRODUCTION</f>
        <v>5000</v>
      </c>
      <c r="E47" s="474">
        <v>0.2</v>
      </c>
      <c r="F47" s="475">
        <f>D47-(C47*(1+E47))</f>
        <v>-295.95339999999942</v>
      </c>
    </row>
    <row r="48" spans="1:9">
      <c r="B48" s="189" t="s">
        <v>595</v>
      </c>
      <c r="C48" s="193">
        <f t="shared" si="11"/>
        <v>977.02244999999994</v>
      </c>
      <c r="D48" s="190">
        <f>+SORGHUM_PRODUCTION</f>
        <v>900</v>
      </c>
      <c r="E48" s="474">
        <v>0.2</v>
      </c>
      <c r="F48" s="475">
        <f t="shared" ref="F48:F50" si="13">D48-(C48*(1+E48))</f>
        <v>-272.42693999999983</v>
      </c>
    </row>
    <row r="49" spans="2:6">
      <c r="B49" s="189" t="s">
        <v>596</v>
      </c>
      <c r="C49" s="193">
        <f t="shared" si="11"/>
        <v>878.4</v>
      </c>
      <c r="D49" s="190">
        <f>+WINTER_ANNUAL_PRODUCTION</f>
        <v>1000</v>
      </c>
      <c r="E49" s="474">
        <v>0.2</v>
      </c>
      <c r="F49" s="475">
        <f t="shared" si="13"/>
        <v>-54.079999999999927</v>
      </c>
    </row>
    <row r="50" spans="2:6">
      <c r="B50" s="189" t="s">
        <v>597</v>
      </c>
      <c r="C50" s="193">
        <f t="shared" si="11"/>
        <v>429.25040000000001</v>
      </c>
      <c r="D50" s="190">
        <f>+HAY_PRODUCTION</f>
        <v>750</v>
      </c>
      <c r="E50" s="474">
        <v>0.15</v>
      </c>
      <c r="F50" s="475">
        <f t="shared" si="13"/>
        <v>256.36204000000004</v>
      </c>
    </row>
    <row r="51" spans="2:6">
      <c r="B51" s="189" t="s">
        <v>656</v>
      </c>
      <c r="C51" s="193">
        <f t="shared" si="11"/>
        <v>1828.0655999999999</v>
      </c>
      <c r="D51" s="201"/>
      <c r="E51" s="474">
        <v>0.15</v>
      </c>
      <c r="F51" s="475">
        <f t="shared" ref="F51:F53" si="14">+(C51-D51)*(1+E51)</f>
        <v>2102.2754399999999</v>
      </c>
    </row>
    <row r="52" spans="2:6">
      <c r="B52" s="189" t="s">
        <v>598</v>
      </c>
      <c r="C52" s="193">
        <f t="shared" si="11"/>
        <v>877.20185000000004</v>
      </c>
      <c r="D52" s="201"/>
      <c r="E52" s="474">
        <v>0.05</v>
      </c>
      <c r="F52" s="475">
        <f t="shared" si="14"/>
        <v>921.0619425000001</v>
      </c>
    </row>
    <row r="53" spans="2:6">
      <c r="B53" s="189" t="s">
        <v>600</v>
      </c>
      <c r="C53" s="193">
        <f t="shared" si="11"/>
        <v>1446.5296199999998</v>
      </c>
      <c r="D53" s="201"/>
      <c r="E53" s="474">
        <v>0.02</v>
      </c>
      <c r="F53" s="475">
        <f t="shared" si="14"/>
        <v>1475.4602123999998</v>
      </c>
    </row>
  </sheetData>
  <sheetProtection sheet="1" objects="1" scenarios="1"/>
  <mergeCells count="3">
    <mergeCell ref="B1:I1"/>
    <mergeCell ref="F2:H2"/>
    <mergeCell ref="B44:E44"/>
  </mergeCells>
  <phoneticPr fontId="19" type="noConversion"/>
  <hyperlinks>
    <hyperlink ref="F2" location="Main!A42" display="RETURN TO MAIN BUDGET"/>
    <hyperlink ref="G2" location="Main!A42" display="Main!A42"/>
    <hyperlink ref="H2" location="Main!A42" display="Main!A42"/>
  </hyperlinks>
  <pageMargins left="0.75" right="0.75" top="1" bottom="1" header="0.5" footer="0.5"/>
  <headerFooter>
    <oddFooter>&amp;A</oddFooter>
  </headerFooter>
  <rowBreaks count="1" manualBreakCount="1">
    <brk id="43" max="16383" man="1"/>
  </rowBreaks>
  <drawing r:id="rId1"/>
  <extLst>
    <ext xmlns:mx="http://schemas.microsoft.com/office/mac/excel/2008/main" uri="{64002731-A6B0-56B0-2670-7721B7C09600}">
      <mx:PLV Mode="0" OnePage="0" WScale="6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20"/>
  <sheetViews>
    <sheetView topLeftCell="B1" zoomScale="125" zoomScaleNormal="125" zoomScalePageLayoutView="125" workbookViewId="0">
      <selection activeCell="H13" sqref="H13"/>
    </sheetView>
  </sheetViews>
  <sheetFormatPr baseColWidth="10" defaultColWidth="10.83203125" defaultRowHeight="15" x14ac:dyDescent="0"/>
  <cols>
    <col min="1" max="1" width="60.6640625" style="234" customWidth="1"/>
    <col min="2" max="2" width="18.1640625" style="234" customWidth="1"/>
    <col min="3" max="3" width="17.1640625" style="234" customWidth="1"/>
    <col min="4" max="4" width="17.33203125" style="234" customWidth="1"/>
    <col min="5" max="5" width="20.5" style="234" customWidth="1"/>
    <col min="6" max="7" width="19.1640625" style="234" customWidth="1"/>
    <col min="8" max="8" width="18.1640625" style="234" customWidth="1"/>
    <col min="9" max="16384" width="10.83203125" style="234"/>
  </cols>
  <sheetData>
    <row r="1" spans="1:8" ht="22">
      <c r="A1" s="545" t="s">
        <v>696</v>
      </c>
      <c r="B1" s="545"/>
      <c r="C1" s="545"/>
      <c r="D1" s="545"/>
      <c r="E1" s="545"/>
      <c r="F1" s="545"/>
      <c r="G1" s="545"/>
      <c r="H1" s="545"/>
    </row>
    <row r="2" spans="1:8" ht="39" thickBot="1">
      <c r="A2" s="247" t="s">
        <v>646</v>
      </c>
      <c r="B2" s="274" t="s">
        <v>495</v>
      </c>
      <c r="C2" s="274" t="s">
        <v>678</v>
      </c>
      <c r="D2" s="274" t="s">
        <v>629</v>
      </c>
      <c r="E2" s="274" t="s">
        <v>630</v>
      </c>
      <c r="F2" s="274" t="s">
        <v>679</v>
      </c>
      <c r="G2" s="274" t="s">
        <v>680</v>
      </c>
      <c r="H2" s="274" t="s">
        <v>635</v>
      </c>
    </row>
    <row r="3" spans="1:8" ht="16" thickTop="1">
      <c r="A3" s="234" t="s">
        <v>631</v>
      </c>
      <c r="B3" s="239">
        <f>+Corn_silage!B5</f>
        <v>200</v>
      </c>
      <c r="C3" s="239">
        <f>+Sorghum_silage!B5</f>
        <v>75</v>
      </c>
      <c r="D3" s="239">
        <f>+Winter_Silage!B4</f>
        <v>100</v>
      </c>
      <c r="E3" s="239">
        <f>+Bermuda_hay!B3</f>
        <v>75</v>
      </c>
      <c r="F3" s="239">
        <f>+Winter_Grazing!B4</f>
        <v>200</v>
      </c>
      <c r="G3" s="239">
        <f>+PERMANENT_PASTURE!B3</f>
        <v>200</v>
      </c>
      <c r="H3" s="239">
        <f>+SUM(B3:G3)</f>
        <v>850</v>
      </c>
    </row>
    <row r="4" spans="1:8">
      <c r="A4" s="234" t="s">
        <v>632</v>
      </c>
      <c r="B4" s="240">
        <f>+CORN_SILAGE_PRODUCTION</f>
        <v>5000</v>
      </c>
      <c r="C4" s="240">
        <f>+SORGHUM_PRODUCTION</f>
        <v>900</v>
      </c>
      <c r="D4" s="240">
        <f>+WINTER_ANNUAL_PRODUCTION</f>
        <v>1000</v>
      </c>
      <c r="E4" s="240">
        <f>+HAY_PRODUCTION</f>
        <v>750</v>
      </c>
      <c r="F4" s="240">
        <f>+winter_grazing_production</f>
        <v>6000</v>
      </c>
      <c r="G4" s="240">
        <f>+PERM_PASTURE_PRODUCTION</f>
        <v>5000</v>
      </c>
      <c r="H4" s="239">
        <f t="shared" ref="H4:H5" si="0">+SUM(B4:G4)</f>
        <v>18650</v>
      </c>
    </row>
    <row r="5" spans="1:8">
      <c r="A5" s="234" t="s">
        <v>633</v>
      </c>
      <c r="B5" s="236">
        <f>+Corn_silage!B7</f>
        <v>117797</v>
      </c>
      <c r="C5" s="236">
        <f>+Sorghum_silage!B7</f>
        <v>36699</v>
      </c>
      <c r="D5" s="236">
        <f>+Winter_Silage!B6</f>
        <v>27621.500000000004</v>
      </c>
      <c r="E5" s="236">
        <f>+Bermuda_hay!B5</f>
        <v>44208.374999999993</v>
      </c>
      <c r="F5" s="236">
        <f>+Winter_Grazing!B6</f>
        <v>19643</v>
      </c>
      <c r="G5" s="236">
        <f>+PERMANENT_PASTURE!B5</f>
        <v>43550</v>
      </c>
      <c r="H5" s="291">
        <f t="shared" si="0"/>
        <v>289518.875</v>
      </c>
    </row>
    <row r="6" spans="1:8">
      <c r="A6" s="234" t="s">
        <v>681</v>
      </c>
      <c r="B6" s="236">
        <f>+IF(B3&gt;0,B5/B4,0)</f>
        <v>23.5594</v>
      </c>
      <c r="C6" s="236">
        <f t="shared" ref="C6:G6" si="1">+IF(C3&gt;0,C5/C4,0)</f>
        <v>40.776666666666664</v>
      </c>
      <c r="D6" s="236">
        <f t="shared" si="1"/>
        <v>27.621500000000005</v>
      </c>
      <c r="E6" s="236">
        <f t="shared" si="1"/>
        <v>58.944499999999991</v>
      </c>
      <c r="F6" s="236">
        <f t="shared" si="1"/>
        <v>3.2738333333333332</v>
      </c>
      <c r="G6" s="236">
        <f t="shared" si="1"/>
        <v>8.7100000000000009</v>
      </c>
      <c r="H6" s="246"/>
    </row>
    <row r="7" spans="1:8">
      <c r="B7" s="236"/>
      <c r="C7" s="236"/>
      <c r="D7" s="236"/>
      <c r="E7" s="236"/>
      <c r="F7" s="236"/>
      <c r="G7" s="236"/>
      <c r="H7" s="246"/>
    </row>
    <row r="8" spans="1:8">
      <c r="A8" s="234" t="s">
        <v>676</v>
      </c>
      <c r="B8" s="287">
        <f>(Corn_silage!E18+Corn_silage!E29)*Corn_silage!B5</f>
        <v>13111.000000000002</v>
      </c>
      <c r="C8" s="236">
        <f>+(Sorghum_silage!E18+Sorghum_silage!E26)*Sorghum_silage!B5</f>
        <v>3219</v>
      </c>
      <c r="D8" s="236">
        <f>+(Winter_Silage!E22+Winter_Silage!E30)*Winter_Silage!B4</f>
        <v>2271.5</v>
      </c>
      <c r="E8" s="236">
        <f>(Bermuda_hay!G18)*Bermuda_hay!B3</f>
        <v>5803.8749999999991</v>
      </c>
      <c r="F8" s="236">
        <f>(Winter_Grazing!E22*Winter_Grazing!B4)</f>
        <v>1043</v>
      </c>
      <c r="G8" s="236">
        <f>(PERMANENT_PASTURE!G18*PERMANENT_PASTURE!B3)</f>
        <v>1400</v>
      </c>
      <c r="H8" s="291">
        <f t="shared" ref="H8:H11" si="2">+SUM(B8:G8)</f>
        <v>26848.375</v>
      </c>
    </row>
    <row r="9" spans="1:8">
      <c r="A9" s="234" t="s">
        <v>677</v>
      </c>
      <c r="B9" s="236">
        <f>+(Corn_silage!E20+Corn_silage!E30)*Corn_silage!B5</f>
        <v>34200</v>
      </c>
      <c r="C9" s="236">
        <f>+(Sorghum_silage!E19+Sorghum_silage!E27)*Sorghum_silage!B5</f>
        <v>6111</v>
      </c>
      <c r="D9" s="236">
        <f>(SUM(Winter_Silage!E24:E26)+Winter_Silage!E31)*Winter_Silage!B4</f>
        <v>5250</v>
      </c>
      <c r="E9" s="236">
        <f>(Bermuda_hay!G19*Bermuda_hay!B3)</f>
        <v>2198.25</v>
      </c>
      <c r="F9" s="236">
        <f>(SUM(Winter_Grazing!E24:E25)*Winter_Grazing!B4)</f>
        <v>500</v>
      </c>
      <c r="G9" s="236">
        <f>(PERMANENT_PASTURE!G19*PERMANENT_PASTURE!B3)</f>
        <v>600</v>
      </c>
      <c r="H9" s="291">
        <f t="shared" si="2"/>
        <v>48859.25</v>
      </c>
    </row>
    <row r="10" spans="1:8">
      <c r="A10" s="234" t="s">
        <v>690</v>
      </c>
      <c r="B10" s="236">
        <f>+(B5-B8-B9)</f>
        <v>70486</v>
      </c>
      <c r="C10" s="236">
        <f t="shared" ref="C10:G10" si="3">+(C5-C8-C9)</f>
        <v>27369</v>
      </c>
      <c r="D10" s="236">
        <f t="shared" si="3"/>
        <v>20100.000000000004</v>
      </c>
      <c r="E10" s="236">
        <f t="shared" si="3"/>
        <v>36206.249999999993</v>
      </c>
      <c r="F10" s="236">
        <f t="shared" si="3"/>
        <v>18100</v>
      </c>
      <c r="G10" s="236">
        <f t="shared" si="3"/>
        <v>41550</v>
      </c>
      <c r="H10" s="291">
        <f t="shared" ref="H10" si="4">+SUM(B10:G10)</f>
        <v>213811.25</v>
      </c>
    </row>
    <row r="11" spans="1:8">
      <c r="A11" s="234" t="s">
        <v>691</v>
      </c>
      <c r="B11" s="236">
        <f>+IF(B3&gt;0,B10/B3,0)</f>
        <v>352.43</v>
      </c>
      <c r="C11" s="236">
        <f t="shared" ref="C11:G11" si="5">+IF(C3&gt;0,C10/C3,0)</f>
        <v>364.92</v>
      </c>
      <c r="D11" s="236">
        <f t="shared" si="5"/>
        <v>201.00000000000003</v>
      </c>
      <c r="E11" s="236">
        <f t="shared" si="5"/>
        <v>482.74999999999989</v>
      </c>
      <c r="F11" s="236">
        <f t="shared" si="5"/>
        <v>90.5</v>
      </c>
      <c r="G11" s="236">
        <f t="shared" si="5"/>
        <v>207.75</v>
      </c>
      <c r="H11" s="291">
        <f t="shared" si="2"/>
        <v>1699.35</v>
      </c>
    </row>
    <row r="12" spans="1:8" ht="20" thickBot="1">
      <c r="A12" s="247" t="s">
        <v>634</v>
      </c>
      <c r="B12" s="275"/>
      <c r="C12" s="275"/>
      <c r="D12" s="275"/>
      <c r="E12" s="275"/>
      <c r="F12" s="275"/>
      <c r="G12" s="275"/>
      <c r="H12" s="276"/>
    </row>
    <row r="13" spans="1:8" ht="31" thickTop="1">
      <c r="A13" s="235" t="s">
        <v>648</v>
      </c>
      <c r="B13" s="548"/>
      <c r="C13" s="548"/>
      <c r="D13" s="548"/>
      <c r="E13" s="548"/>
      <c r="F13" s="272"/>
      <c r="G13" s="272"/>
      <c r="H13" s="236">
        <f>+impl_fc+waste_fc</f>
        <v>268587.34095238097</v>
      </c>
    </row>
    <row r="14" spans="1:8" ht="45">
      <c r="A14" s="235" t="s">
        <v>649</v>
      </c>
      <c r="B14" s="238">
        <f>+(B3/$H$3)</f>
        <v>0.23529411764705882</v>
      </c>
      <c r="C14" s="238">
        <f t="shared" ref="C14:G14" si="6">+(C3/$H$3)</f>
        <v>8.8235294117647065E-2</v>
      </c>
      <c r="D14" s="238">
        <f t="shared" si="6"/>
        <v>0.11764705882352941</v>
      </c>
      <c r="E14" s="238">
        <f t="shared" si="6"/>
        <v>8.8235294117647065E-2</v>
      </c>
      <c r="F14" s="238">
        <f t="shared" si="6"/>
        <v>0.23529411764705882</v>
      </c>
      <c r="G14" s="238">
        <f t="shared" si="6"/>
        <v>0.23529411764705882</v>
      </c>
      <c r="H14" s="238">
        <f t="shared" ref="H14:H16" si="7">+SUM(B14:G14)</f>
        <v>1</v>
      </c>
    </row>
    <row r="15" spans="1:8" ht="30">
      <c r="A15" s="235" t="s">
        <v>639</v>
      </c>
      <c r="B15" s="251">
        <v>0.5</v>
      </c>
      <c r="C15" s="251">
        <v>0.12</v>
      </c>
      <c r="D15" s="251">
        <v>0.2</v>
      </c>
      <c r="E15" s="251">
        <v>0.08</v>
      </c>
      <c r="F15" s="251">
        <v>0.05</v>
      </c>
      <c r="G15" s="251">
        <v>0.05</v>
      </c>
      <c r="H15" s="238">
        <f t="shared" si="7"/>
        <v>1</v>
      </c>
    </row>
    <row r="16" spans="1:8">
      <c r="A16" s="234" t="s">
        <v>636</v>
      </c>
      <c r="B16" s="243">
        <f>+B15*$H$13</f>
        <v>134293.67047619048</v>
      </c>
      <c r="C16" s="243">
        <f t="shared" ref="C16:E16" si="8">+C15*$H$13</f>
        <v>32230.480914285716</v>
      </c>
      <c r="D16" s="243">
        <f t="shared" si="8"/>
        <v>53717.468190476196</v>
      </c>
      <c r="E16" s="243">
        <f t="shared" si="8"/>
        <v>21486.987276190477</v>
      </c>
      <c r="F16" s="243">
        <f t="shared" ref="F16:G16" si="9">+F15*$H$13</f>
        <v>13429.367047619049</v>
      </c>
      <c r="G16" s="243">
        <f t="shared" si="9"/>
        <v>13429.367047619049</v>
      </c>
      <c r="H16" s="239">
        <f t="shared" si="7"/>
        <v>268587.34095238097</v>
      </c>
    </row>
    <row r="17" spans="1:8">
      <c r="A17" s="234" t="s">
        <v>637</v>
      </c>
      <c r="B17" s="244">
        <f>+B16/B4</f>
        <v>26.858734095238098</v>
      </c>
      <c r="C17" s="244">
        <f t="shared" ref="C17:E17" si="10">+C16/C4</f>
        <v>35.811645460317465</v>
      </c>
      <c r="D17" s="244">
        <f t="shared" si="10"/>
        <v>53.717468190476197</v>
      </c>
      <c r="E17" s="244">
        <f t="shared" si="10"/>
        <v>28.64931636825397</v>
      </c>
      <c r="F17" s="244">
        <f t="shared" ref="F17:G17" si="11">+F16/F4</f>
        <v>2.2382278412698415</v>
      </c>
      <c r="G17" s="244">
        <f t="shared" si="11"/>
        <v>2.6858734095238099</v>
      </c>
    </row>
    <row r="18" spans="1:8">
      <c r="A18" s="234" t="s">
        <v>638</v>
      </c>
      <c r="B18" s="243">
        <f>+B16+B5</f>
        <v>252090.67047619048</v>
      </c>
      <c r="C18" s="243">
        <f t="shared" ref="C18:E18" si="12">+C16+C5</f>
        <v>68929.480914285712</v>
      </c>
      <c r="D18" s="243">
        <f t="shared" si="12"/>
        <v>81338.968190476196</v>
      </c>
      <c r="E18" s="243">
        <f t="shared" si="12"/>
        <v>65695.36227619047</v>
      </c>
      <c r="F18" s="243">
        <f t="shared" ref="F18:G18" si="13">+F16+F5</f>
        <v>33072.367047619045</v>
      </c>
      <c r="G18" s="243">
        <f t="shared" si="13"/>
        <v>56979.367047619045</v>
      </c>
      <c r="H18" s="239">
        <f>+SUM(B18:G18)</f>
        <v>558106.21595238103</v>
      </c>
    </row>
    <row r="19" spans="1:8" ht="19" thickBot="1">
      <c r="A19" s="248" t="s">
        <v>647</v>
      </c>
      <c r="B19" s="249">
        <f>+B18/B4</f>
        <v>50.418134095238095</v>
      </c>
      <c r="C19" s="249">
        <f t="shared" ref="C19:E19" si="14">+C18/C4</f>
        <v>76.588312126984121</v>
      </c>
      <c r="D19" s="249">
        <f t="shared" si="14"/>
        <v>81.338968190476194</v>
      </c>
      <c r="E19" s="249">
        <f t="shared" si="14"/>
        <v>87.593816368253954</v>
      </c>
      <c r="F19" s="249">
        <f t="shared" ref="F19:G19" si="15">+F18/F4</f>
        <v>5.5120611746031747</v>
      </c>
      <c r="G19" s="249">
        <f t="shared" si="15"/>
        <v>11.395873409523809</v>
      </c>
      <c r="H19" s="250"/>
    </row>
    <row r="20" spans="1:8" ht="16" thickTop="1"/>
  </sheetData>
  <sheetProtection sheet="1" objects="1" scenarios="1"/>
  <mergeCells count="2">
    <mergeCell ref="B13:E13"/>
    <mergeCell ref="A1:H1"/>
  </mergeCells>
  <phoneticPr fontId="19" type="noConversion"/>
  <pageMargins left="0.75" right="0.75" top="1" bottom="1" header="0.5" footer="0.5"/>
  <headerFooter>
    <oddFooter>&amp;A</oddFooter>
  </headerFooter>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39"/>
  <sheetViews>
    <sheetView zoomScale="70" zoomScaleNormal="70" zoomScalePageLayoutView="70" workbookViewId="0">
      <selection activeCell="B6" sqref="B6"/>
    </sheetView>
  </sheetViews>
  <sheetFormatPr baseColWidth="10" defaultColWidth="9.1640625" defaultRowHeight="12" x14ac:dyDescent="0"/>
  <cols>
    <col min="1" max="1" width="42" style="128" customWidth="1"/>
    <col min="2" max="2" width="15.6640625" style="128" customWidth="1"/>
    <col min="3" max="3" width="12.1640625" style="152" customWidth="1"/>
    <col min="4" max="4" width="11.33203125" style="153" customWidth="1"/>
    <col min="5" max="5" width="11.6640625" style="153" customWidth="1"/>
    <col min="6" max="6" width="11.1640625" style="153" customWidth="1"/>
    <col min="7" max="7" width="9.83203125" style="128" customWidth="1"/>
    <col min="8" max="9" width="9.1640625" style="128"/>
    <col min="10" max="10" width="46" style="128" customWidth="1"/>
    <col min="11" max="11" width="11.33203125" style="128" bestFit="1" customWidth="1"/>
    <col min="12" max="13" width="10.1640625" style="128" bestFit="1" customWidth="1"/>
    <col min="14" max="14" width="12.5" style="128" bestFit="1" customWidth="1"/>
    <col min="15" max="15" width="11.33203125" style="128" bestFit="1" customWidth="1"/>
    <col min="16" max="16" width="10.1640625" style="128" bestFit="1" customWidth="1"/>
    <col min="17" max="16384" width="9.1640625" style="128"/>
  </cols>
  <sheetData>
    <row r="1" spans="1:8" ht="22">
      <c r="A1" s="545" t="s">
        <v>534</v>
      </c>
      <c r="B1" s="545"/>
      <c r="C1" s="545"/>
      <c r="D1" s="545"/>
      <c r="E1" s="545"/>
      <c r="F1" s="545"/>
      <c r="G1" s="545"/>
    </row>
    <row r="2" spans="1:8" ht="13">
      <c r="A2" s="549"/>
      <c r="B2" s="549"/>
      <c r="C2" s="549"/>
      <c r="D2" s="549"/>
      <c r="E2" s="549"/>
      <c r="F2" s="549"/>
      <c r="G2" s="549"/>
    </row>
    <row r="3" spans="1:8" ht="13">
      <c r="A3" s="549"/>
      <c r="B3" s="549"/>
      <c r="C3" s="549"/>
      <c r="D3" s="549"/>
      <c r="E3" s="549"/>
      <c r="F3" s="549"/>
      <c r="G3" s="549"/>
    </row>
    <row r="4" spans="1:8" ht="15">
      <c r="A4" s="195" t="s">
        <v>610</v>
      </c>
      <c r="B4" s="418">
        <v>25</v>
      </c>
      <c r="C4" s="154" t="s">
        <v>564</v>
      </c>
      <c r="D4" s="131"/>
      <c r="E4" s="546" t="s">
        <v>652</v>
      </c>
      <c r="F4" s="546"/>
      <c r="G4" s="546"/>
    </row>
    <row r="5" spans="1:8" ht="15">
      <c r="A5" s="195" t="s">
        <v>608</v>
      </c>
      <c r="B5" s="418">
        <v>200</v>
      </c>
      <c r="D5" s="131"/>
      <c r="E5" s="131"/>
      <c r="F5" s="131"/>
      <c r="G5" s="132"/>
    </row>
    <row r="6" spans="1:8" ht="15">
      <c r="A6" s="195" t="s">
        <v>609</v>
      </c>
      <c r="B6" s="196">
        <f>+B5*corn_silage_yield</f>
        <v>5000</v>
      </c>
      <c r="C6" s="130"/>
      <c r="D6" s="131"/>
      <c r="E6" s="131"/>
      <c r="F6" s="131"/>
      <c r="G6" s="129"/>
    </row>
    <row r="7" spans="1:8" ht="14" thickBot="1">
      <c r="A7" s="154" t="s">
        <v>553</v>
      </c>
      <c r="B7" s="237">
        <f>+B5*Comsilage_prod_cost</f>
        <v>117797</v>
      </c>
      <c r="C7" s="130"/>
      <c r="D7" s="131"/>
      <c r="E7" s="131"/>
      <c r="F7" s="131"/>
      <c r="G7" s="129"/>
    </row>
    <row r="8" spans="1:8" ht="25">
      <c r="A8" s="133" t="s">
        <v>500</v>
      </c>
      <c r="B8" s="133" t="s">
        <v>501</v>
      </c>
      <c r="C8" s="134" t="s">
        <v>502</v>
      </c>
      <c r="D8" s="135" t="s">
        <v>391</v>
      </c>
      <c r="E8" s="135" t="s">
        <v>503</v>
      </c>
      <c r="F8" s="135" t="str">
        <f>+CONCATENATE("$/",C4)</f>
        <v>$/TON</v>
      </c>
      <c r="G8" s="133" t="s">
        <v>504</v>
      </c>
    </row>
    <row r="9" spans="1:8" ht="15">
      <c r="A9" s="129" t="s">
        <v>505</v>
      </c>
      <c r="B9" s="129" t="s">
        <v>506</v>
      </c>
      <c r="C9" s="288">
        <v>27.5</v>
      </c>
      <c r="D9" s="419">
        <v>1.94</v>
      </c>
      <c r="E9" s="131">
        <f>+D9*C9</f>
        <v>53.35</v>
      </c>
      <c r="F9" s="131">
        <f>+E9/yield</f>
        <v>2.1339999999999999</v>
      </c>
      <c r="G9" s="132"/>
      <c r="H9" s="136"/>
    </row>
    <row r="10" spans="1:8" ht="15">
      <c r="A10" s="154" t="s">
        <v>673</v>
      </c>
      <c r="B10" s="129" t="s">
        <v>507</v>
      </c>
      <c r="C10" s="288">
        <v>0.5</v>
      </c>
      <c r="D10" s="419">
        <v>35</v>
      </c>
      <c r="E10" s="131">
        <f>+D10*C10</f>
        <v>17.5</v>
      </c>
      <c r="F10" s="131">
        <f>+E10/yield</f>
        <v>0.7</v>
      </c>
      <c r="G10" s="137"/>
    </row>
    <row r="11" spans="1:8" ht="15">
      <c r="A11" s="129" t="s">
        <v>508</v>
      </c>
      <c r="B11" s="129"/>
      <c r="C11" s="288"/>
      <c r="D11" s="419"/>
      <c r="E11" s="131"/>
      <c r="F11" s="131"/>
      <c r="G11" s="138"/>
    </row>
    <row r="12" spans="1:8" ht="15">
      <c r="A12" s="129" t="s">
        <v>509</v>
      </c>
      <c r="B12" s="129" t="s">
        <v>510</v>
      </c>
      <c r="C12" s="288">
        <v>225</v>
      </c>
      <c r="D12" s="438">
        <v>0.55000000000000004</v>
      </c>
      <c r="E12" s="131">
        <f>+D12*C12</f>
        <v>123.75000000000001</v>
      </c>
      <c r="F12" s="131">
        <f>+E12/yield</f>
        <v>4.95</v>
      </c>
      <c r="G12" s="132"/>
    </row>
    <row r="13" spans="1:8" ht="15">
      <c r="A13" s="129" t="s">
        <v>511</v>
      </c>
      <c r="B13" s="129" t="s">
        <v>510</v>
      </c>
      <c r="C13" s="288">
        <v>90</v>
      </c>
      <c r="D13" s="419">
        <v>0.4</v>
      </c>
      <c r="E13" s="131">
        <f>+D13*C13</f>
        <v>36</v>
      </c>
      <c r="F13" s="131">
        <f>+E13/yield</f>
        <v>1.44</v>
      </c>
      <c r="G13" s="137"/>
    </row>
    <row r="14" spans="1:8" ht="15">
      <c r="A14" s="129" t="s">
        <v>512</v>
      </c>
      <c r="B14" s="129" t="s">
        <v>510</v>
      </c>
      <c r="C14" s="288">
        <v>125</v>
      </c>
      <c r="D14" s="419">
        <v>0.6</v>
      </c>
      <c r="E14" s="131">
        <f>+D14*C14</f>
        <v>75</v>
      </c>
      <c r="F14" s="131">
        <f>+E14/yield</f>
        <v>3</v>
      </c>
      <c r="G14" s="137"/>
    </row>
    <row r="15" spans="1:8" ht="15">
      <c r="A15" s="129" t="s">
        <v>513</v>
      </c>
      <c r="B15" s="129" t="s">
        <v>514</v>
      </c>
      <c r="C15" s="288">
        <v>1</v>
      </c>
      <c r="D15" s="419">
        <v>24.82</v>
      </c>
      <c r="E15" s="131">
        <f>+D15*C15</f>
        <v>24.82</v>
      </c>
      <c r="F15" s="131">
        <f>+E15/yield</f>
        <v>0.99280000000000002</v>
      </c>
      <c r="G15" s="137"/>
    </row>
    <row r="16" spans="1:8" ht="15">
      <c r="A16" s="129" t="s">
        <v>515</v>
      </c>
      <c r="B16" s="129" t="s">
        <v>514</v>
      </c>
      <c r="C16" s="288">
        <v>1</v>
      </c>
      <c r="D16" s="419">
        <v>6.53</v>
      </c>
      <c r="E16" s="131">
        <f>+D16*C16</f>
        <v>6.53</v>
      </c>
      <c r="F16" s="131">
        <f>+E16/yield</f>
        <v>0.26119999999999999</v>
      </c>
      <c r="G16" s="137"/>
    </row>
    <row r="17" spans="1:7" ht="15">
      <c r="A17" s="139" t="s">
        <v>516</v>
      </c>
      <c r="B17" s="129"/>
      <c r="C17" s="288"/>
      <c r="D17" s="419"/>
      <c r="E17" s="131"/>
      <c r="F17" s="131"/>
      <c r="G17" s="138"/>
    </row>
    <row r="18" spans="1:7" ht="15">
      <c r="A18" s="129" t="s">
        <v>517</v>
      </c>
      <c r="B18" s="129" t="s">
        <v>518</v>
      </c>
      <c r="C18" s="288">
        <v>3.73</v>
      </c>
      <c r="D18" s="419">
        <v>3.5</v>
      </c>
      <c r="E18" s="131">
        <f>+D18*C18</f>
        <v>13.055</v>
      </c>
      <c r="F18" s="131">
        <f>+E18/yield</f>
        <v>0.5222</v>
      </c>
      <c r="G18" s="132"/>
    </row>
    <row r="19" spans="1:7" ht="15">
      <c r="A19" s="129" t="s">
        <v>519</v>
      </c>
      <c r="B19" s="129" t="s">
        <v>514</v>
      </c>
      <c r="C19" s="288">
        <v>1</v>
      </c>
      <c r="D19" s="419">
        <v>6.48</v>
      </c>
      <c r="E19" s="131">
        <f>+D19*C19</f>
        <v>6.48</v>
      </c>
      <c r="F19" s="131">
        <f>+E19/yield</f>
        <v>0.25920000000000004</v>
      </c>
      <c r="G19" s="137"/>
    </row>
    <row r="20" spans="1:7" ht="15">
      <c r="A20" s="154" t="s">
        <v>530</v>
      </c>
      <c r="B20" s="129" t="s">
        <v>521</v>
      </c>
      <c r="C20" s="288">
        <v>8</v>
      </c>
      <c r="D20" s="419">
        <v>12</v>
      </c>
      <c r="E20" s="131">
        <f>+D20*C20</f>
        <v>96</v>
      </c>
      <c r="F20" s="131">
        <f t="shared" ref="F20:F34" si="0">+E20/yield</f>
        <v>3.84</v>
      </c>
      <c r="G20" s="137"/>
    </row>
    <row r="21" spans="1:7" ht="15">
      <c r="A21" s="129" t="s">
        <v>522</v>
      </c>
      <c r="B21" s="129" t="s">
        <v>514</v>
      </c>
      <c r="C21" s="288">
        <v>1</v>
      </c>
      <c r="D21" s="419">
        <v>9</v>
      </c>
      <c r="E21" s="131">
        <f t="shared" ref="E21:E32" si="1">+D21*C21</f>
        <v>9</v>
      </c>
      <c r="F21" s="131">
        <f t="shared" si="0"/>
        <v>0.36</v>
      </c>
      <c r="G21" s="137"/>
    </row>
    <row r="22" spans="1:7" ht="15">
      <c r="A22" s="154" t="s">
        <v>617</v>
      </c>
      <c r="B22" s="129" t="s">
        <v>514</v>
      </c>
      <c r="C22" s="288">
        <v>1</v>
      </c>
      <c r="D22" s="419">
        <v>0</v>
      </c>
      <c r="E22" s="131">
        <f t="shared" si="1"/>
        <v>0</v>
      </c>
      <c r="F22" s="131">
        <f t="shared" si="0"/>
        <v>0</v>
      </c>
      <c r="G22" s="137"/>
    </row>
    <row r="23" spans="1:7" ht="15">
      <c r="A23" s="154" t="s">
        <v>618</v>
      </c>
      <c r="B23" s="129" t="s">
        <v>514</v>
      </c>
      <c r="C23" s="288">
        <v>1</v>
      </c>
      <c r="D23" s="419">
        <v>0</v>
      </c>
      <c r="E23" s="131">
        <f t="shared" ref="E23" si="2">+D23*C23</f>
        <v>0</v>
      </c>
      <c r="F23" s="131">
        <f t="shared" ref="F23" si="3">+E23/yield</f>
        <v>0</v>
      </c>
      <c r="G23" s="137"/>
    </row>
    <row r="24" spans="1:7" ht="15">
      <c r="A24" s="154" t="s">
        <v>619</v>
      </c>
      <c r="B24" s="129" t="s">
        <v>514</v>
      </c>
      <c r="C24" s="288">
        <v>1</v>
      </c>
      <c r="D24" s="419">
        <v>0</v>
      </c>
      <c r="E24" s="131">
        <f t="shared" ref="E24" si="4">+D24*C24</f>
        <v>0</v>
      </c>
      <c r="F24" s="131">
        <f t="shared" ref="F24" si="5">+E24/yield</f>
        <v>0</v>
      </c>
      <c r="G24" s="137"/>
    </row>
    <row r="25" spans="1:7" ht="15">
      <c r="A25" s="129" t="s">
        <v>523</v>
      </c>
      <c r="B25" s="129" t="s">
        <v>514</v>
      </c>
      <c r="C25" s="288">
        <v>1</v>
      </c>
      <c r="D25" s="419">
        <v>0</v>
      </c>
      <c r="E25" s="131">
        <f t="shared" si="1"/>
        <v>0</v>
      </c>
      <c r="F25" s="131">
        <f t="shared" si="0"/>
        <v>0</v>
      </c>
      <c r="G25" s="137"/>
    </row>
    <row r="26" spans="1:7" ht="13">
      <c r="A26" s="141" t="s">
        <v>524</v>
      </c>
      <c r="B26" s="141"/>
      <c r="C26" s="142"/>
      <c r="D26" s="143"/>
      <c r="E26" s="143">
        <f>+SUM(E9:E25)</f>
        <v>461.48500000000001</v>
      </c>
      <c r="F26" s="143">
        <f t="shared" si="0"/>
        <v>18.459400000000002</v>
      </c>
      <c r="G26" s="141"/>
    </row>
    <row r="27" spans="1:7" ht="13">
      <c r="A27" s="144" t="s">
        <v>531</v>
      </c>
      <c r="B27" s="129"/>
      <c r="C27" s="131"/>
      <c r="D27" s="140"/>
      <c r="E27" s="131"/>
      <c r="F27" s="131"/>
      <c r="G27" s="138"/>
    </row>
    <row r="28" spans="1:7" ht="13">
      <c r="A28" s="139" t="s">
        <v>535</v>
      </c>
      <c r="B28" s="129"/>
      <c r="C28" s="130"/>
      <c r="D28" s="131"/>
      <c r="E28" s="131"/>
      <c r="F28" s="131"/>
      <c r="G28" s="138"/>
    </row>
    <row r="29" spans="1:7" ht="15">
      <c r="A29" s="129" t="s">
        <v>517</v>
      </c>
      <c r="B29" s="129" t="s">
        <v>518</v>
      </c>
      <c r="C29" s="288">
        <v>15</v>
      </c>
      <c r="D29" s="419">
        <v>3.5</v>
      </c>
      <c r="E29" s="131">
        <f>+D29*C29</f>
        <v>52.5</v>
      </c>
      <c r="F29" s="131">
        <f>+E29/yield</f>
        <v>2.1</v>
      </c>
      <c r="G29" s="132"/>
    </row>
    <row r="30" spans="1:7" ht="15">
      <c r="A30" s="129" t="s">
        <v>519</v>
      </c>
      <c r="B30" s="129" t="s">
        <v>514</v>
      </c>
      <c r="C30" s="288">
        <v>1</v>
      </c>
      <c r="D30" s="419">
        <v>75</v>
      </c>
      <c r="E30" s="131">
        <f>+D30*C30</f>
        <v>75</v>
      </c>
      <c r="F30" s="131">
        <f>+E30/yield</f>
        <v>3</v>
      </c>
      <c r="G30" s="137"/>
    </row>
    <row r="31" spans="1:7" ht="15">
      <c r="A31" s="145" t="s">
        <v>526</v>
      </c>
      <c r="B31" s="145" t="s">
        <v>507</v>
      </c>
      <c r="C31" s="288">
        <v>0</v>
      </c>
      <c r="D31" s="419">
        <v>10.5</v>
      </c>
      <c r="E31" s="147">
        <f t="shared" si="1"/>
        <v>0</v>
      </c>
      <c r="F31" s="147">
        <f t="shared" si="0"/>
        <v>0</v>
      </c>
      <c r="G31" s="132"/>
    </row>
    <row r="32" spans="1:7" ht="15">
      <c r="A32" s="148" t="s">
        <v>527</v>
      </c>
      <c r="B32" s="148" t="s">
        <v>507</v>
      </c>
      <c r="C32" s="288">
        <v>0</v>
      </c>
      <c r="D32" s="419">
        <v>8</v>
      </c>
      <c r="E32" s="147">
        <f t="shared" si="1"/>
        <v>0</v>
      </c>
      <c r="F32" s="147">
        <f t="shared" si="0"/>
        <v>0</v>
      </c>
      <c r="G32" s="145"/>
    </row>
    <row r="33" spans="1:7" ht="13">
      <c r="A33" s="141" t="s">
        <v>528</v>
      </c>
      <c r="B33" s="141"/>
      <c r="C33" s="142"/>
      <c r="D33" s="143"/>
      <c r="E33" s="143">
        <f>+SUM(E28:E32)</f>
        <v>127.5</v>
      </c>
      <c r="F33" s="143">
        <f t="shared" si="0"/>
        <v>5.0999999999999996</v>
      </c>
      <c r="G33" s="141"/>
    </row>
    <row r="34" spans="1:7" ht="20.25" customHeight="1" thickBot="1">
      <c r="A34" s="149" t="s">
        <v>529</v>
      </c>
      <c r="B34" s="149"/>
      <c r="C34" s="150"/>
      <c r="D34" s="151"/>
      <c r="E34" s="151">
        <f>+E33+E26</f>
        <v>588.98500000000001</v>
      </c>
      <c r="F34" s="151">
        <f t="shared" si="0"/>
        <v>23.5594</v>
      </c>
      <c r="G34" s="149"/>
    </row>
    <row r="35" spans="1:7" ht="13">
      <c r="A35" s="129"/>
      <c r="B35" s="129"/>
      <c r="C35" s="130"/>
      <c r="D35" s="131"/>
      <c r="E35" s="131"/>
      <c r="F35" s="131"/>
      <c r="G35" s="129"/>
    </row>
    <row r="36" spans="1:7" ht="13">
      <c r="A36" s="155" t="s">
        <v>532</v>
      </c>
      <c r="B36" s="145"/>
      <c r="C36" s="146"/>
      <c r="D36" s="147"/>
      <c r="E36" s="147"/>
      <c r="F36" s="147"/>
      <c r="G36" s="145"/>
    </row>
    <row r="37" spans="1:7">
      <c r="A37" s="550" t="s">
        <v>702</v>
      </c>
      <c r="B37" s="550"/>
      <c r="C37" s="550"/>
      <c r="D37" s="550"/>
      <c r="E37" s="550"/>
      <c r="F37" s="550"/>
      <c r="G37" s="550"/>
    </row>
    <row r="38" spans="1:7">
      <c r="A38" s="550"/>
      <c r="B38" s="550"/>
      <c r="C38" s="550"/>
      <c r="D38" s="550"/>
      <c r="E38" s="550"/>
      <c r="F38" s="550"/>
      <c r="G38" s="550"/>
    </row>
    <row r="39" spans="1:7" ht="13">
      <c r="A39" s="129"/>
      <c r="B39" s="129"/>
      <c r="C39" s="130"/>
      <c r="D39" s="131"/>
      <c r="E39" s="131"/>
      <c r="F39" s="131"/>
      <c r="G39" s="129"/>
    </row>
  </sheetData>
  <sheetProtection sheet="1" objects="1" scenarios="1"/>
  <mergeCells count="5">
    <mergeCell ref="A1:G1"/>
    <mergeCell ref="A2:G2"/>
    <mergeCell ref="A3:G3"/>
    <mergeCell ref="A37:G38"/>
    <mergeCell ref="E4:G4"/>
  </mergeCells>
  <phoneticPr fontId="19" type="noConversion"/>
  <hyperlinks>
    <hyperlink ref="E4" location="Main!A37" display="RETURN TO MAIN BUDGET"/>
    <hyperlink ref="F4" location="Main!A37" display="Main!A37"/>
    <hyperlink ref="G4" location="Main!A37" display="Main!A37"/>
  </hyperlinks>
  <pageMargins left="0.75" right="0.75" top="0.75" bottom="0.75" header="0.5" footer="0.5"/>
  <headerFooter>
    <oddFooter>&amp;A</oddFooter>
  </headerFooter>
  <extLst>
    <ext xmlns:mx="http://schemas.microsoft.com/office/mac/excel/2008/main" uri="{64002731-A6B0-56B0-2670-7721B7C09600}">
      <mx:PLV Mode="0" OnePage="0" WScale="82"/>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Information</vt:lpstr>
      <vt:lpstr>Monthly_Milk</vt:lpstr>
      <vt:lpstr>Main</vt:lpstr>
      <vt:lpstr>Fixed_Cost</vt:lpstr>
      <vt:lpstr>Feed</vt:lpstr>
      <vt:lpstr>Debt_Payments</vt:lpstr>
      <vt:lpstr>Feed_detail</vt:lpstr>
      <vt:lpstr>Raised Summary</vt:lpstr>
      <vt:lpstr>Corn_silage</vt:lpstr>
      <vt:lpstr>Sorghum_silage</vt:lpstr>
      <vt:lpstr>Winter_Silage</vt:lpstr>
      <vt:lpstr>Winter_Grazing</vt:lpstr>
      <vt:lpstr>Bermuda_hay</vt:lpstr>
      <vt:lpstr>PERMANENT_PASTURE</vt:lpstr>
      <vt:lpstr>E</vt:lpstr>
      <vt:lpstr>F</vt:lpstr>
      <vt:lpstr>G</vt:lpstr>
      <vt:lpstr>H</vt:lpstr>
      <vt:lpstr>I</vt:lpstr>
      <vt:lpstr>J</vt:lpstr>
      <vt:lpstr>K</vt:lpstr>
      <vt:lpstr>Payroll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genaperry</dc:creator>
  <cp:lastModifiedBy>Gena Perry</cp:lastModifiedBy>
  <cp:lastPrinted>2015-01-21T20:05:12Z</cp:lastPrinted>
  <dcterms:created xsi:type="dcterms:W3CDTF">2000-05-10T18:03:33Z</dcterms:created>
  <dcterms:modified xsi:type="dcterms:W3CDTF">2015-02-16T01:17:31Z</dcterms:modified>
</cp:coreProperties>
</file>