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Volumes/NO NAME/Documents/"/>
    </mc:Choice>
  </mc:AlternateContent>
  <bookViews>
    <workbookView xWindow="20100" yWindow="460" windowWidth="1516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SelfPros!$B$4:$B$23</definedName>
    <definedName name="selfpro_data">SelfPros!$B$4:$AG$23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4" i="3" l="1"/>
  <c r="AA44" i="3"/>
  <c r="AB44" i="3"/>
  <c r="AC44" i="3"/>
  <c r="AD44" i="3"/>
  <c r="S44" i="3"/>
  <c r="T44" i="3"/>
  <c r="U44" i="3"/>
  <c r="V44" i="3"/>
  <c r="W44" i="3"/>
  <c r="X44" i="3"/>
  <c r="Y44" i="3"/>
  <c r="AE44" i="3"/>
  <c r="Q44" i="3"/>
  <c r="R44" i="3"/>
  <c r="O44" i="3"/>
  <c r="G44" i="3"/>
  <c r="B44" i="3"/>
  <c r="Z43" i="3"/>
  <c r="AA43" i="3"/>
  <c r="AB43" i="3"/>
  <c r="AC43" i="3"/>
  <c r="AD43" i="3"/>
  <c r="S43" i="3"/>
  <c r="T43" i="3"/>
  <c r="U43" i="3"/>
  <c r="V43" i="3"/>
  <c r="W43" i="3"/>
  <c r="X43" i="3"/>
  <c r="Y43" i="3"/>
  <c r="AE43" i="3"/>
  <c r="Q43" i="3"/>
  <c r="R43" i="3"/>
  <c r="O43" i="3"/>
  <c r="G43" i="3"/>
  <c r="B43" i="3"/>
  <c r="Z42" i="3"/>
  <c r="AA42" i="3"/>
  <c r="AB42" i="3"/>
  <c r="AC42" i="3"/>
  <c r="AD42" i="3"/>
  <c r="S42" i="3"/>
  <c r="T42" i="3"/>
  <c r="U42" i="3"/>
  <c r="V42" i="3"/>
  <c r="W42" i="3"/>
  <c r="X42" i="3"/>
  <c r="Y42" i="3"/>
  <c r="AE42" i="3"/>
  <c r="Q42" i="3"/>
  <c r="R42" i="3"/>
  <c r="O42" i="3"/>
  <c r="G42" i="3"/>
  <c r="B42" i="3"/>
  <c r="Z41" i="3"/>
  <c r="AA41" i="3"/>
  <c r="AB41" i="3"/>
  <c r="AC41" i="3"/>
  <c r="AD41" i="3"/>
  <c r="S41" i="3"/>
  <c r="T41" i="3"/>
  <c r="U41" i="3"/>
  <c r="V41" i="3"/>
  <c r="W41" i="3"/>
  <c r="X41" i="3"/>
  <c r="Y41" i="3"/>
  <c r="AE41" i="3"/>
  <c r="Q41" i="3"/>
  <c r="R41" i="3"/>
  <c r="O41" i="3"/>
  <c r="G41" i="3"/>
  <c r="B41" i="3"/>
  <c r="Z40" i="3"/>
  <c r="AA40" i="3"/>
  <c r="AB40" i="3"/>
  <c r="AC40" i="3"/>
  <c r="AD40" i="3"/>
  <c r="S40" i="3"/>
  <c r="T40" i="3"/>
  <c r="U40" i="3"/>
  <c r="V40" i="3"/>
  <c r="W40" i="3"/>
  <c r="X40" i="3"/>
  <c r="Y40" i="3"/>
  <c r="AE40" i="3"/>
  <c r="Q40" i="3"/>
  <c r="R40" i="3"/>
  <c r="O40" i="3"/>
  <c r="G40" i="3"/>
  <c r="B40" i="3"/>
  <c r="Z39" i="3"/>
  <c r="AA39" i="3"/>
  <c r="AB39" i="3"/>
  <c r="AC39" i="3"/>
  <c r="AD39" i="3"/>
  <c r="S39" i="3"/>
  <c r="T39" i="3"/>
  <c r="U39" i="3"/>
  <c r="V39" i="3"/>
  <c r="W39" i="3"/>
  <c r="X39" i="3"/>
  <c r="Y39" i="3"/>
  <c r="AE39" i="3"/>
  <c r="Q39" i="3"/>
  <c r="R39" i="3"/>
  <c r="O39" i="3"/>
  <c r="G39" i="3"/>
  <c r="B39" i="3"/>
  <c r="Z38" i="3"/>
  <c r="AA38" i="3"/>
  <c r="AB38" i="3"/>
  <c r="AC38" i="3"/>
  <c r="AD38" i="3"/>
  <c r="S38" i="3"/>
  <c r="T38" i="3"/>
  <c r="U38" i="3"/>
  <c r="V38" i="3"/>
  <c r="W38" i="3"/>
  <c r="X38" i="3"/>
  <c r="Y38" i="3"/>
  <c r="AE38" i="3"/>
  <c r="Q38" i="3"/>
  <c r="R38" i="3"/>
  <c r="O38" i="3"/>
  <c r="G38" i="3"/>
  <c r="B38" i="3"/>
  <c r="Z37" i="3"/>
  <c r="AA37" i="3"/>
  <c r="AB37" i="3"/>
  <c r="AC37" i="3"/>
  <c r="AD37" i="3"/>
  <c r="S37" i="3"/>
  <c r="T37" i="3"/>
  <c r="U37" i="3"/>
  <c r="V37" i="3"/>
  <c r="W37" i="3"/>
  <c r="X37" i="3"/>
  <c r="Y37" i="3"/>
  <c r="AE37" i="3"/>
  <c r="Q37" i="3"/>
  <c r="R37" i="3"/>
  <c r="O37" i="3"/>
  <c r="G37" i="3"/>
  <c r="B37" i="3"/>
  <c r="Z36" i="3"/>
  <c r="AA36" i="3"/>
  <c r="AB36" i="3"/>
  <c r="AC36" i="3"/>
  <c r="AD36" i="3"/>
  <c r="S36" i="3"/>
  <c r="T36" i="3"/>
  <c r="U36" i="3"/>
  <c r="V36" i="3"/>
  <c r="W36" i="3"/>
  <c r="X36" i="3"/>
  <c r="Y36" i="3"/>
  <c r="AE36" i="3"/>
  <c r="Q36" i="3"/>
  <c r="R36" i="3"/>
  <c r="O36" i="3"/>
  <c r="G36" i="3"/>
  <c r="B36" i="3"/>
  <c r="Z35" i="3"/>
  <c r="AA35" i="3"/>
  <c r="AB35" i="3"/>
  <c r="AC35" i="3"/>
  <c r="AD35" i="3"/>
  <c r="S35" i="3"/>
  <c r="T35" i="3"/>
  <c r="U35" i="3"/>
  <c r="V35" i="3"/>
  <c r="W35" i="3"/>
  <c r="X35" i="3"/>
  <c r="Y35" i="3"/>
  <c r="AE35" i="3"/>
  <c r="Q35" i="3"/>
  <c r="R35" i="3"/>
  <c r="O35" i="3"/>
  <c r="G35" i="3"/>
  <c r="B35" i="3"/>
  <c r="Z34" i="3"/>
  <c r="AA34" i="3"/>
  <c r="AB34" i="3"/>
  <c r="AC34" i="3"/>
  <c r="AD34" i="3"/>
  <c r="S34" i="3"/>
  <c r="T34" i="3"/>
  <c r="U34" i="3"/>
  <c r="V34" i="3"/>
  <c r="W34" i="3"/>
  <c r="X34" i="3"/>
  <c r="Y34" i="3"/>
  <c r="AE34" i="3"/>
  <c r="Q34" i="3"/>
  <c r="R34" i="3"/>
  <c r="O34" i="3"/>
  <c r="G34" i="3"/>
  <c r="B34" i="3"/>
  <c r="Z33" i="3"/>
  <c r="AA33" i="3"/>
  <c r="AB33" i="3"/>
  <c r="AC33" i="3"/>
  <c r="AD33" i="3"/>
  <c r="S33" i="3"/>
  <c r="T33" i="3"/>
  <c r="U33" i="3"/>
  <c r="V33" i="3"/>
  <c r="W33" i="3"/>
  <c r="X33" i="3"/>
  <c r="Y33" i="3"/>
  <c r="AE33" i="3"/>
  <c r="Q33" i="3"/>
  <c r="R33" i="3"/>
  <c r="O33" i="3"/>
  <c r="G33" i="3"/>
  <c r="B33" i="3"/>
  <c r="Z32" i="3"/>
  <c r="AA32" i="3"/>
  <c r="AB32" i="3"/>
  <c r="AC32" i="3"/>
  <c r="AD32" i="3"/>
  <c r="S32" i="3"/>
  <c r="T32" i="3"/>
  <c r="U32" i="3"/>
  <c r="V32" i="3"/>
  <c r="W32" i="3"/>
  <c r="X32" i="3"/>
  <c r="Y32" i="3"/>
  <c r="AE32" i="3"/>
  <c r="Q32" i="3"/>
  <c r="R32" i="3"/>
  <c r="O32" i="3"/>
  <c r="G32" i="3"/>
  <c r="B32" i="3"/>
  <c r="Z31" i="3"/>
  <c r="AA31" i="3"/>
  <c r="AB31" i="3"/>
  <c r="AC31" i="3"/>
  <c r="AD31" i="3"/>
  <c r="S31" i="3"/>
  <c r="T31" i="3"/>
  <c r="U31" i="3"/>
  <c r="V31" i="3"/>
  <c r="W31" i="3"/>
  <c r="X31" i="3"/>
  <c r="Y31" i="3"/>
  <c r="AE31" i="3"/>
  <c r="Q31" i="3"/>
  <c r="R31" i="3"/>
  <c r="O31" i="3"/>
  <c r="G31" i="3"/>
  <c r="B31" i="3"/>
  <c r="Z30" i="3"/>
  <c r="AA30" i="3"/>
  <c r="AB30" i="3"/>
  <c r="AC30" i="3"/>
  <c r="AD30" i="3"/>
  <c r="S30" i="3"/>
  <c r="T30" i="3"/>
  <c r="U30" i="3"/>
  <c r="V30" i="3"/>
  <c r="W30" i="3"/>
  <c r="X30" i="3"/>
  <c r="Y30" i="3"/>
  <c r="AE30" i="3"/>
  <c r="Q30" i="3"/>
  <c r="R30" i="3"/>
  <c r="O30" i="3"/>
  <c r="G30" i="3"/>
  <c r="B30" i="3"/>
  <c r="Z29" i="3"/>
  <c r="AA29" i="3"/>
  <c r="AB29" i="3"/>
  <c r="AC29" i="3"/>
  <c r="AD29" i="3"/>
  <c r="S29" i="3"/>
  <c r="T29" i="3"/>
  <c r="U29" i="3"/>
  <c r="V29" i="3"/>
  <c r="W29" i="3"/>
  <c r="X29" i="3"/>
  <c r="Y29" i="3"/>
  <c r="AE29" i="3"/>
  <c r="Q29" i="3"/>
  <c r="R29" i="3"/>
  <c r="O29" i="3"/>
  <c r="G29" i="3"/>
  <c r="B29" i="3"/>
  <c r="Z28" i="3"/>
  <c r="AA28" i="3"/>
  <c r="AB28" i="3"/>
  <c r="AC28" i="3"/>
  <c r="AD28" i="3"/>
  <c r="S28" i="3"/>
  <c r="T28" i="3"/>
  <c r="U28" i="3"/>
  <c r="V28" i="3"/>
  <c r="W28" i="3"/>
  <c r="X28" i="3"/>
  <c r="Y28" i="3"/>
  <c r="AE28" i="3"/>
  <c r="Q28" i="3"/>
  <c r="R28" i="3"/>
  <c r="O28" i="3"/>
  <c r="G28" i="3"/>
  <c r="B28" i="3"/>
  <c r="Z27" i="3"/>
  <c r="AA27" i="3"/>
  <c r="AB27" i="3"/>
  <c r="AC27" i="3"/>
  <c r="AD27" i="3"/>
  <c r="S27" i="3"/>
  <c r="T27" i="3"/>
  <c r="U27" i="3"/>
  <c r="V27" i="3"/>
  <c r="W27" i="3"/>
  <c r="X27" i="3"/>
  <c r="Y27" i="3"/>
  <c r="AE27" i="3"/>
  <c r="Q27" i="3"/>
  <c r="R27" i="3"/>
  <c r="O27" i="3"/>
  <c r="G27" i="3"/>
  <c r="B27" i="3"/>
  <c r="Z26" i="3"/>
  <c r="AA26" i="3"/>
  <c r="AB26" i="3"/>
  <c r="AC26" i="3"/>
  <c r="AD26" i="3"/>
  <c r="S26" i="3"/>
  <c r="T26" i="3"/>
  <c r="U26" i="3"/>
  <c r="V26" i="3"/>
  <c r="W26" i="3"/>
  <c r="X26" i="3"/>
  <c r="Y26" i="3"/>
  <c r="AE26" i="3"/>
  <c r="Q26" i="3"/>
  <c r="R26" i="3"/>
  <c r="O26" i="3"/>
  <c r="G26" i="3"/>
  <c r="B26" i="3"/>
  <c r="Z25" i="3"/>
  <c r="AA25" i="3"/>
  <c r="AB25" i="3"/>
  <c r="AC25" i="3"/>
  <c r="AD25" i="3"/>
  <c r="S25" i="3"/>
  <c r="T25" i="3"/>
  <c r="U25" i="3"/>
  <c r="V25" i="3"/>
  <c r="W25" i="3"/>
  <c r="X25" i="3"/>
  <c r="Y25" i="3"/>
  <c r="AE25" i="3"/>
  <c r="Q25" i="3"/>
  <c r="R25" i="3"/>
  <c r="O25" i="3"/>
  <c r="G25" i="3"/>
  <c r="B25" i="3"/>
  <c r="Z24" i="3"/>
  <c r="AA24" i="3"/>
  <c r="AB24" i="3"/>
  <c r="AC24" i="3"/>
  <c r="AD24" i="3"/>
  <c r="S24" i="3"/>
  <c r="T24" i="3"/>
  <c r="U24" i="3"/>
  <c r="V24" i="3"/>
  <c r="W24" i="3"/>
  <c r="X24" i="3"/>
  <c r="Y24" i="3"/>
  <c r="AE24" i="3"/>
  <c r="Q24" i="3"/>
  <c r="R24" i="3"/>
  <c r="O24" i="3"/>
  <c r="G24" i="3"/>
  <c r="B24" i="3"/>
  <c r="Z23" i="3"/>
  <c r="AA23" i="3"/>
  <c r="AB23" i="3"/>
  <c r="AC23" i="3"/>
  <c r="AD23" i="3"/>
  <c r="S23" i="3"/>
  <c r="T23" i="3"/>
  <c r="U23" i="3"/>
  <c r="V23" i="3"/>
  <c r="W23" i="3"/>
  <c r="X23" i="3"/>
  <c r="Y23" i="3"/>
  <c r="AE23" i="3"/>
  <c r="Q23" i="3"/>
  <c r="R23" i="3"/>
  <c r="O23" i="3"/>
  <c r="G23" i="3"/>
  <c r="B23" i="3"/>
  <c r="Z22" i="3"/>
  <c r="AA22" i="3"/>
  <c r="AB22" i="3"/>
  <c r="AC22" i="3"/>
  <c r="AD22" i="3"/>
  <c r="S22" i="3"/>
  <c r="T22" i="3"/>
  <c r="U22" i="3"/>
  <c r="V22" i="3"/>
  <c r="W22" i="3"/>
  <c r="X22" i="3"/>
  <c r="Y22" i="3"/>
  <c r="AE22" i="3"/>
  <c r="Q22" i="3"/>
  <c r="R22" i="3"/>
  <c r="O22" i="3"/>
  <c r="G22" i="3"/>
  <c r="B22" i="3"/>
  <c r="Z21" i="3"/>
  <c r="AA21" i="3"/>
  <c r="AB21" i="3"/>
  <c r="AC21" i="3"/>
  <c r="AD21" i="3"/>
  <c r="S21" i="3"/>
  <c r="T21" i="3"/>
  <c r="U21" i="3"/>
  <c r="V21" i="3"/>
  <c r="W21" i="3"/>
  <c r="X21" i="3"/>
  <c r="Y21" i="3"/>
  <c r="AE21" i="3"/>
  <c r="Q21" i="3"/>
  <c r="R21" i="3"/>
  <c r="O21" i="3"/>
  <c r="G21" i="3"/>
  <c r="B21" i="3"/>
  <c r="Z20" i="3"/>
  <c r="AA20" i="3"/>
  <c r="AB20" i="3"/>
  <c r="AC20" i="3"/>
  <c r="AD20" i="3"/>
  <c r="S20" i="3"/>
  <c r="T20" i="3"/>
  <c r="U20" i="3"/>
  <c r="V20" i="3"/>
  <c r="W20" i="3"/>
  <c r="X20" i="3"/>
  <c r="Y20" i="3"/>
  <c r="AE20" i="3"/>
  <c r="Q20" i="3"/>
  <c r="R20" i="3"/>
  <c r="O20" i="3"/>
  <c r="G20" i="3"/>
  <c r="B20" i="3"/>
  <c r="Z19" i="3"/>
  <c r="AA19" i="3"/>
  <c r="AB19" i="3"/>
  <c r="AC19" i="3"/>
  <c r="AD19" i="3"/>
  <c r="S19" i="3"/>
  <c r="T19" i="3"/>
  <c r="U19" i="3"/>
  <c r="V19" i="3"/>
  <c r="W19" i="3"/>
  <c r="X19" i="3"/>
  <c r="Y19" i="3"/>
  <c r="AE19" i="3"/>
  <c r="Q19" i="3"/>
  <c r="R19" i="3"/>
  <c r="O19" i="3"/>
  <c r="G19" i="3"/>
  <c r="B19" i="3"/>
  <c r="Z18" i="3"/>
  <c r="AA18" i="3"/>
  <c r="AB18" i="3"/>
  <c r="AC18" i="3"/>
  <c r="AD18" i="3"/>
  <c r="S18" i="3"/>
  <c r="T18" i="3"/>
  <c r="U18" i="3"/>
  <c r="V18" i="3"/>
  <c r="W18" i="3"/>
  <c r="X18" i="3"/>
  <c r="Y18" i="3"/>
  <c r="AE18" i="3"/>
  <c r="Q18" i="3"/>
  <c r="R18" i="3"/>
  <c r="O18" i="3"/>
  <c r="G18" i="3"/>
  <c r="B18" i="3"/>
  <c r="Z17" i="3"/>
  <c r="AA17" i="3"/>
  <c r="AB17" i="3"/>
  <c r="AC17" i="3"/>
  <c r="AD17" i="3"/>
  <c r="S17" i="3"/>
  <c r="T17" i="3"/>
  <c r="U17" i="3"/>
  <c r="V17" i="3"/>
  <c r="W17" i="3"/>
  <c r="X17" i="3"/>
  <c r="Y17" i="3"/>
  <c r="AE17" i="3"/>
  <c r="Q17" i="3"/>
  <c r="R17" i="3"/>
  <c r="O17" i="3"/>
  <c r="G17" i="3"/>
  <c r="B17" i="3"/>
  <c r="Z16" i="3"/>
  <c r="AA16" i="3"/>
  <c r="AB16" i="3"/>
  <c r="AC16" i="3"/>
  <c r="AD16" i="3"/>
  <c r="S16" i="3"/>
  <c r="T16" i="3"/>
  <c r="U16" i="3"/>
  <c r="V16" i="3"/>
  <c r="W16" i="3"/>
  <c r="X16" i="3"/>
  <c r="Y16" i="3"/>
  <c r="AE16" i="3"/>
  <c r="Q16" i="3"/>
  <c r="R16" i="3"/>
  <c r="O16" i="3"/>
  <c r="G16" i="3"/>
  <c r="B16" i="3"/>
  <c r="Z15" i="3"/>
  <c r="AA15" i="3"/>
  <c r="AB15" i="3"/>
  <c r="AC15" i="3"/>
  <c r="AD15" i="3"/>
  <c r="S15" i="3"/>
  <c r="T15" i="3"/>
  <c r="U15" i="3"/>
  <c r="V15" i="3"/>
  <c r="W15" i="3"/>
  <c r="X15" i="3"/>
  <c r="Y15" i="3"/>
  <c r="AE15" i="3"/>
  <c r="Q15" i="3"/>
  <c r="R15" i="3"/>
  <c r="O15" i="3"/>
  <c r="G15" i="3"/>
  <c r="B15" i="3"/>
  <c r="Z14" i="3"/>
  <c r="AA14" i="3"/>
  <c r="AB14" i="3"/>
  <c r="AC14" i="3"/>
  <c r="AD14" i="3"/>
  <c r="S14" i="3"/>
  <c r="T14" i="3"/>
  <c r="U14" i="3"/>
  <c r="V14" i="3"/>
  <c r="W14" i="3"/>
  <c r="X14" i="3"/>
  <c r="Y14" i="3"/>
  <c r="AE14" i="3"/>
  <c r="Q14" i="3"/>
  <c r="R14" i="3"/>
  <c r="O14" i="3"/>
  <c r="G14" i="3"/>
  <c r="B14" i="3"/>
  <c r="Z13" i="3"/>
  <c r="AA13" i="3"/>
  <c r="AB13" i="3"/>
  <c r="AC13" i="3"/>
  <c r="AD13" i="3"/>
  <c r="S13" i="3"/>
  <c r="T13" i="3"/>
  <c r="U13" i="3"/>
  <c r="V13" i="3"/>
  <c r="W13" i="3"/>
  <c r="X13" i="3"/>
  <c r="Y13" i="3"/>
  <c r="AE13" i="3"/>
  <c r="Q13" i="3"/>
  <c r="R13" i="3"/>
  <c r="O13" i="3"/>
  <c r="G13" i="3"/>
  <c r="B13" i="3"/>
  <c r="Z12" i="3"/>
  <c r="AA12" i="3"/>
  <c r="AB12" i="3"/>
  <c r="AC12" i="3"/>
  <c r="AD12" i="3"/>
  <c r="S12" i="3"/>
  <c r="T12" i="3"/>
  <c r="U12" i="3"/>
  <c r="V12" i="3"/>
  <c r="W12" i="3"/>
  <c r="X12" i="3"/>
  <c r="Y12" i="3"/>
  <c r="AE12" i="3"/>
  <c r="Q12" i="3"/>
  <c r="R12" i="3"/>
  <c r="O12" i="3"/>
  <c r="G12" i="3"/>
  <c r="B12" i="3"/>
  <c r="Z11" i="3"/>
  <c r="AA11" i="3"/>
  <c r="AB11" i="3"/>
  <c r="AC11" i="3"/>
  <c r="AD11" i="3"/>
  <c r="S11" i="3"/>
  <c r="T11" i="3"/>
  <c r="U11" i="3"/>
  <c r="V11" i="3"/>
  <c r="W11" i="3"/>
  <c r="X11" i="3"/>
  <c r="Y11" i="3"/>
  <c r="AE11" i="3"/>
  <c r="Q11" i="3"/>
  <c r="R11" i="3"/>
  <c r="O11" i="3"/>
  <c r="G11" i="3"/>
  <c r="B11" i="3"/>
  <c r="Z10" i="3"/>
  <c r="AA10" i="3"/>
  <c r="AB10" i="3"/>
  <c r="AC10" i="3"/>
  <c r="AD10" i="3"/>
  <c r="S10" i="3"/>
  <c r="T10" i="3"/>
  <c r="U10" i="3"/>
  <c r="V10" i="3"/>
  <c r="W10" i="3"/>
  <c r="X10" i="3"/>
  <c r="Y10" i="3"/>
  <c r="AE10" i="3"/>
  <c r="Q10" i="3"/>
  <c r="R10" i="3"/>
  <c r="O10" i="3"/>
  <c r="G10" i="3"/>
  <c r="B10" i="3"/>
  <c r="Z9" i="3"/>
  <c r="AA9" i="3"/>
  <c r="AB9" i="3"/>
  <c r="AC9" i="3"/>
  <c r="AD9" i="3"/>
  <c r="S9" i="3"/>
  <c r="T9" i="3"/>
  <c r="U9" i="3"/>
  <c r="V9" i="3"/>
  <c r="W9" i="3"/>
  <c r="X9" i="3"/>
  <c r="Y9" i="3"/>
  <c r="AE9" i="3"/>
  <c r="Q9" i="3"/>
  <c r="R9" i="3"/>
  <c r="O9" i="3"/>
  <c r="G9" i="3"/>
  <c r="B9" i="3"/>
  <c r="Z8" i="3"/>
  <c r="AA8" i="3"/>
  <c r="AB8" i="3"/>
  <c r="AC8" i="3"/>
  <c r="AD8" i="3"/>
  <c r="S8" i="3"/>
  <c r="T8" i="3"/>
  <c r="U8" i="3"/>
  <c r="V8" i="3"/>
  <c r="W8" i="3"/>
  <c r="X8" i="3"/>
  <c r="Y8" i="3"/>
  <c r="AE8" i="3"/>
  <c r="Q8" i="3"/>
  <c r="R8" i="3"/>
  <c r="O8" i="3"/>
  <c r="G8" i="3"/>
  <c r="B8" i="3"/>
  <c r="Z7" i="3"/>
  <c r="AA7" i="3"/>
  <c r="AB7" i="3"/>
  <c r="AC7" i="3"/>
  <c r="AD7" i="3"/>
  <c r="S7" i="3"/>
  <c r="T7" i="3"/>
  <c r="U7" i="3"/>
  <c r="V7" i="3"/>
  <c r="W7" i="3"/>
  <c r="X7" i="3"/>
  <c r="Y7" i="3"/>
  <c r="AE7" i="3"/>
  <c r="Q7" i="3"/>
  <c r="R7" i="3"/>
  <c r="O7" i="3"/>
  <c r="G7" i="3"/>
  <c r="B7" i="3"/>
  <c r="Z6" i="3"/>
  <c r="AA6" i="3"/>
  <c r="AB6" i="3"/>
  <c r="AC6" i="3"/>
  <c r="AD6" i="3"/>
  <c r="S6" i="3"/>
  <c r="T6" i="3"/>
  <c r="U6" i="3"/>
  <c r="V6" i="3"/>
  <c r="W6" i="3"/>
  <c r="X6" i="3"/>
  <c r="Y6" i="3"/>
  <c r="AE6" i="3"/>
  <c r="Q6" i="3"/>
  <c r="R6" i="3"/>
  <c r="O6" i="3"/>
  <c r="G6" i="3"/>
  <c r="B6" i="3"/>
  <c r="Z5" i="3"/>
  <c r="AA5" i="3"/>
  <c r="AB5" i="3"/>
  <c r="AC5" i="3"/>
  <c r="AD5" i="3"/>
  <c r="S5" i="3"/>
  <c r="T5" i="3"/>
  <c r="U5" i="3"/>
  <c r="V5" i="3"/>
  <c r="W5" i="3"/>
  <c r="X5" i="3"/>
  <c r="Y5" i="3"/>
  <c r="AE5" i="3"/>
  <c r="Q5" i="3"/>
  <c r="R5" i="3"/>
  <c r="O5" i="3"/>
  <c r="G5" i="3"/>
  <c r="B5" i="3"/>
  <c r="Z4" i="3"/>
  <c r="AA4" i="3"/>
  <c r="AB4" i="3"/>
  <c r="AC4" i="3"/>
  <c r="AD4" i="3"/>
  <c r="S4" i="3"/>
  <c r="T4" i="3"/>
  <c r="U4" i="3"/>
  <c r="V4" i="3"/>
  <c r="W4" i="3"/>
  <c r="X4" i="3"/>
  <c r="Y4" i="3"/>
  <c r="AE4" i="3"/>
  <c r="Q4" i="3"/>
  <c r="R4" i="3"/>
  <c r="O4" i="3"/>
  <c r="G4" i="3"/>
  <c r="B4" i="3"/>
  <c r="E19" i="7"/>
  <c r="F19" i="7"/>
  <c r="E18" i="7"/>
  <c r="F18" i="7"/>
  <c r="F17" i="7"/>
  <c r="E16" i="7"/>
  <c r="F16" i="7"/>
  <c r="E15" i="7"/>
  <c r="F15" i="7"/>
  <c r="E14" i="7"/>
  <c r="F14" i="7"/>
  <c r="E6" i="4"/>
  <c r="G6" i="4"/>
  <c r="S6" i="4"/>
  <c r="T6" i="4"/>
  <c r="Z351" i="1"/>
  <c r="AA351" i="1"/>
  <c r="AB351" i="1"/>
  <c r="AC351" i="1"/>
  <c r="AD351" i="1"/>
  <c r="AE351" i="1"/>
  <c r="AF351" i="1"/>
  <c r="J6" i="4"/>
  <c r="K6" i="4"/>
  <c r="U6" i="4"/>
  <c r="H70" i="6"/>
  <c r="D70" i="6"/>
  <c r="B57" i="6"/>
  <c r="B58" i="6"/>
  <c r="B59" i="6"/>
  <c r="B60" i="6"/>
  <c r="B61" i="6"/>
  <c r="B62" i="6"/>
  <c r="E3" i="7"/>
  <c r="D12" i="6"/>
  <c r="D29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4" i="2"/>
  <c r="W14" i="2"/>
  <c r="X14" i="2"/>
  <c r="AA14" i="2"/>
  <c r="AB14" i="2"/>
  <c r="Y14" i="2"/>
  <c r="Z14" i="2"/>
  <c r="S14" i="2"/>
  <c r="G14" i="2"/>
  <c r="B14" i="2"/>
  <c r="AC14" i="2"/>
  <c r="AD14" i="2"/>
  <c r="AE14" i="2"/>
  <c r="AF14" i="2"/>
  <c r="AG14" i="2"/>
  <c r="C29" i="6"/>
  <c r="F29" i="6"/>
  <c r="G29" i="6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4" i="2"/>
  <c r="G5" i="2"/>
  <c r="G6" i="2"/>
  <c r="G7" i="2"/>
  <c r="G8" i="2"/>
  <c r="G9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4" i="2"/>
  <c r="B5" i="2"/>
  <c r="B6" i="2"/>
  <c r="B7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K22" i="4"/>
  <c r="K21" i="4"/>
  <c r="K23" i="4"/>
  <c r="N3" i="4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G8" i="6"/>
  <c r="P4" i="5"/>
  <c r="F25" i="6"/>
  <c r="G25" i="6"/>
  <c r="F36" i="6"/>
  <c r="G36" i="6"/>
  <c r="B54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E55" i="6"/>
  <c r="B53" i="6"/>
  <c r="B51" i="6"/>
  <c r="G45" i="6"/>
  <c r="G44" i="6"/>
  <c r="F40" i="6"/>
  <c r="G40" i="6"/>
  <c r="F39" i="6"/>
  <c r="G39" i="6"/>
  <c r="F46" i="7"/>
  <c r="E46" i="7"/>
  <c r="E17" i="6"/>
  <c r="F17" i="6"/>
  <c r="G17" i="6"/>
  <c r="C55" i="6"/>
  <c r="G55" i="6"/>
  <c r="D55" i="6"/>
  <c r="F55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4" i="6"/>
  <c r="E13" i="6"/>
  <c r="E12" i="6"/>
  <c r="E10" i="6"/>
  <c r="F27" i="6"/>
  <c r="G27" i="6"/>
  <c r="F26" i="6"/>
  <c r="G26" i="6"/>
  <c r="F9" i="6"/>
  <c r="G9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G7" i="5"/>
  <c r="K7" i="5"/>
  <c r="G8" i="5"/>
  <c r="G9" i="5"/>
  <c r="K9" i="5"/>
  <c r="G10" i="5"/>
  <c r="S4" i="5"/>
  <c r="E32" i="7"/>
  <c r="E16" i="6"/>
  <c r="F16" i="6"/>
  <c r="G16" i="6"/>
  <c r="F25" i="7"/>
  <c r="F32" i="7"/>
  <c r="G3" i="5"/>
  <c r="Q3" i="5"/>
  <c r="G5" i="5"/>
  <c r="G6" i="5"/>
  <c r="K6" i="5"/>
  <c r="G4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/>
  <c r="R6" i="5"/>
  <c r="O11" i="5"/>
  <c r="D22" i="6"/>
  <c r="F22" i="6"/>
  <c r="G22" i="6"/>
  <c r="G19" i="4"/>
  <c r="M4" i="2"/>
  <c r="S4" i="2"/>
  <c r="W4" i="2"/>
  <c r="X4" i="2"/>
  <c r="Y4" i="2"/>
  <c r="Z4" i="2"/>
  <c r="AA4" i="2"/>
  <c r="AB4" i="2"/>
  <c r="M5" i="2"/>
  <c r="S5" i="2"/>
  <c r="W5" i="2"/>
  <c r="X5" i="2"/>
  <c r="Y5" i="2"/>
  <c r="Z5" i="2"/>
  <c r="AA5" i="2"/>
  <c r="AC5" i="2"/>
  <c r="AD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C7" i="2"/>
  <c r="M8" i="2"/>
  <c r="S8" i="2"/>
  <c r="W8" i="2"/>
  <c r="X8" i="2"/>
  <c r="Y8" i="2"/>
  <c r="Z8" i="2"/>
  <c r="AA8" i="2"/>
  <c r="AC8" i="2"/>
  <c r="M9" i="2"/>
  <c r="S9" i="2"/>
  <c r="W9" i="2"/>
  <c r="X9" i="2"/>
  <c r="Y9" i="2"/>
  <c r="Z9" i="2"/>
  <c r="AA9" i="2"/>
  <c r="AC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B11" i="2"/>
  <c r="M12" i="2"/>
  <c r="S12" i="2"/>
  <c r="W12" i="2"/>
  <c r="X12" i="2"/>
  <c r="Y12" i="2"/>
  <c r="Z12" i="2"/>
  <c r="AA12" i="2"/>
  <c r="AB12" i="2"/>
  <c r="AC12" i="2"/>
  <c r="AD12" i="2"/>
  <c r="M13" i="2"/>
  <c r="S13" i="2"/>
  <c r="W13" i="2"/>
  <c r="X13" i="2"/>
  <c r="Y13" i="2"/>
  <c r="Z13" i="2"/>
  <c r="AA13" i="2"/>
  <c r="AB13" i="2"/>
  <c r="M15" i="2"/>
  <c r="S15" i="2"/>
  <c r="W15" i="2"/>
  <c r="X15" i="2"/>
  <c r="Y15" i="2"/>
  <c r="Z15" i="2"/>
  <c r="AA15" i="2"/>
  <c r="AC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8" i="2"/>
  <c r="S18" i="2"/>
  <c r="W18" i="2"/>
  <c r="X18" i="2"/>
  <c r="Y18" i="2"/>
  <c r="Z18" i="2"/>
  <c r="AA18" i="2"/>
  <c r="AB18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H5" i="4"/>
  <c r="I5" i="4"/>
  <c r="H4" i="4"/>
  <c r="I4" i="4"/>
  <c r="H7" i="4"/>
  <c r="I7" i="4"/>
  <c r="H5" i="5"/>
  <c r="I5" i="5"/>
  <c r="H4" i="5"/>
  <c r="I4" i="5"/>
  <c r="R4" i="5"/>
  <c r="G77" i="6"/>
  <c r="E3" i="4"/>
  <c r="H8" i="4"/>
  <c r="I8" i="4"/>
  <c r="AC20" i="2"/>
  <c r="AD20" i="2"/>
  <c r="AB7" i="2"/>
  <c r="AB15" i="2"/>
  <c r="AD15" i="2"/>
  <c r="AE15" i="2"/>
  <c r="AF15" i="2"/>
  <c r="AG15" i="2"/>
  <c r="AB9" i="2"/>
  <c r="AB5" i="2"/>
  <c r="AC10" i="2"/>
  <c r="AE10" i="2"/>
  <c r="AC19" i="2"/>
  <c r="AD19" i="2"/>
  <c r="AD7" i="2"/>
  <c r="AE7" i="2"/>
  <c r="AF7" i="2"/>
  <c r="AG7" i="2"/>
  <c r="AC23" i="2"/>
  <c r="AD23" i="2"/>
  <c r="AE20" i="2"/>
  <c r="AF20" i="2"/>
  <c r="AG20" i="2"/>
  <c r="AC18" i="2"/>
  <c r="AD18" i="2"/>
  <c r="P8" i="4"/>
  <c r="Q8" i="4"/>
  <c r="P5" i="5"/>
  <c r="Q5" i="5"/>
  <c r="R5" i="5"/>
  <c r="P6" i="4"/>
  <c r="P7" i="4"/>
  <c r="Q7" i="4"/>
  <c r="P3" i="4"/>
  <c r="P4" i="4"/>
  <c r="Q4" i="4"/>
  <c r="P5" i="4"/>
  <c r="H3" i="4"/>
  <c r="H6" i="4"/>
  <c r="I6" i="4"/>
  <c r="AB8" i="2"/>
  <c r="AC21" i="2"/>
  <c r="AD8" i="2"/>
  <c r="AE8" i="2"/>
  <c r="AE9" i="2"/>
  <c r="AD9" i="2"/>
  <c r="AC13" i="2"/>
  <c r="AC6" i="2"/>
  <c r="AC16" i="2"/>
  <c r="AE12" i="2"/>
  <c r="AF12" i="2"/>
  <c r="AG12" i="2"/>
  <c r="AE5" i="2"/>
  <c r="AC17" i="2"/>
  <c r="AC11" i="2"/>
  <c r="AC4" i="2"/>
  <c r="AC22" i="2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Q5" i="4"/>
  <c r="AF5" i="2"/>
  <c r="AG5" i="2"/>
  <c r="AD10" i="2"/>
  <c r="AF10" i="2"/>
  <c r="AG10" i="2"/>
  <c r="AE19" i="2"/>
  <c r="AF19" i="2"/>
  <c r="AG19" i="2"/>
  <c r="AF9" i="2"/>
  <c r="AG9" i="2"/>
  <c r="AE18" i="2"/>
  <c r="AF18" i="2"/>
  <c r="AG18" i="2"/>
  <c r="AF8" i="2"/>
  <c r="AG8" i="2"/>
  <c r="AE23" i="2"/>
  <c r="AF23" i="2"/>
  <c r="AG23" i="2"/>
  <c r="G78" i="6"/>
  <c r="G79" i="6"/>
  <c r="R11" i="5"/>
  <c r="E23" i="6"/>
  <c r="F23" i="6"/>
  <c r="G23" i="6"/>
  <c r="S4" i="4"/>
  <c r="T4" i="4"/>
  <c r="S5" i="4"/>
  <c r="T5" i="4"/>
  <c r="K24" i="4"/>
  <c r="J4" i="4"/>
  <c r="J7" i="4"/>
  <c r="AD21" i="2"/>
  <c r="AE21" i="2"/>
  <c r="AD4" i="2"/>
  <c r="AE4" i="2"/>
  <c r="AD11" i="2"/>
  <c r="AE11" i="2"/>
  <c r="AD17" i="2"/>
  <c r="AE17" i="2"/>
  <c r="AD6" i="2"/>
  <c r="AE6" i="2"/>
  <c r="AD22" i="2"/>
  <c r="AE22" i="2"/>
  <c r="AD16" i="2"/>
  <c r="AE16" i="2"/>
  <c r="AD13" i="2"/>
  <c r="AE13" i="2"/>
  <c r="S3" i="4"/>
  <c r="G15" i="4"/>
  <c r="D24" i="6"/>
  <c r="F24" i="6"/>
  <c r="Q6" i="4"/>
  <c r="R6" i="4"/>
  <c r="G70" i="6"/>
  <c r="Q10" i="4"/>
  <c r="R10" i="4"/>
  <c r="T10" i="4"/>
  <c r="U10" i="4"/>
  <c r="O5" i="4"/>
  <c r="Q9" i="4"/>
  <c r="R9" i="4"/>
  <c r="O7" i="4"/>
  <c r="R7" i="4"/>
  <c r="G71" i="6"/>
  <c r="U9" i="4"/>
  <c r="R5" i="4"/>
  <c r="G69" i="6"/>
  <c r="R13" i="4"/>
  <c r="R11" i="4"/>
  <c r="R12" i="4"/>
  <c r="R4" i="4"/>
  <c r="G68" i="6"/>
  <c r="R8" i="4"/>
  <c r="G72" i="6"/>
  <c r="R14" i="4"/>
  <c r="I24" i="4"/>
  <c r="M24" i="4"/>
  <c r="I3" i="4"/>
  <c r="Q3" i="4"/>
  <c r="AF21" i="2"/>
  <c r="AG21" i="2"/>
  <c r="AF17" i="2"/>
  <c r="AG17" i="2"/>
  <c r="AF13" i="2"/>
  <c r="AG13" i="2"/>
  <c r="AF16" i="2"/>
  <c r="AG16" i="2"/>
  <c r="AF6" i="2"/>
  <c r="AG6" i="2"/>
  <c r="AF22" i="2"/>
  <c r="AG22" i="2"/>
  <c r="AF4" i="2"/>
  <c r="AG4" i="2"/>
  <c r="AF11" i="2"/>
  <c r="AG11" i="2"/>
  <c r="O15" i="4"/>
  <c r="D19" i="6"/>
  <c r="F19" i="6"/>
  <c r="G19" i="6"/>
  <c r="G24" i="6"/>
  <c r="R3" i="4"/>
  <c r="G67" i="6"/>
  <c r="T3" i="4"/>
  <c r="J4" i="5"/>
  <c r="K4" i="5"/>
  <c r="U4" i="5"/>
  <c r="H77" i="6"/>
  <c r="J5" i="5"/>
  <c r="K5" i="5"/>
  <c r="F77" i="6"/>
  <c r="C77" i="6"/>
  <c r="D77" i="6"/>
  <c r="B77" i="6"/>
  <c r="S7" i="4"/>
  <c r="T7" i="4"/>
  <c r="S5" i="5"/>
  <c r="T5" i="5"/>
  <c r="U5" i="5"/>
  <c r="S8" i="4"/>
  <c r="T8" i="4"/>
  <c r="J3" i="4"/>
  <c r="K3" i="4"/>
  <c r="M3" i="4"/>
  <c r="M6" i="4"/>
  <c r="J8" i="4"/>
  <c r="K8" i="4"/>
  <c r="K7" i="4"/>
  <c r="M7" i="4"/>
  <c r="J5" i="4"/>
  <c r="K5" i="4"/>
  <c r="M5" i="4"/>
  <c r="K4" i="4"/>
  <c r="M4" i="4"/>
  <c r="R15" i="4"/>
  <c r="E20" i="6"/>
  <c r="F20" i="6"/>
  <c r="D28" i="6"/>
  <c r="F28" i="6"/>
  <c r="G28" i="6"/>
  <c r="G73" i="6"/>
  <c r="E77" i="6"/>
  <c r="H78" i="6"/>
  <c r="U11" i="5"/>
  <c r="E35" i="6"/>
  <c r="F35" i="6"/>
  <c r="G35" i="6"/>
  <c r="M8" i="4"/>
  <c r="U8" i="4"/>
  <c r="H72" i="6"/>
  <c r="U3" i="4"/>
  <c r="H67" i="6"/>
  <c r="C67" i="6"/>
  <c r="U4" i="4"/>
  <c r="H68" i="6"/>
  <c r="U5" i="4"/>
  <c r="H69" i="6"/>
  <c r="U7" i="4"/>
  <c r="H71" i="6"/>
  <c r="G20" i="6"/>
  <c r="G30" i="6"/>
  <c r="F30" i="6"/>
  <c r="E58" i="6"/>
  <c r="D58" i="6"/>
  <c r="F58" i="6"/>
  <c r="G58" i="6"/>
  <c r="C58" i="6"/>
  <c r="C57" i="6"/>
  <c r="F57" i="6"/>
  <c r="E57" i="6"/>
  <c r="D57" i="6"/>
  <c r="G57" i="6"/>
  <c r="D67" i="6"/>
  <c r="E67" i="6"/>
  <c r="F67" i="6"/>
  <c r="F78" i="6"/>
  <c r="F79" i="6"/>
  <c r="B78" i="6"/>
  <c r="D78" i="6"/>
  <c r="C78" i="6"/>
  <c r="H79" i="6"/>
  <c r="B67" i="6"/>
  <c r="C72" i="6"/>
  <c r="F72" i="6"/>
  <c r="D72" i="6"/>
  <c r="B72" i="6"/>
  <c r="B71" i="6"/>
  <c r="F71" i="6"/>
  <c r="C71" i="6"/>
  <c r="D71" i="6"/>
  <c r="B70" i="6"/>
  <c r="F70" i="6"/>
  <c r="C70" i="6"/>
  <c r="B69" i="6"/>
  <c r="C69" i="6"/>
  <c r="D69" i="6"/>
  <c r="F69" i="6"/>
  <c r="U15" i="4"/>
  <c r="E34" i="6"/>
  <c r="F34" i="6"/>
  <c r="G34" i="6"/>
  <c r="H73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6" i="6"/>
  <c r="F56" i="6"/>
  <c r="C56" i="6"/>
  <c r="D59" i="6"/>
  <c r="F59" i="6"/>
  <c r="C60" i="6"/>
  <c r="E60" i="6"/>
  <c r="G60" i="6"/>
  <c r="D61" i="6"/>
  <c r="F61" i="6"/>
  <c r="C62" i="6"/>
  <c r="E62" i="6"/>
  <c r="G62" i="6"/>
  <c r="E56" i="6"/>
  <c r="G56" i="6"/>
  <c r="D37" i="6"/>
  <c r="F37" i="6"/>
  <c r="G37" i="6"/>
  <c r="D38" i="6"/>
  <c r="F38" i="6"/>
  <c r="G38" i="6"/>
  <c r="E78" i="6"/>
  <c r="E79" i="6"/>
  <c r="E69" i="6"/>
  <c r="E72" i="6"/>
  <c r="E71" i="6"/>
  <c r="E70" i="6"/>
  <c r="E68" i="6"/>
  <c r="F73" i="6"/>
  <c r="G41" i="6"/>
  <c r="G43" i="6"/>
  <c r="F41" i="6"/>
  <c r="F43" i="6"/>
  <c r="E73" i="6"/>
</calcChain>
</file>

<file path=xl/sharedStrings.xml><?xml version="1.0" encoding="utf-8"?>
<sst xmlns="http://schemas.openxmlformats.org/spreadsheetml/2006/main" count="1996" uniqueCount="531">
  <si>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</si>
  <si>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</si>
  <si>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</si>
  <si>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</si>
  <si>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</si>
  <si>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</si>
  <si>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</si>
  <si>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</si>
  <si>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</si>
  <si>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</si>
  <si>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</si>
  <si>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</si>
  <si>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</si>
  <si>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</si>
  <si>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</si>
  <si>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</si>
  <si>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</si>
  <si>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</si>
  <si>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</si>
  <si>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</si>
  <si>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</si>
  <si>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</si>
  <si>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</si>
  <si>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</si>
  <si>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</si>
  <si>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</si>
  <si>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</si>
  <si>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</si>
  <si>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</si>
  <si>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</si>
  <si>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</si>
  <si>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</si>
  <si>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</si>
  <si>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</si>
  <si>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</si>
  <si>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</si>
  <si>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</si>
  <si>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</si>
  <si>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</si>
  <si>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</si>
  <si>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</si>
  <si>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</si>
  <si>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</si>
  <si>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</si>
  <si>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</si>
  <si>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</si>
  <si>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</si>
  <si>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</si>
  <si>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</si>
  <si>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</si>
  <si>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</si>
  <si>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</si>
  <si>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</si>
  <si>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</si>
  <si>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</si>
  <si>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</si>
  <si>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</si>
  <si>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</si>
  <si>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</si>
  <si>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</si>
  <si>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</si>
  <si>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</si>
  <si>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</si>
  <si>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</si>
  <si>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</si>
  <si>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</si>
  <si>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</si>
  <si>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</si>
  <si>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</si>
  <si>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</si>
  <si>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</si>
  <si>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</si>
  <si>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</si>
  <si>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</si>
  <si>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</si>
  <si>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</si>
  <si>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</si>
  <si>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</si>
  <si>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</si>
  <si>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</si>
  <si>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</si>
  <si>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</si>
  <si>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</si>
  <si>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</si>
  <si>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</si>
  <si>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</si>
  <si>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</si>
  <si>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</si>
  <si>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</si>
  <si>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</si>
  <si>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</si>
  <si>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</si>
  <si>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</si>
  <si>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</si>
  <si>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</si>
  <si>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</si>
  <si>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</si>
  <si>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</si>
  <si>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</si>
  <si>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</si>
  <si>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</si>
  <si>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</si>
  <si>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</si>
  <si>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</si>
  <si>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</si>
  <si>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</si>
  <si>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</si>
  <si>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</si>
  <si>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</si>
  <si>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</si>
  <si>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</si>
  <si>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</si>
  <si>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</si>
  <si>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</si>
  <si>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</si>
  <si>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</si>
  <si>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</si>
  <si>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</si>
  <si>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</si>
  <si>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</si>
  <si>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</si>
  <si>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</si>
  <si>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</si>
  <si>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</si>
  <si>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</si>
  <si>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</si>
  <si>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</si>
  <si>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</si>
  <si>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</si>
  <si>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</si>
  <si>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</si>
  <si>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</si>
  <si>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</si>
  <si>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</si>
  <si>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</si>
  <si>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</si>
  <si>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</si>
  <si>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</si>
  <si>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</si>
  <si>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</si>
  <si>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</si>
  <si>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</si>
  <si>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</si>
  <si>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</si>
  <si>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</si>
  <si>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</si>
  <si>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</si>
  <si>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</si>
  <si>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</si>
  <si>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</si>
  <si>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</si>
  <si>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</si>
  <si>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</si>
  <si>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</si>
  <si>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</si>
  <si>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</si>
  <si>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</si>
  <si>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</si>
  <si>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</si>
  <si>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</si>
  <si>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</si>
  <si>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</si>
  <si>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</si>
  <si>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</si>
  <si>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</si>
  <si>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</si>
  <si>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</si>
  <si>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</si>
  <si>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</si>
  <si>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</si>
  <si>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</si>
  <si>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</si>
  <si>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</si>
  <si>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</si>
  <si>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</si>
  <si>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</si>
  <si>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</si>
  <si>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</si>
  <si>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</si>
  <si>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</si>
  <si>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</si>
  <si>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</si>
  <si>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</si>
  <si>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</si>
  <si>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</si>
  <si>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</si>
  <si>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</si>
  <si>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</si>
  <si>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</si>
  <si>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</si>
  <si>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</si>
  <si>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</si>
  <si>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</si>
  <si>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</si>
  <si>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</si>
  <si>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</si>
  <si>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</si>
  <si>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</si>
  <si>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</si>
  <si>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</si>
  <si>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</si>
  <si>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</si>
  <si>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</si>
  <si>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</si>
  <si>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</si>
  <si>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</si>
  <si>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</si>
  <si>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</si>
  <si>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</si>
  <si>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</si>
  <si>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</si>
  <si>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</si>
  <si>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</si>
  <si>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</si>
  <si>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</si>
  <si>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</si>
  <si>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</si>
  <si>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</si>
  <si>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</si>
  <si>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</si>
  <si>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</si>
  <si>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</si>
  <si>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</si>
  <si>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</si>
  <si>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</si>
  <si>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</si>
  <si>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</si>
  <si>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</si>
  <si>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</si>
  <si>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</si>
  <si>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</si>
  <si>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</si>
  <si>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</si>
  <si>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(500)</t>
  </si>
  <si>
    <t>6R-36 (365)</t>
  </si>
  <si>
    <t>6R-36 (500)</t>
  </si>
  <si>
    <t>70' 300 cu ft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</si>
  <si>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</si>
  <si>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</si>
  <si>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</si>
  <si>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</si>
  <si>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</si>
  <si>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</si>
  <si>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</si>
  <si>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</si>
  <si>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 xml:space="preserve">Combine (450-499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</si>
  <si>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</si>
  <si>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</si>
  <si>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</si>
  <si>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</si>
  <si>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</si>
  <si>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</si>
  <si>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</si>
  <si>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</si>
  <si>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</si>
  <si>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</si>
  <si>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</si>
  <si>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</si>
  <si>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</si>
  <si>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</si>
  <si>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</si>
  <si>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</si>
  <si>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</si>
  <si>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</si>
  <si>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</si>
  <si>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</si>
  <si>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</si>
  <si>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</si>
  <si>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</si>
  <si>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</si>
  <si>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</si>
  <si>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</si>
  <si>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</si>
  <si>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</si>
  <si>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</si>
  <si>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</si>
  <si>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</si>
  <si>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</si>
  <si>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</si>
  <si>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</si>
  <si>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</si>
  <si>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</si>
  <si>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</si>
  <si>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</si>
  <si>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</si>
  <si>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</si>
  <si>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</si>
  <si>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</si>
  <si>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</si>
  <si>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</si>
  <si>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</si>
  <si>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</si>
  <si>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</si>
  <si>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</si>
  <si>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</si>
  <si>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</si>
  <si>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</si>
  <si>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</si>
  <si>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</si>
  <si>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</si>
  <si>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</si>
  <si>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</si>
  <si>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</si>
  <si>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</si>
  <si>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</si>
  <si>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</si>
  <si>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</si>
  <si>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</si>
  <si>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</si>
  <si>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</si>
  <si>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</si>
  <si>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</si>
  <si>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</si>
  <si>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</si>
  <si>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</si>
  <si>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</si>
  <si>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</si>
  <si>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</si>
  <si>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</si>
  <si>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</si>
  <si>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</si>
  <si>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</si>
  <si>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</si>
  <si>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</si>
  <si>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</si>
  <si>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</si>
  <si>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</si>
  <si>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</si>
  <si>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</si>
  <si>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</si>
  <si>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</si>
  <si>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</si>
  <si>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</si>
  <si>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</si>
  <si>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</si>
  <si>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</si>
  <si>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</si>
  <si>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</si>
  <si>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</si>
  <si>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</si>
  <si>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</si>
  <si>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</si>
  <si>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</si>
  <si>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</si>
  <si>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</si>
  <si>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</si>
  <si>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</si>
  <si>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</si>
  <si>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</si>
  <si>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</si>
  <si>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</si>
  <si>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</si>
  <si>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</si>
  <si>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</si>
  <si>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</si>
  <si>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</si>
  <si>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</si>
  <si>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</si>
  <si>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</si>
  <si>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</si>
  <si>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</si>
  <si>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</si>
  <si>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</si>
  <si>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</si>
  <si>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</si>
  <si>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</si>
  <si>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</si>
  <si>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</si>
  <si>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</si>
  <si>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</si>
  <si>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</si>
  <si>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</si>
  <si>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</si>
  <si>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</si>
  <si>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</si>
  <si>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</si>
  <si>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</si>
  <si>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</si>
  <si>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</si>
  <si>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</si>
  <si>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</si>
  <si>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</si>
  <si>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</si>
  <si>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</si>
  <si>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</si>
  <si>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</si>
  <si>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</si>
  <si>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</si>
  <si>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</si>
  <si>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</si>
  <si>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</si>
  <si>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</si>
  <si>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</si>
  <si>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</si>
  <si>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</si>
  <si>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</si>
  <si>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</si>
  <si>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</si>
  <si>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</si>
  <si>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</si>
  <si>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</si>
  <si>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</si>
  <si>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</si>
  <si>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</si>
  <si>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</si>
  <si>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</si>
  <si>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</si>
  <si>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</si>
  <si>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</si>
  <si>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</si>
  <si>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</si>
  <si>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</si>
  <si>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</si>
  <si>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</si>
  <si>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</si>
  <si>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</si>
  <si>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</si>
  <si>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</si>
  <si>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</si>
  <si>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</si>
  <si>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</si>
  <si>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</si>
  <si>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</si>
  <si>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</si>
  <si>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</si>
  <si>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</si>
  <si>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</si>
  <si>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</si>
  <si>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</si>
  <si>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</si>
  <si>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</si>
  <si>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</si>
  <si>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</si>
  <si>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</si>
  <si>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</si>
  <si>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</si>
  <si>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</si>
  <si>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</si>
  <si>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</si>
  <si>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</si>
  <si>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</si>
  <si>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</si>
  <si>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</si>
  <si>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</si>
  <si>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</si>
  <si>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</si>
  <si>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</si>
  <si>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</si>
  <si>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</si>
  <si>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</si>
  <si>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</si>
  <si>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</si>
  <si>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</si>
  <si>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</si>
  <si>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</si>
  <si>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</si>
  <si>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</si>
  <si>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</si>
  <si>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</si>
  <si>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</si>
  <si>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</si>
  <si>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</si>
  <si>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</si>
  <si>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</si>
  <si>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</si>
  <si>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</si>
  <si>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</si>
  <si>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</si>
  <si>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</si>
  <si>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</si>
  <si>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</si>
  <si>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</si>
  <si>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</si>
  <si>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</si>
  <si>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</si>
  <si>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</si>
  <si>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</si>
  <si>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</si>
  <si>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</si>
  <si>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</si>
  <si>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</si>
  <si>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</si>
  <si>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</si>
  <si>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applications</t>
  </si>
  <si>
    <t>Your Yield</t>
  </si>
  <si>
    <t>Your Farm</t>
  </si>
  <si>
    <t>Headline</t>
  </si>
  <si>
    <t>oz</t>
  </si>
  <si>
    <t>WHEAT FOR GRAIN, INTENSIVE MANAGEMENT</t>
  </si>
  <si>
    <t>Oz.</t>
  </si>
  <si>
    <t>Pyrethroid</t>
  </si>
  <si>
    <t>Lambda Cyhalothrin (Karate Zeon, Silencer, and similar products</t>
  </si>
  <si>
    <t>Axial XL</t>
  </si>
  <si>
    <t>MCPA</t>
  </si>
  <si>
    <t>Drying - 2 Points</t>
  </si>
  <si>
    <t>2.99, Plow 4 Bottom Switch</t>
  </si>
  <si>
    <t>1.37, Grain Drill 15'</t>
  </si>
  <si>
    <t>0.42, Header Wheat/Sorghum 22' Rigid</t>
  </si>
  <si>
    <t>0.03, Combine (300-349 hp) 325 hp</t>
  </si>
  <si>
    <t xml:space="preserve">Developed by Amanda Smith. </t>
  </si>
  <si>
    <t>Harmony Extra Total Sol</t>
  </si>
  <si>
    <t>Disease Control**</t>
  </si>
  <si>
    <t>0.29, Grain Cart Wht/Sor  500 bu</t>
  </si>
  <si>
    <t>*Average of diesel and electric irrigation application costs.  Electric is estimated at $7/appl and diesel is estimated at $9.60/appl when diesel costs $2.15/gal.</t>
  </si>
  <si>
    <t>GEORGIA, 2017/18</t>
  </si>
  <si>
    <t>Treated Seed</t>
  </si>
  <si>
    <t>Glyphosate</t>
  </si>
  <si>
    <t>Pt.</t>
  </si>
  <si>
    <t>Zidua</t>
  </si>
  <si>
    <t>oz.</t>
  </si>
  <si>
    <t>Fierce</t>
  </si>
  <si>
    <t>Tebuconazole</t>
  </si>
  <si>
    <t xml:space="preserve">Tractor (20-39 hp) CB </t>
  </si>
  <si>
    <t xml:space="preserve">Tractor (20-39 hp) RB </t>
  </si>
  <si>
    <t xml:space="preserve">Tractor (40-59 hp) CB </t>
  </si>
  <si>
    <t xml:space="preserve">Tractor (40-59 hp) RB </t>
  </si>
  <si>
    <t xml:space="preserve">Tractor (60-89 hp) CB </t>
  </si>
  <si>
    <t xml:space="preserve">Tractor (60-89 hp) RB </t>
  </si>
  <si>
    <t xml:space="preserve">Tractor (90-119 hp) CB </t>
  </si>
  <si>
    <t xml:space="preserve">Tractor (90-119 hp) RB </t>
  </si>
  <si>
    <t xml:space="preserve">Tractor (120-139 hp) CB </t>
  </si>
  <si>
    <t xml:space="preserve">Tractor (140-159 hp) CB </t>
  </si>
  <si>
    <t xml:space="preserve">Tractor (160-179 hp) CB </t>
  </si>
  <si>
    <t xml:space="preserve">Tractor (180-199 hp) CB </t>
  </si>
  <si>
    <t xml:space="preserve">Tractor (200-249 hp) CB </t>
  </si>
  <si>
    <t xml:space="preserve">Tractor (250-349 hp) CB </t>
  </si>
  <si>
    <t xml:space="preserve">Tractor (350-449 hp) CB </t>
  </si>
  <si>
    <t xml:space="preserve">Tractor (450-550 hp) CB </t>
  </si>
  <si>
    <t xml:space="preserve">Utility Vehicle-Mule </t>
  </si>
  <si>
    <t>900 CC</t>
  </si>
  <si>
    <t xml:space="preserve">** If disease is expected to be a problem, add an additional $12-15/acre for chemical and application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</si>
</sst>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169" fontId="1" fillId="0" borderId="14" xfId="1" applyNumberFormat="1" applyFont="1" applyBorder="1" applyAlignment="1">
      <alignment horizontal="left" indent="8"/>
    </xf>
    <xf numFmtId="169" fontId="24" fillId="0" borderId="15" xfId="1" applyNumberFormat="1" applyFont="1" applyFill="1" applyBorder="1" applyAlignment="1">
      <alignment horizontal="center"/>
    </xf>
    <xf numFmtId="169" fontId="24" fillId="0" borderId="0" xfId="1" applyNumberFormat="1" applyFont="1" applyFill="1" applyBorder="1" applyAlignment="1">
      <alignment horizontal="center"/>
    </xf>
    <xf numFmtId="169" fontId="24" fillId="0" borderId="14" xfId="1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0" fontId="0" fillId="39" borderId="0" xfId="0" applyFont="1" applyFill="1" applyBorder="1"/>
    <xf numFmtId="0" fontId="0" fillId="38" borderId="24" xfId="0" applyFill="1" applyBorder="1" applyAlignment="1">
      <alignment wrapText="1"/>
    </xf>
    <xf numFmtId="0" fontId="36" fillId="38" borderId="0" xfId="0" applyFont="1" applyFill="1" applyBorder="1"/>
    <xf numFmtId="0" fontId="36" fillId="38" borderId="24" xfId="0" applyFont="1" applyFill="1" applyBorder="1"/>
    <xf numFmtId="0" fontId="0" fillId="0" borderId="0" xfId="0" applyNumberFormat="1" applyFont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ndasmith/Desktop/3980%20Intro%20AgBusMgmnt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vest"/>
      <sheetName val="implmnts"/>
      <sheetName val="Main"/>
      <sheetName val="Insect and Weed"/>
      <sheetName val="preharvest"/>
      <sheetName val="self_propelled"/>
      <sheetName val="tr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" bestFit="1" customWidth="1"/>
    <col min="6" max="6" width="10.5" bestFit="1" customWidth="1"/>
    <col min="7" max="7" width="9.6640625" customWidth="1"/>
    <col min="8" max="8" width="11" bestFit="1" customWidth="1"/>
  </cols>
  <sheetData>
    <row r="1" spans="1:9" x14ac:dyDescent="0.2">
      <c r="B1" s="252" t="s">
        <v>488</v>
      </c>
      <c r="C1" s="252"/>
      <c r="D1" s="252"/>
      <c r="E1" s="252"/>
      <c r="F1" s="252"/>
      <c r="G1" s="252"/>
      <c r="H1" s="252"/>
      <c r="I1" s="52"/>
    </row>
    <row r="2" spans="1:9" ht="14.5" customHeight="1" x14ac:dyDescent="0.2">
      <c r="B2" s="252" t="s">
        <v>504</v>
      </c>
      <c r="C2" s="252"/>
      <c r="D2" s="252"/>
      <c r="E2" s="252"/>
      <c r="F2" s="252"/>
      <c r="G2" s="252"/>
      <c r="H2" s="252"/>
      <c r="I2" s="46"/>
    </row>
    <row r="3" spans="1:9" x14ac:dyDescent="0.2">
      <c r="B3" s="52"/>
      <c r="C3" s="52"/>
      <c r="D3" s="52"/>
      <c r="E3" s="52"/>
      <c r="F3" s="52"/>
      <c r="G3" s="52"/>
      <c r="H3" s="52"/>
      <c r="I3" s="52"/>
    </row>
    <row r="4" spans="1:9" x14ac:dyDescent="0.2">
      <c r="B4" s="252" t="s">
        <v>352</v>
      </c>
      <c r="C4" s="252"/>
      <c r="D4" s="252"/>
      <c r="E4" s="252"/>
      <c r="F4" s="252"/>
      <c r="G4" s="252"/>
      <c r="H4" s="252"/>
      <c r="I4" s="52"/>
    </row>
    <row r="6" spans="1:9" x14ac:dyDescent="0.2">
      <c r="B6" s="72" t="s">
        <v>353</v>
      </c>
      <c r="C6" s="52">
        <v>75</v>
      </c>
      <c r="D6" t="s">
        <v>478</v>
      </c>
      <c r="F6" t="s">
        <v>484</v>
      </c>
    </row>
    <row r="7" spans="1:9" x14ac:dyDescent="0.2">
      <c r="G7" s="234"/>
    </row>
    <row r="8" spans="1:9" x14ac:dyDescent="0.2">
      <c r="B8" s="100" t="s">
        <v>354</v>
      </c>
      <c r="C8" s="100" t="s">
        <v>347</v>
      </c>
      <c r="D8" s="71" t="s">
        <v>348</v>
      </c>
      <c r="E8" s="71" t="s">
        <v>349</v>
      </c>
      <c r="F8" s="71" t="s">
        <v>355</v>
      </c>
      <c r="G8" s="233" t="str">
        <f>CONCATENATE("$/",$D$6)</f>
        <v>$/bushel</v>
      </c>
      <c r="H8" s="232" t="s">
        <v>485</v>
      </c>
    </row>
    <row r="9" spans="1:9" x14ac:dyDescent="0.2">
      <c r="B9" t="s">
        <v>505</v>
      </c>
      <c r="C9" t="s">
        <v>350</v>
      </c>
      <c r="D9">
        <v>125</v>
      </c>
      <c r="E9" s="36">
        <v>0.3</v>
      </c>
      <c r="F9" s="36">
        <f>E9*D9</f>
        <v>37.5</v>
      </c>
      <c r="G9" s="73">
        <f>F9/yield</f>
        <v>0.5</v>
      </c>
    </row>
    <row r="10" spans="1:9" x14ac:dyDescent="0.2">
      <c r="B10" t="s">
        <v>344</v>
      </c>
      <c r="C10" t="s">
        <v>367</v>
      </c>
      <c r="D10">
        <f>'Fert, Weed, Insct, Dis'!$C$6</f>
        <v>0.25</v>
      </c>
      <c r="E10" s="73">
        <f>'Fert, Weed, Insct, Dis'!$D$6</f>
        <v>45</v>
      </c>
      <c r="F10" s="36">
        <f>E10*D10</f>
        <v>11.25</v>
      </c>
      <c r="G10" s="73">
        <f>F10/yield</f>
        <v>0.15</v>
      </c>
      <c r="H10" s="234"/>
    </row>
    <row r="11" spans="1:9" x14ac:dyDescent="0.2">
      <c r="A11" s="143" t="s">
        <v>424</v>
      </c>
      <c r="B11" t="s">
        <v>357</v>
      </c>
      <c r="F11" s="36"/>
      <c r="G11" s="73"/>
    </row>
    <row r="12" spans="1:9" x14ac:dyDescent="0.2">
      <c r="B12" s="98" t="s">
        <v>358</v>
      </c>
      <c r="C12" t="s">
        <v>350</v>
      </c>
      <c r="D12" s="209">
        <f>'Fert, Weed, Insct, Dis'!$C$3</f>
        <v>120</v>
      </c>
      <c r="E12" s="73">
        <f>'Fert, Weed, Insct, Dis'!$D$3</f>
        <v>0.39</v>
      </c>
      <c r="F12" s="36">
        <f t="shared" ref="F12:F17" si="0">E12*D12</f>
        <v>46.800000000000004</v>
      </c>
      <c r="G12" s="73">
        <f t="shared" ref="G12:G17" si="1">F12/yield</f>
        <v>0.62400000000000011</v>
      </c>
    </row>
    <row r="13" spans="1:9" x14ac:dyDescent="0.2">
      <c r="B13" s="98" t="s">
        <v>359</v>
      </c>
      <c r="C13" t="s">
        <v>350</v>
      </c>
      <c r="D13">
        <f>'Fert, Weed, Insct, Dis'!$C$4</f>
        <v>50</v>
      </c>
      <c r="E13" s="73">
        <f>'Fert, Weed, Insct, Dis'!$D$4</f>
        <v>0.38</v>
      </c>
      <c r="F13" s="36">
        <f t="shared" si="0"/>
        <v>19</v>
      </c>
      <c r="G13" s="73">
        <f t="shared" si="1"/>
        <v>0.25333333333333335</v>
      </c>
      <c r="H13" s="234"/>
    </row>
    <row r="14" spans="1:9" x14ac:dyDescent="0.2">
      <c r="B14" s="98" t="s">
        <v>360</v>
      </c>
      <c r="C14" t="s">
        <v>350</v>
      </c>
      <c r="D14">
        <f>'Fert, Weed, Insct, Dis'!$C$5</f>
        <v>60</v>
      </c>
      <c r="E14" s="73">
        <f>'Fert, Weed, Insct, Dis'!$D$5</f>
        <v>0.3</v>
      </c>
      <c r="F14" s="36">
        <f t="shared" si="0"/>
        <v>18</v>
      </c>
      <c r="G14" s="73">
        <f t="shared" si="1"/>
        <v>0.24</v>
      </c>
    </row>
    <row r="15" spans="1:9" x14ac:dyDescent="0.2">
      <c r="A15" s="143" t="s">
        <v>425</v>
      </c>
      <c r="B15" t="s">
        <v>361</v>
      </c>
      <c r="C15" t="s">
        <v>368</v>
      </c>
      <c r="D15">
        <v>1</v>
      </c>
      <c r="E15" s="73">
        <f>'Fert, Weed, Insct, Dis'!$E$21</f>
        <v>39.637499999999996</v>
      </c>
      <c r="F15" s="36">
        <f t="shared" si="0"/>
        <v>39.637499999999996</v>
      </c>
      <c r="G15" s="73">
        <f t="shared" si="1"/>
        <v>0.52849999999999997</v>
      </c>
      <c r="H15" s="234"/>
    </row>
    <row r="16" spans="1:9" x14ac:dyDescent="0.2">
      <c r="A16" s="143" t="s">
        <v>426</v>
      </c>
      <c r="B16" t="s">
        <v>362</v>
      </c>
      <c r="C16" t="s">
        <v>368</v>
      </c>
      <c r="D16">
        <v>1</v>
      </c>
      <c r="E16" s="73">
        <f>'Fert, Weed, Insct, Dis'!$E$32</f>
        <v>3.9000000000000004</v>
      </c>
      <c r="F16" s="36">
        <f t="shared" si="0"/>
        <v>3.9000000000000004</v>
      </c>
      <c r="G16" s="73">
        <f t="shared" si="1"/>
        <v>5.2000000000000005E-2</v>
      </c>
    </row>
    <row r="17" spans="1:8" x14ac:dyDescent="0.2">
      <c r="A17" s="143" t="s">
        <v>427</v>
      </c>
      <c r="B17" s="38" t="s">
        <v>501</v>
      </c>
      <c r="C17" t="s">
        <v>368</v>
      </c>
      <c r="D17">
        <v>1</v>
      </c>
      <c r="E17" s="73">
        <f>'Fert, Weed, Insct, Dis'!$E$46</f>
        <v>12</v>
      </c>
      <c r="F17" s="36">
        <f t="shared" si="0"/>
        <v>12</v>
      </c>
      <c r="G17" s="73">
        <f t="shared" si="1"/>
        <v>0.16</v>
      </c>
      <c r="H17" s="234"/>
    </row>
    <row r="18" spans="1:8" x14ac:dyDescent="0.2">
      <c r="A18" s="143" t="s">
        <v>429</v>
      </c>
      <c r="B18" t="s">
        <v>363</v>
      </c>
      <c r="F18" s="36"/>
      <c r="G18" s="73"/>
    </row>
    <row r="19" spans="1:8" x14ac:dyDescent="0.2">
      <c r="B19" s="98" t="s">
        <v>364</v>
      </c>
      <c r="C19" t="s">
        <v>369</v>
      </c>
      <c r="D19" s="192">
        <f>PreHarvest!O15+PreHarvest!I24</f>
        <v>8.0115660373168502</v>
      </c>
      <c r="E19" s="36">
        <v>6</v>
      </c>
      <c r="F19" s="36">
        <f>E19*D19</f>
        <v>48.069396223901101</v>
      </c>
      <c r="G19" s="73">
        <f>F19/yield</f>
        <v>0.64092528298534801</v>
      </c>
    </row>
    <row r="20" spans="1:8" x14ac:dyDescent="0.2">
      <c r="B20" s="98" t="s">
        <v>365</v>
      </c>
      <c r="C20" t="s">
        <v>368</v>
      </c>
      <c r="D20">
        <v>1</v>
      </c>
      <c r="E20" s="36">
        <f>PreHarvest!$R$15+PreHarvest!$K$24</f>
        <v>17.569663777690565</v>
      </c>
      <c r="F20" s="36">
        <f>E20*D20</f>
        <v>17.569663777690565</v>
      </c>
      <c r="G20" s="73">
        <f>F20/yield</f>
        <v>0.23426218370254087</v>
      </c>
      <c r="H20" s="234"/>
    </row>
    <row r="21" spans="1:8" x14ac:dyDescent="0.2">
      <c r="A21" s="143" t="s">
        <v>428</v>
      </c>
      <c r="B21" t="s">
        <v>366</v>
      </c>
      <c r="F21" s="36"/>
      <c r="G21" s="73"/>
    </row>
    <row r="22" spans="1:8" x14ac:dyDescent="0.2">
      <c r="B22" s="98" t="s">
        <v>364</v>
      </c>
      <c r="C22" t="s">
        <v>369</v>
      </c>
      <c r="D22" s="192">
        <f>Harvest!O11</f>
        <v>3.0281247294117648</v>
      </c>
      <c r="E22" s="36">
        <v>2.15</v>
      </c>
      <c r="F22" s="36">
        <f t="shared" ref="F22:F29" si="2">E22*D22</f>
        <v>6.5104681682352936</v>
      </c>
      <c r="G22" s="73">
        <f t="shared" ref="G22:G29" si="3">F22/yield</f>
        <v>8.6806242243137252E-2</v>
      </c>
    </row>
    <row r="23" spans="1:8" x14ac:dyDescent="0.2">
      <c r="B23" s="98" t="s">
        <v>365</v>
      </c>
      <c r="C23" t="s">
        <v>368</v>
      </c>
      <c r="D23">
        <v>1</v>
      </c>
      <c r="E23" s="36">
        <f>Harvest!$R$11</f>
        <v>5.4161348389355739</v>
      </c>
      <c r="F23" s="36">
        <f t="shared" si="2"/>
        <v>5.4161348389355739</v>
      </c>
      <c r="G23" s="73">
        <f t="shared" si="3"/>
        <v>7.2215131185807649E-2</v>
      </c>
      <c r="H23" s="234"/>
    </row>
    <row r="24" spans="1:8" x14ac:dyDescent="0.2">
      <c r="B24" t="s">
        <v>370</v>
      </c>
      <c r="C24" t="s">
        <v>375</v>
      </c>
      <c r="D24" s="192">
        <f>1.25*((PreHarvest!G15+PreHarvest!G24)+Harvest!G11)</f>
        <v>1.2990571300635638</v>
      </c>
      <c r="E24" s="36">
        <v>13</v>
      </c>
      <c r="F24" s="36">
        <f t="shared" si="2"/>
        <v>16.887742690826329</v>
      </c>
      <c r="G24" s="73">
        <f t="shared" si="3"/>
        <v>0.22516990254435104</v>
      </c>
    </row>
    <row r="25" spans="1:8" x14ac:dyDescent="0.2">
      <c r="B25" s="38" t="s">
        <v>415</v>
      </c>
      <c r="C25" t="s">
        <v>483</v>
      </c>
      <c r="D25">
        <v>1</v>
      </c>
      <c r="E25" s="36">
        <v>8.3000000000000007</v>
      </c>
      <c r="F25" s="36">
        <f t="shared" ref="F25" si="4">E25*D25</f>
        <v>8.3000000000000007</v>
      </c>
      <c r="G25" s="73">
        <f t="shared" si="3"/>
        <v>0.11066666666666668</v>
      </c>
      <c r="H25" s="234"/>
    </row>
    <row r="26" spans="1:8" x14ac:dyDescent="0.2">
      <c r="B26" t="s">
        <v>371</v>
      </c>
      <c r="C26" t="s">
        <v>368</v>
      </c>
      <c r="D26">
        <v>1</v>
      </c>
      <c r="E26" s="36">
        <v>11</v>
      </c>
      <c r="F26" s="36">
        <f t="shared" si="2"/>
        <v>11</v>
      </c>
      <c r="G26" s="73">
        <f t="shared" si="3"/>
        <v>0.14666666666666667</v>
      </c>
    </row>
    <row r="27" spans="1:8" x14ac:dyDescent="0.2">
      <c r="B27" t="s">
        <v>372</v>
      </c>
      <c r="C27" t="s">
        <v>368</v>
      </c>
      <c r="D27">
        <v>1</v>
      </c>
      <c r="E27" s="36">
        <v>0</v>
      </c>
      <c r="F27" s="36">
        <f t="shared" si="2"/>
        <v>0</v>
      </c>
      <c r="G27" s="73">
        <f t="shared" si="3"/>
        <v>0</v>
      </c>
      <c r="H27" s="234"/>
    </row>
    <row r="28" spans="1:8" x14ac:dyDescent="0.2">
      <c r="B28" t="s">
        <v>373</v>
      </c>
      <c r="C28" t="s">
        <v>374</v>
      </c>
      <c r="D28" s="73">
        <f>SUM(F9:F27)*0.5</f>
        <v>150.92045284979446</v>
      </c>
      <c r="E28" s="97">
        <v>0.06</v>
      </c>
      <c r="F28" s="36">
        <f t="shared" si="2"/>
        <v>9.0552271709876671</v>
      </c>
      <c r="G28" s="73">
        <f t="shared" si="3"/>
        <v>0.12073636227983556</v>
      </c>
    </row>
    <row r="29" spans="1:8" s="209" customFormat="1" x14ac:dyDescent="0.2">
      <c r="B29" s="209" t="s">
        <v>494</v>
      </c>
      <c r="C29" s="223" t="str">
        <f t="shared" ref="C29" si="5">$D$6</f>
        <v>bushel</v>
      </c>
      <c r="D29" s="231">
        <f>yield*1.0975</f>
        <v>82.3125</v>
      </c>
      <c r="E29" s="210">
        <v>0.09</v>
      </c>
      <c r="F29" s="210">
        <f t="shared" si="2"/>
        <v>7.4081250000000001</v>
      </c>
      <c r="G29" s="211">
        <f t="shared" si="3"/>
        <v>9.8775000000000002E-2</v>
      </c>
      <c r="H29" s="234"/>
    </row>
    <row r="30" spans="1:8" x14ac:dyDescent="0.2">
      <c r="B30" s="246" t="s">
        <v>376</v>
      </c>
      <c r="C30" s="246"/>
      <c r="D30" s="246"/>
      <c r="E30" s="246"/>
      <c r="F30" s="99">
        <f>SUM(F9:F29)</f>
        <v>318.30425787057658</v>
      </c>
      <c r="G30" s="99">
        <f>SUM(G9:G29)</f>
        <v>4.2440567716076867</v>
      </c>
      <c r="H30" s="234"/>
    </row>
    <row r="32" spans="1:8" x14ac:dyDescent="0.2">
      <c r="B32" s="101" t="s">
        <v>381</v>
      </c>
      <c r="C32" s="101"/>
      <c r="D32" s="101"/>
      <c r="E32" s="101"/>
      <c r="F32" s="101"/>
      <c r="G32" s="101"/>
      <c r="H32" s="234"/>
    </row>
    <row r="33" spans="1:8" x14ac:dyDescent="0.2">
      <c r="B33" s="245" t="s">
        <v>382</v>
      </c>
      <c r="C33" s="245"/>
      <c r="D33" s="245"/>
      <c r="E33" s="245"/>
      <c r="F33" s="245"/>
      <c r="G33" s="245"/>
      <c r="H33" s="245"/>
    </row>
    <row r="34" spans="1:8" x14ac:dyDescent="0.2">
      <c r="B34" s="98" t="s">
        <v>383</v>
      </c>
      <c r="C34" t="s">
        <v>368</v>
      </c>
      <c r="D34">
        <v>1</v>
      </c>
      <c r="E34" s="36">
        <f>PreHarvest!$U$15+PreHarvest!$M$24</f>
        <v>50.070880677208706</v>
      </c>
      <c r="F34" s="36">
        <f>E34*D34</f>
        <v>50.070880677208706</v>
      </c>
      <c r="G34" s="36">
        <f t="shared" ref="G34:G40" si="6">F34/yield</f>
        <v>0.66761174236278276</v>
      </c>
    </row>
    <row r="35" spans="1:8" x14ac:dyDescent="0.2">
      <c r="B35" s="98" t="s">
        <v>384</v>
      </c>
      <c r="C35" t="s">
        <v>368</v>
      </c>
      <c r="D35">
        <v>1</v>
      </c>
      <c r="E35" s="36">
        <f>Harvest!$U$11</f>
        <v>25.11723660812325</v>
      </c>
      <c r="F35" s="36">
        <f t="shared" ref="F35:F40" si="7">E35*D35</f>
        <v>25.11723660812325</v>
      </c>
      <c r="G35" s="36">
        <f t="shared" si="6"/>
        <v>0.33489648810831002</v>
      </c>
      <c r="H35" s="234"/>
    </row>
    <row r="36" spans="1:8" x14ac:dyDescent="0.2">
      <c r="A36" s="38"/>
      <c r="B36" s="98" t="s">
        <v>414</v>
      </c>
      <c r="C36" t="s">
        <v>368</v>
      </c>
      <c r="D36">
        <v>1</v>
      </c>
      <c r="E36" s="36">
        <v>130</v>
      </c>
      <c r="F36" s="36">
        <f>E36*D36</f>
        <v>130</v>
      </c>
      <c r="G36" s="36">
        <f t="shared" si="6"/>
        <v>1.7333333333333334</v>
      </c>
    </row>
    <row r="37" spans="1:8" x14ac:dyDescent="0.2">
      <c r="B37" t="s">
        <v>385</v>
      </c>
      <c r="C37" t="s">
        <v>386</v>
      </c>
      <c r="D37" s="36">
        <f>tvc</f>
        <v>318.30425787057658</v>
      </c>
      <c r="E37" s="102">
        <v>0.05</v>
      </c>
      <c r="F37" s="36">
        <f t="shared" si="7"/>
        <v>15.91521289352883</v>
      </c>
      <c r="G37" s="36">
        <f t="shared" si="6"/>
        <v>0.21220283858038441</v>
      </c>
      <c r="H37" s="234"/>
    </row>
    <row r="38" spans="1:8" x14ac:dyDescent="0.2">
      <c r="B38" t="s">
        <v>387</v>
      </c>
      <c r="C38" t="s">
        <v>386</v>
      </c>
      <c r="D38" s="36">
        <f>tvc</f>
        <v>318.30425787057658</v>
      </c>
      <c r="E38" s="102">
        <v>0.05</v>
      </c>
      <c r="F38" s="36">
        <f>E38*D38</f>
        <v>15.91521289352883</v>
      </c>
      <c r="G38" s="36">
        <f t="shared" si="6"/>
        <v>0.21220283858038441</v>
      </c>
    </row>
    <row r="39" spans="1:8" x14ac:dyDescent="0.2">
      <c r="B39" s="103" t="s">
        <v>388</v>
      </c>
      <c r="C39" t="s">
        <v>368</v>
      </c>
      <c r="D39">
        <v>1</v>
      </c>
      <c r="E39" s="36">
        <v>0</v>
      </c>
      <c r="F39" s="36">
        <f t="shared" si="7"/>
        <v>0</v>
      </c>
      <c r="G39" s="36">
        <f t="shared" si="6"/>
        <v>0</v>
      </c>
      <c r="H39" s="234"/>
    </row>
    <row r="40" spans="1:8" x14ac:dyDescent="0.2">
      <c r="B40" s="51" t="s">
        <v>389</v>
      </c>
      <c r="C40" s="51" t="s">
        <v>368</v>
      </c>
      <c r="D40" s="51">
        <v>1</v>
      </c>
      <c r="E40" s="104">
        <v>0</v>
      </c>
      <c r="F40" s="104">
        <f t="shared" si="7"/>
        <v>0</v>
      </c>
      <c r="G40" s="36">
        <f t="shared" si="6"/>
        <v>0</v>
      </c>
    </row>
    <row r="41" spans="1:8" x14ac:dyDescent="0.2">
      <c r="B41" s="246" t="s">
        <v>390</v>
      </c>
      <c r="C41" s="246"/>
      <c r="D41" s="246"/>
      <c r="E41" s="246"/>
      <c r="F41" s="99">
        <f>SUM(F34:F40)</f>
        <v>237.0185430723896</v>
      </c>
      <c r="G41" s="99">
        <f>SUM(G34:G40)</f>
        <v>3.1602472409651945</v>
      </c>
      <c r="H41" s="234"/>
    </row>
    <row r="43" spans="1:8" ht="16" thickBot="1" x14ac:dyDescent="0.25">
      <c r="B43" s="105" t="s">
        <v>391</v>
      </c>
      <c r="C43" s="105"/>
      <c r="D43" s="105"/>
      <c r="E43" s="105"/>
      <c r="F43" s="106">
        <f>F30+F41</f>
        <v>555.32280094296618</v>
      </c>
      <c r="G43" s="106">
        <f>G30+G41</f>
        <v>7.4043040125728812</v>
      </c>
      <c r="H43" s="234"/>
    </row>
    <row r="44" spans="1:8" x14ac:dyDescent="0.2">
      <c r="B44" s="107" t="s">
        <v>392</v>
      </c>
      <c r="C44" s="107"/>
      <c r="D44" s="107"/>
      <c r="E44" s="108" t="s">
        <v>393</v>
      </c>
      <c r="F44" s="114"/>
      <c r="G44" s="109" t="str">
        <f>CONCATENATE("/",$D$6)</f>
        <v>/bushel</v>
      </c>
    </row>
    <row r="45" spans="1:8" ht="16" thickBot="1" x14ac:dyDescent="0.25">
      <c r="B45" s="110" t="s">
        <v>394</v>
      </c>
      <c r="C45" s="110"/>
      <c r="D45" s="110"/>
      <c r="E45" s="111" t="s">
        <v>393</v>
      </c>
      <c r="F45" s="112"/>
      <c r="G45" s="113" t="str">
        <f>CONCATENATE("/",$D$6)</f>
        <v>/bushel</v>
      </c>
    </row>
    <row r="46" spans="1:8" x14ac:dyDescent="0.2">
      <c r="B46" s="138"/>
      <c r="C46" s="138"/>
      <c r="D46" s="138"/>
      <c r="E46" s="139"/>
      <c r="F46" s="140"/>
      <c r="G46" s="141"/>
      <c r="H46" s="138"/>
    </row>
    <row r="47" spans="1:8" ht="29" customHeight="1" x14ac:dyDescent="0.2">
      <c r="B47" s="250" t="s">
        <v>503</v>
      </c>
      <c r="C47" s="250"/>
      <c r="D47" s="250"/>
      <c r="E47" s="250"/>
      <c r="F47" s="250"/>
      <c r="G47" s="250"/>
      <c r="H47" s="250"/>
    </row>
    <row r="48" spans="1:8" ht="43.25" customHeight="1" x14ac:dyDescent="0.2">
      <c r="B48" s="251" t="s">
        <v>530</v>
      </c>
      <c r="C48" s="251"/>
      <c r="D48" s="251"/>
      <c r="E48" s="251"/>
      <c r="F48" s="251"/>
      <c r="G48" s="251"/>
      <c r="H48" s="251"/>
    </row>
    <row r="49" spans="2:8" ht="14.5" customHeight="1" x14ac:dyDescent="0.2">
      <c r="B49" s="243" t="s">
        <v>499</v>
      </c>
      <c r="C49" s="243"/>
      <c r="D49" s="243"/>
      <c r="E49" s="243"/>
      <c r="F49" s="243"/>
      <c r="G49" s="243"/>
      <c r="H49" s="243"/>
    </row>
    <row r="50" spans="2:8" x14ac:dyDescent="0.2">
      <c r="B50" s="244"/>
      <c r="C50" s="244"/>
      <c r="D50" s="244"/>
      <c r="E50" s="244"/>
      <c r="F50" s="244"/>
      <c r="G50" s="244"/>
      <c r="H50" s="244"/>
    </row>
    <row r="51" spans="2:8" x14ac:dyDescent="0.2">
      <c r="B51" s="242" t="str">
        <f>CONCATENATE("Sensitivity Analysis of ",B1)</f>
        <v>Sensitivity Analysis of WHEAT FOR GRAIN, INTENSIVE MANAGEMENT</v>
      </c>
      <c r="C51" s="242"/>
      <c r="D51" s="242"/>
      <c r="E51" s="242"/>
      <c r="F51" s="242"/>
      <c r="G51" s="242"/>
      <c r="H51" s="115"/>
    </row>
    <row r="52" spans="2:8" x14ac:dyDescent="0.2">
      <c r="B52" s="247" t="s">
        <v>395</v>
      </c>
      <c r="C52" s="247"/>
      <c r="D52" s="247"/>
      <c r="E52" s="247"/>
      <c r="F52" s="247"/>
      <c r="G52" s="247"/>
      <c r="H52" s="116"/>
    </row>
    <row r="53" spans="2:8" x14ac:dyDescent="0.2">
      <c r="B53" s="248" t="str">
        <f>CONCATENATE("Varying Prices and Yields ","(",(D6),")")</f>
        <v>Varying Prices and Yields (bushel)</v>
      </c>
      <c r="C53" s="248"/>
      <c r="D53" s="248"/>
      <c r="E53" s="248"/>
      <c r="F53" s="248"/>
      <c r="G53" s="248"/>
      <c r="H53" s="116"/>
    </row>
    <row r="54" spans="2:8" x14ac:dyDescent="0.2">
      <c r="B54" s="253" t="str">
        <f>CONCATENATE("Price \ ",$D$6,"/Acre")</f>
        <v>Price \ bushel/Acre</v>
      </c>
      <c r="C54" s="117" t="s">
        <v>396</v>
      </c>
      <c r="D54" s="117" t="s">
        <v>397</v>
      </c>
      <c r="E54" s="118" t="s">
        <v>398</v>
      </c>
      <c r="F54" s="117" t="s">
        <v>399</v>
      </c>
      <c r="G54" s="117" t="s">
        <v>400</v>
      </c>
      <c r="H54" s="119"/>
    </row>
    <row r="55" spans="2:8" x14ac:dyDescent="0.2">
      <c r="B55" s="254"/>
      <c r="C55" s="120">
        <f>E55*0.75</f>
        <v>56.25</v>
      </c>
      <c r="D55" s="120">
        <f>E55*0.9</f>
        <v>67.5</v>
      </c>
      <c r="E55" s="120">
        <f>yield</f>
        <v>75</v>
      </c>
      <c r="F55" s="120">
        <f>E55*1.1</f>
        <v>82.5</v>
      </c>
      <c r="G55" s="120">
        <f>E55*1.25</f>
        <v>93.75</v>
      </c>
    </row>
    <row r="56" spans="2:8" x14ac:dyDescent="0.2">
      <c r="B56" s="121">
        <v>3.75</v>
      </c>
      <c r="C56" s="238">
        <f t="shared" ref="C56:G62" si="8">$B56*C$55-tvc</f>
        <v>-107.36675787057658</v>
      </c>
      <c r="D56" s="238">
        <f t="shared" si="8"/>
        <v>-65.179257870576578</v>
      </c>
      <c r="E56" s="238">
        <f t="shared" si="8"/>
        <v>-37.054257870576578</v>
      </c>
      <c r="F56" s="238">
        <f t="shared" si="8"/>
        <v>-8.9292578705765777</v>
      </c>
      <c r="G56" s="238">
        <f t="shared" si="8"/>
        <v>33.258242129423422</v>
      </c>
    </row>
    <row r="57" spans="2:8" s="209" customFormat="1" x14ac:dyDescent="0.2">
      <c r="B57" s="122">
        <f>B56+0.25</f>
        <v>4</v>
      </c>
      <c r="C57" s="239">
        <f t="shared" si="8"/>
        <v>-93.304257870576578</v>
      </c>
      <c r="D57" s="239">
        <f t="shared" si="8"/>
        <v>-48.304257870576578</v>
      </c>
      <c r="E57" s="239">
        <f t="shared" si="8"/>
        <v>-18.304257870576578</v>
      </c>
      <c r="F57" s="239">
        <f t="shared" si="8"/>
        <v>11.695742129423422</v>
      </c>
      <c r="G57" s="239">
        <f t="shared" si="8"/>
        <v>56.695742129423422</v>
      </c>
    </row>
    <row r="58" spans="2:8" s="209" customFormat="1" x14ac:dyDescent="0.2">
      <c r="B58" s="122">
        <f>B57+0.25</f>
        <v>4.25</v>
      </c>
      <c r="C58" s="239">
        <f t="shared" si="8"/>
        <v>-79.241757870576578</v>
      </c>
      <c r="D58" s="239">
        <f t="shared" si="8"/>
        <v>-31.429257870576578</v>
      </c>
      <c r="E58" s="239">
        <f t="shared" si="8"/>
        <v>0.44574212942342228</v>
      </c>
      <c r="F58" s="239">
        <f t="shared" si="8"/>
        <v>32.320742129423422</v>
      </c>
      <c r="G58" s="239">
        <f t="shared" si="8"/>
        <v>80.133242129423422</v>
      </c>
    </row>
    <row r="59" spans="2:8" x14ac:dyDescent="0.2">
      <c r="B59" s="122">
        <f>B58+0.25</f>
        <v>4.5</v>
      </c>
      <c r="C59" s="239">
        <f t="shared" si="8"/>
        <v>-65.179257870576578</v>
      </c>
      <c r="D59" s="239">
        <f t="shared" si="8"/>
        <v>-14.554257870576578</v>
      </c>
      <c r="E59" s="239">
        <f t="shared" si="8"/>
        <v>19.195742129423422</v>
      </c>
      <c r="F59" s="239">
        <f t="shared" si="8"/>
        <v>52.945742129423422</v>
      </c>
      <c r="G59" s="239">
        <f t="shared" si="8"/>
        <v>103.57074212942342</v>
      </c>
    </row>
    <row r="60" spans="2:8" x14ac:dyDescent="0.2">
      <c r="B60" s="122">
        <f t="shared" ref="B60:B62" si="9">B59+0.25</f>
        <v>4.75</v>
      </c>
      <c r="C60" s="239">
        <f t="shared" si="8"/>
        <v>-51.116757870576578</v>
      </c>
      <c r="D60" s="239">
        <f t="shared" si="8"/>
        <v>2.3207421294234223</v>
      </c>
      <c r="E60" s="239">
        <f t="shared" si="8"/>
        <v>37.945742129423422</v>
      </c>
      <c r="F60" s="239">
        <f t="shared" si="8"/>
        <v>73.570742129423422</v>
      </c>
      <c r="G60" s="239">
        <f t="shared" si="8"/>
        <v>127.00824212942342</v>
      </c>
    </row>
    <row r="61" spans="2:8" x14ac:dyDescent="0.2">
      <c r="B61" s="122">
        <f t="shared" si="9"/>
        <v>5</v>
      </c>
      <c r="C61" s="239">
        <f t="shared" si="8"/>
        <v>-37.054257870576578</v>
      </c>
      <c r="D61" s="239">
        <f t="shared" si="8"/>
        <v>19.195742129423422</v>
      </c>
      <c r="E61" s="239">
        <f t="shared" si="8"/>
        <v>56.695742129423422</v>
      </c>
      <c r="F61" s="239">
        <f t="shared" si="8"/>
        <v>94.195742129423422</v>
      </c>
      <c r="G61" s="239">
        <f t="shared" si="8"/>
        <v>150.44574212942342</v>
      </c>
    </row>
    <row r="62" spans="2:8" x14ac:dyDescent="0.2">
      <c r="B62" s="237">
        <f t="shared" si="9"/>
        <v>5.25</v>
      </c>
      <c r="C62" s="240">
        <f t="shared" si="8"/>
        <v>-22.991757870576578</v>
      </c>
      <c r="D62" s="240">
        <f t="shared" si="8"/>
        <v>36.070742129423422</v>
      </c>
      <c r="E62" s="240">
        <f t="shared" si="8"/>
        <v>75.445742129423422</v>
      </c>
      <c r="F62" s="240">
        <f t="shared" si="8"/>
        <v>114.82074212942342</v>
      </c>
      <c r="G62" s="240">
        <f t="shared" si="8"/>
        <v>173.88324212942342</v>
      </c>
    </row>
    <row r="64" spans="2:8" x14ac:dyDescent="0.2">
      <c r="B64" s="241" t="s">
        <v>401</v>
      </c>
      <c r="C64" s="241"/>
      <c r="D64" s="241"/>
      <c r="E64" s="241"/>
      <c r="F64" s="241"/>
      <c r="G64" s="241"/>
      <c r="H64" s="241"/>
    </row>
    <row r="65" spans="2:8" x14ac:dyDescent="0.2">
      <c r="B65" s="242" t="s">
        <v>402</v>
      </c>
      <c r="C65" s="242"/>
      <c r="D65" s="242"/>
      <c r="E65" s="242"/>
      <c r="F65" s="242"/>
      <c r="G65" s="242"/>
      <c r="H65" s="242"/>
    </row>
    <row r="66" spans="2:8" ht="45" x14ac:dyDescent="0.2">
      <c r="B66" s="123" t="s">
        <v>403</v>
      </c>
      <c r="C66" s="124" t="s">
        <v>404</v>
      </c>
      <c r="D66" s="124" t="s">
        <v>405</v>
      </c>
      <c r="E66" s="124" t="s">
        <v>441</v>
      </c>
      <c r="F66" s="124" t="s">
        <v>406</v>
      </c>
      <c r="G66" s="124" t="s">
        <v>407</v>
      </c>
      <c r="H66" s="124" t="s">
        <v>408</v>
      </c>
    </row>
    <row r="67" spans="2:8" ht="30" x14ac:dyDescent="0.2">
      <c r="B67" s="149" t="str">
        <f>IF(H67&gt;0,(CONCATENATE(PreHarvest!$C3," with ",PreHarvest!$M3))," ")</f>
        <v>Plow 4 Bottom Switch with Tractor (180-199 hp) CB MFWD 190</v>
      </c>
      <c r="C67" s="191">
        <f>IF(H67&gt;0,(1/PreHarvest!$E3)," ")</f>
        <v>2.3272727272727272</v>
      </c>
      <c r="D67" s="125">
        <f>IF(H67&gt;0,(PreHarvest!$F3)," ")</f>
        <v>1</v>
      </c>
      <c r="E67" s="126">
        <f>IF(H67&gt;0,(D67*1/C67*1.25)," ")</f>
        <v>0.537109375</v>
      </c>
      <c r="F67" s="126">
        <f>IF(H67&gt;0, (PreHarvest!$O3)," ")</f>
        <v>4.2022578125000001</v>
      </c>
      <c r="G67" s="212">
        <f>PreHarvest!$R3</f>
        <v>7.7855282738095237</v>
      </c>
      <c r="H67" s="212">
        <f>PreHarvest!$U3</f>
        <v>23.43499255952381</v>
      </c>
    </row>
    <row r="68" spans="2:8" ht="30" x14ac:dyDescent="0.2">
      <c r="B68" s="216" t="str">
        <f>IF(H68&gt;0,(CONCATENATE(PreHarvest!$C4," with ",PreHarvest!$M4))," ")</f>
        <v>Disk Harrow 32' with Tractor (180-199 hp) CB MFWD 190</v>
      </c>
      <c r="C68" s="220">
        <f>IF(H68&gt;0,(1/PreHarvest!$E4)," ")</f>
        <v>16.290909090909089</v>
      </c>
      <c r="D68" s="127">
        <f>IF(H68&gt;0,(PreHarvest!$F4)," ")</f>
        <v>2</v>
      </c>
      <c r="E68" s="213">
        <f t="shared" ref="E68" si="10">IF(H68&gt;0,(D68*1/C68*1.25)," ")</f>
        <v>0.15345982142857145</v>
      </c>
      <c r="F68" s="213">
        <f>IF(H68&gt;0, (PreHarvest!$O4)," ")</f>
        <v>1.2006450892857143</v>
      </c>
      <c r="G68" s="214">
        <f>PreHarvest!$R4</f>
        <v>3.4691663123582765</v>
      </c>
      <c r="H68" s="214">
        <f>PreHarvest!$U4</f>
        <v>10.075340756094104</v>
      </c>
    </row>
    <row r="69" spans="2:8" ht="30" x14ac:dyDescent="0.2">
      <c r="B69" s="216" t="str">
        <f>IF(H69&gt;0,(CONCATENATE(PreHarvest!$C5," with ",PreHarvest!$M5))," ")</f>
        <v>Grain Drill 15' with Tractor (180-199 hp) CB MFWD 190</v>
      </c>
      <c r="C69" s="220">
        <f>IF(H69&gt;0,(1/PreHarvest!$E5)," ")</f>
        <v>7.9545454545454541</v>
      </c>
      <c r="D69" s="127">
        <f>IF(H69&gt;0,(PreHarvest!$F5)," ")</f>
        <v>1</v>
      </c>
      <c r="E69" s="213">
        <f t="shared" ref="E69:E72" si="11">IF(H69&gt;0,(D69*1/C69*1.25)," ")</f>
        <v>0.15714285714285714</v>
      </c>
      <c r="F69" s="213">
        <f>IF(H69&gt;0, (PreHarvest!$O5)," ")</f>
        <v>1.2294605714285716</v>
      </c>
      <c r="G69" s="214">
        <f>PreHarvest!$R5</f>
        <v>3.2117755102040819</v>
      </c>
      <c r="H69" s="214">
        <f>PreHarvest!$U5</f>
        <v>9.0418096326530613</v>
      </c>
    </row>
    <row r="70" spans="2:8" s="209" customFormat="1" ht="30" x14ac:dyDescent="0.2">
      <c r="B70" s="216" t="str">
        <f>IF(H70&gt;0,(CONCATENATE(PreHarvest!$C6," with ",PreHarvest!$M6))," ")</f>
        <v>Spray (Broadcast) 60' with Tractor (180-199 hp) CB MFWD 190</v>
      </c>
      <c r="C70" s="220">
        <f>IF(H70&gt;0,(1/PreHarvest!$E6)," ")</f>
        <v>35.454545454545453</v>
      </c>
      <c r="D70" s="127">
        <f>IF(H70&gt;0,(PreHarvest!$F6)," ")</f>
        <v>5</v>
      </c>
      <c r="E70" s="213">
        <f t="shared" si="11"/>
        <v>0.17628205128205127</v>
      </c>
      <c r="F70" s="213">
        <f>IF(H70&gt;0, (PreHarvest!$O6)," ")</f>
        <v>1.379202564102564</v>
      </c>
      <c r="G70" s="214">
        <f>PreHarvest!$R6</f>
        <v>3.1031936813186816</v>
      </c>
      <c r="H70" s="214">
        <f>PreHarvest!$U6</f>
        <v>7.5187377289377295</v>
      </c>
    </row>
    <row r="71" spans="2:8" s="209" customFormat="1" x14ac:dyDescent="0.2">
      <c r="B71" s="216" t="str">
        <f>IF(H71&gt;0,(CONCATENATE(PreHarvest!$C7," with ",PreHarvest!$M7))," ")</f>
        <v xml:space="preserve"> </v>
      </c>
      <c r="C71" s="220" t="str">
        <f>IF(H71&gt;0,(1/PreHarvest!$E7)," ")</f>
        <v xml:space="preserve"> </v>
      </c>
      <c r="D71" s="127" t="str">
        <f>IF(H71&gt;0,(PreHarvest!$F7)," ")</f>
        <v xml:space="preserve"> </v>
      </c>
      <c r="E71" s="213" t="str">
        <f t="shared" si="11"/>
        <v xml:space="preserve"> </v>
      </c>
      <c r="F71" s="213" t="str">
        <f>IF(H71&gt;0, (PreHarvest!$O7)," ")</f>
        <v xml:space="preserve"> </v>
      </c>
      <c r="G71" s="214">
        <f>PreHarvest!$R7</f>
        <v>0</v>
      </c>
      <c r="H71" s="214">
        <f>PreHarvest!$U7</f>
        <v>0</v>
      </c>
    </row>
    <row r="72" spans="2:8" s="209" customFormat="1" x14ac:dyDescent="0.2">
      <c r="B72" s="216" t="str">
        <f>IF(H72&gt;0,(CONCATENATE(PreHarvest!$C8," with ",PreHarvest!$M8))," ")</f>
        <v xml:space="preserve"> </v>
      </c>
      <c r="C72" s="220" t="str">
        <f>IF(H72&gt;0,(1/PreHarvest!$E8)," ")</f>
        <v xml:space="preserve"> </v>
      </c>
      <c r="D72" s="127" t="str">
        <f>IF(H72&gt;0,(PreHarvest!$F8)," ")</f>
        <v xml:space="preserve"> </v>
      </c>
      <c r="E72" s="213" t="str">
        <f t="shared" si="11"/>
        <v xml:space="preserve"> </v>
      </c>
      <c r="F72" s="213" t="str">
        <f>IF(H72&gt;0, (PreHarvest!$O8)," ")</f>
        <v xml:space="preserve"> </v>
      </c>
      <c r="G72" s="214">
        <f>PreHarvest!$R8</f>
        <v>0</v>
      </c>
      <c r="H72" s="214">
        <f>PreHarvest!$U8</f>
        <v>0</v>
      </c>
    </row>
    <row r="73" spans="2:8" x14ac:dyDescent="0.2">
      <c r="B73" s="145" t="s">
        <v>409</v>
      </c>
      <c r="C73" s="146"/>
      <c r="D73" s="146"/>
      <c r="E73" s="147">
        <f>SUM(E67:E72)</f>
        <v>1.0239941048534797</v>
      </c>
      <c r="F73" s="147">
        <f>SUM(F67:F72)</f>
        <v>8.0115660373168502</v>
      </c>
      <c r="G73" s="148">
        <f>SUM(G67:G72)</f>
        <v>17.569663777690565</v>
      </c>
      <c r="H73" s="148">
        <f>SUM(H67:H72)</f>
        <v>50.070880677208706</v>
      </c>
    </row>
    <row r="75" spans="2:8" x14ac:dyDescent="0.2">
      <c r="B75" s="52" t="s">
        <v>410</v>
      </c>
    </row>
    <row r="76" spans="2:8" ht="45" x14ac:dyDescent="0.2">
      <c r="B76" s="123" t="s">
        <v>403</v>
      </c>
      <c r="C76" s="124" t="s">
        <v>404</v>
      </c>
      <c r="D76" s="124" t="s">
        <v>405</v>
      </c>
      <c r="E76" s="124" t="s">
        <v>441</v>
      </c>
      <c r="F76" s="124" t="s">
        <v>406</v>
      </c>
      <c r="G76" s="124" t="s">
        <v>407</v>
      </c>
      <c r="H76" s="124" t="s">
        <v>408</v>
      </c>
    </row>
    <row r="77" spans="2:8" s="209" customFormat="1" ht="30" x14ac:dyDescent="0.2">
      <c r="B77" s="216" t="str">
        <f>IF(H77&gt;0,(CONCATENATE(Harvest!$C4," with ",Harvest!$M4))," ")</f>
        <v>Header Wheat/Sorghum 22' Rigid with Combine (300-349 hp) 325 hp</v>
      </c>
      <c r="C77" s="190">
        <f>IF(H77&gt;0,(1/Harvest!$E4)," ")</f>
        <v>7.9333333333333336</v>
      </c>
      <c r="D77" s="144">
        <f>IF(H77&gt;0,(Harvest!$F4)," ")</f>
        <v>1</v>
      </c>
      <c r="E77" s="189">
        <f t="shared" ref="E77:E78" si="12">IF(H77&gt;0,(1/C77*D77*1.25)," ")</f>
        <v>0.15756302521008403</v>
      </c>
      <c r="F77" s="189">
        <f>IF(H77&gt;0,(Harvest!$O4)," ")</f>
        <v>2.1088235294117648</v>
      </c>
      <c r="G77" s="215">
        <f>Harvest!$R4</f>
        <v>3.5588235294117645</v>
      </c>
      <c r="H77" s="215">
        <f>Harvest!$U4</f>
        <v>19.971294117647059</v>
      </c>
    </row>
    <row r="78" spans="2:8" s="209" customFormat="1" ht="30" x14ac:dyDescent="0.2">
      <c r="B78" s="216" t="str">
        <f>IF(H78&gt;0,(CONCATENATE(Harvest!$C5," with ",Harvest!$M5))," ")</f>
        <v>Grain Cart Wht/Sor  500 bu with Tractor (180-199 hp) CB MFWD 190</v>
      </c>
      <c r="C78" s="190">
        <f>IF(H78&gt;0,(1/Harvest!$E5)," ")</f>
        <v>10.638297872340425</v>
      </c>
      <c r="D78" s="144">
        <f>IF(H78&gt;0,(Harvest!$F5)," ")</f>
        <v>1</v>
      </c>
      <c r="E78" s="189">
        <f t="shared" si="12"/>
        <v>0.11749999999999999</v>
      </c>
      <c r="F78" s="189">
        <f>IF(H78&gt;0,(Harvest!$O5)," ")</f>
        <v>0.91930120000000004</v>
      </c>
      <c r="G78" s="215">
        <f>Harvest!$R5</f>
        <v>1.8573113095238094</v>
      </c>
      <c r="H78" s="215">
        <f>Harvest!$U5</f>
        <v>5.145942490476191</v>
      </c>
    </row>
    <row r="79" spans="2:8" ht="14.5" customHeight="1" x14ac:dyDescent="0.2">
      <c r="B79" s="145" t="s">
        <v>411</v>
      </c>
      <c r="C79" s="146"/>
      <c r="D79" s="146"/>
      <c r="E79" s="147">
        <f>SUM(E77:E78)</f>
        <v>0.27506302521008402</v>
      </c>
      <c r="F79" s="147">
        <f>SUM(F77:F78)</f>
        <v>3.0281247294117648</v>
      </c>
      <c r="G79" s="148">
        <f>SUM(G77:G78)</f>
        <v>5.4161348389355739</v>
      </c>
      <c r="H79" s="148">
        <f>SUM(H77:H78)</f>
        <v>25.11723660812325</v>
      </c>
    </row>
    <row r="80" spans="2:8" s="193" customFormat="1" x14ac:dyDescent="0.2">
      <c r="B80" s="194"/>
      <c r="C80" s="195"/>
      <c r="D80" s="195"/>
      <c r="E80" s="196"/>
      <c r="F80" s="196"/>
      <c r="G80" s="197"/>
      <c r="H80" s="197"/>
    </row>
    <row r="81" spans="2:8" ht="29" customHeight="1" x14ac:dyDescent="0.2">
      <c r="B81" s="249" t="s">
        <v>477</v>
      </c>
      <c r="C81" s="249"/>
      <c r="D81" s="249"/>
      <c r="E81" s="249"/>
      <c r="F81" s="249"/>
      <c r="G81" s="249"/>
      <c r="H81" s="249"/>
    </row>
    <row r="82" spans="2:8" ht="43.25" customHeight="1" x14ac:dyDescent="0.2">
      <c r="B82" s="198"/>
      <c r="C82" s="198"/>
      <c r="D82" s="198"/>
      <c r="E82" s="198"/>
      <c r="F82" s="198"/>
      <c r="G82" s="198"/>
      <c r="H82" s="198"/>
    </row>
    <row r="83" spans="2:8" ht="14.5" customHeight="1" x14ac:dyDescent="0.2">
      <c r="B83" s="243" t="s">
        <v>499</v>
      </c>
      <c r="C83" s="243"/>
      <c r="D83" s="243"/>
      <c r="E83" s="243"/>
      <c r="F83" s="243"/>
      <c r="G83" s="243"/>
      <c r="H83" s="243"/>
    </row>
    <row r="84" spans="2:8" x14ac:dyDescent="0.2">
      <c r="B84" s="244"/>
      <c r="C84" s="244"/>
      <c r="D84" s="244"/>
      <c r="E84" s="244"/>
      <c r="F84" s="244"/>
      <c r="G84" s="244"/>
      <c r="H84" s="244"/>
    </row>
    <row r="85" spans="2:8" x14ac:dyDescent="0.2">
      <c r="B85" s="137"/>
      <c r="C85" s="137"/>
      <c r="D85" s="137"/>
      <c r="E85" s="137"/>
      <c r="F85" s="137"/>
      <c r="G85" s="137"/>
      <c r="H85" s="137"/>
    </row>
  </sheetData>
  <mergeCells count="17">
    <mergeCell ref="B1:H1"/>
    <mergeCell ref="B4:H4"/>
    <mergeCell ref="B30:E30"/>
    <mergeCell ref="B2:H2"/>
    <mergeCell ref="B54:B55"/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  <mergeCell ref="B48:H48"/>
  </mergeCells>
  <phoneticPr fontId="30" type="noConversion"/>
  <conditionalFormatting sqref="C56:G62">
    <cfRule type="cellIs" dxfId="1" priority="1" operator="greaterThan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10/2017&amp;R&amp;G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I31" sqref="I31"/>
    </sheetView>
  </sheetViews>
  <sheetFormatPr baseColWidth="10" defaultColWidth="8.83203125" defaultRowHeight="15" x14ac:dyDescent="0.2"/>
  <cols>
    <col min="1" max="1" width="33.5" customWidth="1"/>
    <col min="2" max="2" width="6.83203125" bestFit="1" customWidth="1"/>
    <col min="3" max="3" width="7.83203125" bestFit="1" customWidth="1"/>
    <col min="4" max="4" width="8.33203125" bestFit="1" customWidth="1"/>
    <col min="5" max="5" width="9.5" bestFit="1" customWidth="1"/>
    <col min="6" max="6" width="8.5" bestFit="1" customWidth="1"/>
    <col min="8" max="8" width="18.6640625" bestFit="1" customWidth="1"/>
  </cols>
  <sheetData>
    <row r="1" spans="1:8" x14ac:dyDescent="0.2">
      <c r="A1" s="255" t="s">
        <v>340</v>
      </c>
      <c r="B1" s="255"/>
      <c r="C1" s="255"/>
      <c r="D1" s="255"/>
      <c r="E1" s="255"/>
      <c r="F1" s="255"/>
    </row>
    <row r="2" spans="1:8" x14ac:dyDescent="0.2">
      <c r="A2" s="89" t="s">
        <v>346</v>
      </c>
      <c r="B2" s="89" t="s">
        <v>347</v>
      </c>
      <c r="C2" s="89" t="s">
        <v>348</v>
      </c>
      <c r="D2" s="89" t="s">
        <v>349</v>
      </c>
      <c r="E2" s="89" t="s">
        <v>356</v>
      </c>
      <c r="F2" s="89" t="str">
        <f>CONCATENATE("$/",Main!$D$6)</f>
        <v>$/bushel</v>
      </c>
    </row>
    <row r="3" spans="1:8" x14ac:dyDescent="0.2">
      <c r="A3" s="90" t="s">
        <v>341</v>
      </c>
      <c r="B3" s="90" t="s">
        <v>479</v>
      </c>
      <c r="C3" s="90">
        <v>120</v>
      </c>
      <c r="D3" s="91">
        <v>0.39</v>
      </c>
      <c r="E3" s="92">
        <f>D3*C3</f>
        <v>46.800000000000004</v>
      </c>
      <c r="F3" s="93">
        <f t="shared" ref="F3:F9" si="0">E3/yield</f>
        <v>0.62400000000000011</v>
      </c>
    </row>
    <row r="4" spans="1:8" x14ac:dyDescent="0.2">
      <c r="A4" s="94" t="s">
        <v>342</v>
      </c>
      <c r="B4" s="94" t="s">
        <v>479</v>
      </c>
      <c r="C4" s="94">
        <v>50</v>
      </c>
      <c r="D4" s="92">
        <v>0.38</v>
      </c>
      <c r="E4" s="92">
        <f t="shared" ref="E4:E9" si="1">D4*C4</f>
        <v>19</v>
      </c>
      <c r="F4" s="93">
        <f t="shared" si="0"/>
        <v>0.25333333333333335</v>
      </c>
    </row>
    <row r="5" spans="1:8" x14ac:dyDescent="0.2">
      <c r="A5" s="94" t="s">
        <v>343</v>
      </c>
      <c r="B5" s="94" t="s">
        <v>479</v>
      </c>
      <c r="C5" s="94">
        <v>60</v>
      </c>
      <c r="D5" s="92">
        <v>0.3</v>
      </c>
      <c r="E5" s="92">
        <f t="shared" si="1"/>
        <v>18</v>
      </c>
      <c r="F5" s="93">
        <f t="shared" si="0"/>
        <v>0.24</v>
      </c>
    </row>
    <row r="6" spans="1:8" x14ac:dyDescent="0.2">
      <c r="A6" s="94" t="s">
        <v>344</v>
      </c>
      <c r="B6" s="94" t="s">
        <v>367</v>
      </c>
      <c r="C6" s="94">
        <v>0.25</v>
      </c>
      <c r="D6" s="92">
        <v>45</v>
      </c>
      <c r="E6" s="92">
        <f t="shared" si="1"/>
        <v>11.25</v>
      </c>
      <c r="F6" s="93">
        <f t="shared" si="0"/>
        <v>0.15</v>
      </c>
    </row>
    <row r="7" spans="1:8" x14ac:dyDescent="0.2">
      <c r="A7" s="94" t="s">
        <v>345</v>
      </c>
      <c r="B7" s="94"/>
      <c r="C7" s="94"/>
      <c r="D7" s="92"/>
      <c r="E7" s="92">
        <f t="shared" si="1"/>
        <v>0</v>
      </c>
      <c r="F7" s="93">
        <f t="shared" si="0"/>
        <v>0</v>
      </c>
    </row>
    <row r="8" spans="1:8" x14ac:dyDescent="0.2">
      <c r="A8" s="94" t="s">
        <v>345</v>
      </c>
      <c r="B8" s="94"/>
      <c r="C8" s="94"/>
      <c r="D8" s="92"/>
      <c r="E8" s="92">
        <f t="shared" si="1"/>
        <v>0</v>
      </c>
      <c r="F8" s="93">
        <f t="shared" si="0"/>
        <v>0</v>
      </c>
    </row>
    <row r="9" spans="1:8" x14ac:dyDescent="0.2">
      <c r="A9" s="95" t="s">
        <v>345</v>
      </c>
      <c r="B9" s="95"/>
      <c r="C9" s="95"/>
      <c r="D9" s="96"/>
      <c r="E9" s="92">
        <f t="shared" si="1"/>
        <v>0</v>
      </c>
      <c r="F9" s="93">
        <f t="shared" si="0"/>
        <v>0</v>
      </c>
    </row>
    <row r="10" spans="1:8" x14ac:dyDescent="0.2">
      <c r="A10" s="255" t="s">
        <v>351</v>
      </c>
      <c r="B10" s="255"/>
      <c r="C10" s="255"/>
      <c r="D10" s="255"/>
      <c r="E10" s="74">
        <f>SUM(E3:E9)</f>
        <v>95.050000000000011</v>
      </c>
      <c r="F10" s="74">
        <f>SUM(F3:F9)</f>
        <v>1.2673333333333334</v>
      </c>
      <c r="H10" s="143" t="s">
        <v>430</v>
      </c>
    </row>
    <row r="12" spans="1:8" x14ac:dyDescent="0.2">
      <c r="A12" s="256" t="s">
        <v>377</v>
      </c>
      <c r="B12" s="256"/>
      <c r="C12" s="256"/>
      <c r="D12" s="256"/>
      <c r="E12" s="256"/>
      <c r="F12" s="256"/>
    </row>
    <row r="13" spans="1:8" x14ac:dyDescent="0.2">
      <c r="A13" s="83" t="s">
        <v>346</v>
      </c>
      <c r="B13" s="83" t="s">
        <v>347</v>
      </c>
      <c r="C13" s="83" t="s">
        <v>348</v>
      </c>
      <c r="D13" s="83" t="s">
        <v>349</v>
      </c>
      <c r="E13" s="83" t="s">
        <v>356</v>
      </c>
      <c r="F13" s="83" t="str">
        <f>CONCATENATE("$/",Main!$D$6)</f>
        <v>$/bushel</v>
      </c>
    </row>
    <row r="14" spans="1:8" x14ac:dyDescent="0.2">
      <c r="A14" s="273" t="s">
        <v>506</v>
      </c>
      <c r="B14" s="273" t="s">
        <v>507</v>
      </c>
      <c r="C14" s="86">
        <v>2.5</v>
      </c>
      <c r="D14" s="84">
        <v>1.9750000000000001</v>
      </c>
      <c r="E14" s="84">
        <f t="shared" ref="E14:E15" si="2">D14*C14</f>
        <v>4.9375</v>
      </c>
      <c r="F14" s="85">
        <f t="shared" ref="F14" si="3">E14/yield</f>
        <v>6.5833333333333327E-2</v>
      </c>
    </row>
    <row r="15" spans="1:8" x14ac:dyDescent="0.2">
      <c r="A15" s="86" t="s">
        <v>508</v>
      </c>
      <c r="B15" s="86" t="s">
        <v>509</v>
      </c>
      <c r="C15" s="86">
        <v>1</v>
      </c>
      <c r="D15" s="84">
        <v>7.5</v>
      </c>
      <c r="E15" s="84">
        <f t="shared" si="2"/>
        <v>7.5</v>
      </c>
      <c r="F15" s="85">
        <f t="shared" ref="F15" si="4">E15/yield</f>
        <v>0.1</v>
      </c>
    </row>
    <row r="16" spans="1:8" x14ac:dyDescent="0.2">
      <c r="A16" s="86" t="s">
        <v>492</v>
      </c>
      <c r="B16" s="86" t="s">
        <v>489</v>
      </c>
      <c r="C16" s="86">
        <v>16.399999999999999</v>
      </c>
      <c r="D16" s="84">
        <v>1</v>
      </c>
      <c r="E16" s="84">
        <f>C16*D16</f>
        <v>16.399999999999999</v>
      </c>
      <c r="F16" s="85">
        <f t="shared" ref="F16" si="5">E16/yield</f>
        <v>0.21866666666666665</v>
      </c>
    </row>
    <row r="17" spans="1:8" x14ac:dyDescent="0.2">
      <c r="A17" s="86" t="s">
        <v>500</v>
      </c>
      <c r="B17" s="86" t="s">
        <v>489</v>
      </c>
      <c r="C17" s="86">
        <v>0.75</v>
      </c>
      <c r="D17" s="84">
        <v>7.25</v>
      </c>
      <c r="E17" s="84">
        <v>9</v>
      </c>
      <c r="F17" s="85">
        <f t="shared" ref="F17:F19" si="6">E17/yield</f>
        <v>0.12</v>
      </c>
    </row>
    <row r="18" spans="1:8" x14ac:dyDescent="0.2">
      <c r="A18" s="86" t="s">
        <v>493</v>
      </c>
      <c r="B18" s="86" t="s">
        <v>489</v>
      </c>
      <c r="C18" s="86">
        <v>12</v>
      </c>
      <c r="D18" s="84">
        <v>0.15</v>
      </c>
      <c r="E18" s="84">
        <f t="shared" ref="E18:E19" si="7">D18*C18</f>
        <v>1.7999999999999998</v>
      </c>
      <c r="F18" s="85">
        <f t="shared" si="6"/>
        <v>2.3999999999999997E-2</v>
      </c>
    </row>
    <row r="19" spans="1:8" x14ac:dyDescent="0.2">
      <c r="A19" s="86" t="s">
        <v>510</v>
      </c>
      <c r="B19" s="86" t="s">
        <v>509</v>
      </c>
      <c r="C19" s="86"/>
      <c r="D19" s="84">
        <v>7</v>
      </c>
      <c r="E19" s="84">
        <f t="shared" si="7"/>
        <v>0</v>
      </c>
      <c r="F19" s="85">
        <f t="shared" si="6"/>
        <v>0</v>
      </c>
    </row>
    <row r="20" spans="1:8" x14ac:dyDescent="0.2">
      <c r="A20" s="87" t="s">
        <v>345</v>
      </c>
      <c r="B20" s="87"/>
      <c r="C20" s="87"/>
      <c r="D20" s="88"/>
      <c r="E20" s="84">
        <f t="shared" ref="E15:E20" si="8">D20*C20</f>
        <v>0</v>
      </c>
      <c r="F20" s="85">
        <f t="shared" ref="F14:F20" si="9">E20/yield</f>
        <v>0</v>
      </c>
    </row>
    <row r="21" spans="1:8" x14ac:dyDescent="0.2">
      <c r="A21" s="256" t="s">
        <v>378</v>
      </c>
      <c r="B21" s="256"/>
      <c r="C21" s="256"/>
      <c r="D21" s="256"/>
      <c r="E21" s="75">
        <f>SUM(E14:E20)</f>
        <v>39.637499999999996</v>
      </c>
      <c r="F21" s="75">
        <f>SUM(F14:F20)</f>
        <v>0.52849999999999997</v>
      </c>
      <c r="H21" s="143" t="s">
        <v>430</v>
      </c>
    </row>
    <row r="23" spans="1:8" x14ac:dyDescent="0.2">
      <c r="A23" s="258" t="s">
        <v>379</v>
      </c>
      <c r="B23" s="258"/>
      <c r="C23" s="258"/>
      <c r="D23" s="258"/>
      <c r="E23" s="258"/>
      <c r="F23" s="258"/>
    </row>
    <row r="24" spans="1:8" x14ac:dyDescent="0.2">
      <c r="A24" s="77" t="s">
        <v>346</v>
      </c>
      <c r="B24" s="77" t="s">
        <v>347</v>
      </c>
      <c r="C24" s="77" t="s">
        <v>348</v>
      </c>
      <c r="D24" s="77" t="s">
        <v>349</v>
      </c>
      <c r="E24" s="77" t="s">
        <v>356</v>
      </c>
      <c r="F24" s="77" t="str">
        <f>CONCATENATE("$/",Main!$D$6)</f>
        <v>$/bushel</v>
      </c>
    </row>
    <row r="25" spans="1:8" ht="30" x14ac:dyDescent="0.2">
      <c r="A25" s="274" t="s">
        <v>491</v>
      </c>
      <c r="B25" s="275" t="s">
        <v>489</v>
      </c>
      <c r="C25" s="80">
        <v>1.5</v>
      </c>
      <c r="D25" s="78">
        <v>2.6</v>
      </c>
      <c r="E25" s="78">
        <f>D25*C25</f>
        <v>3.9000000000000004</v>
      </c>
      <c r="F25" s="79">
        <f t="shared" ref="F25:F31" si="10">E25/yield</f>
        <v>5.2000000000000005E-2</v>
      </c>
    </row>
    <row r="26" spans="1:8" x14ac:dyDescent="0.2">
      <c r="A26" s="276" t="s">
        <v>490</v>
      </c>
      <c r="B26" s="80"/>
      <c r="C26" s="80"/>
      <c r="D26" s="78">
        <v>2.5</v>
      </c>
      <c r="E26" s="78">
        <f t="shared" ref="E26:E31" si="11">D26*C26</f>
        <v>0</v>
      </c>
      <c r="F26" s="79">
        <f t="shared" si="10"/>
        <v>0</v>
      </c>
    </row>
    <row r="27" spans="1:8" x14ac:dyDescent="0.2">
      <c r="A27" s="80" t="s">
        <v>345</v>
      </c>
      <c r="B27" s="80"/>
      <c r="C27" s="80"/>
      <c r="D27" s="78"/>
      <c r="E27" s="78">
        <f t="shared" si="11"/>
        <v>0</v>
      </c>
      <c r="F27" s="79">
        <f t="shared" si="10"/>
        <v>0</v>
      </c>
    </row>
    <row r="28" spans="1:8" x14ac:dyDescent="0.2">
      <c r="A28" s="80" t="s">
        <v>345</v>
      </c>
      <c r="B28" s="80"/>
      <c r="C28" s="80"/>
      <c r="D28" s="78"/>
      <c r="E28" s="78">
        <f t="shared" si="11"/>
        <v>0</v>
      </c>
      <c r="F28" s="79">
        <f t="shared" si="10"/>
        <v>0</v>
      </c>
    </row>
    <row r="29" spans="1:8" x14ac:dyDescent="0.2">
      <c r="A29" s="80" t="s">
        <v>345</v>
      </c>
      <c r="B29" s="80"/>
      <c r="C29" s="80"/>
      <c r="D29" s="78"/>
      <c r="E29" s="78">
        <f t="shared" si="11"/>
        <v>0</v>
      </c>
      <c r="F29" s="79">
        <f t="shared" si="10"/>
        <v>0</v>
      </c>
    </row>
    <row r="30" spans="1:8" x14ac:dyDescent="0.2">
      <c r="A30" s="80" t="s">
        <v>345</v>
      </c>
      <c r="B30" s="80"/>
      <c r="C30" s="80"/>
      <c r="D30" s="78"/>
      <c r="E30" s="78">
        <f t="shared" si="11"/>
        <v>0</v>
      </c>
      <c r="F30" s="79">
        <f t="shared" si="10"/>
        <v>0</v>
      </c>
    </row>
    <row r="31" spans="1:8" x14ac:dyDescent="0.2">
      <c r="A31" s="81" t="s">
        <v>345</v>
      </c>
      <c r="B31" s="81"/>
      <c r="C31" s="81"/>
      <c r="D31" s="82"/>
      <c r="E31" s="78">
        <f t="shared" si="11"/>
        <v>0</v>
      </c>
      <c r="F31" s="79">
        <f t="shared" si="10"/>
        <v>0</v>
      </c>
    </row>
    <row r="32" spans="1:8" x14ac:dyDescent="0.2">
      <c r="A32" s="258" t="s">
        <v>380</v>
      </c>
      <c r="B32" s="258"/>
      <c r="C32" s="258"/>
      <c r="D32" s="258"/>
      <c r="E32" s="76">
        <f>SUM(E25:E31)</f>
        <v>3.9000000000000004</v>
      </c>
      <c r="F32" s="76">
        <f>SUM(F25:F31)</f>
        <v>5.2000000000000005E-2</v>
      </c>
      <c r="H32" s="143" t="s">
        <v>430</v>
      </c>
    </row>
    <row r="34" spans="1:8" x14ac:dyDescent="0.2">
      <c r="A34" s="257" t="s">
        <v>412</v>
      </c>
      <c r="B34" s="257"/>
      <c r="C34" s="257"/>
      <c r="D34" s="257"/>
      <c r="E34" s="257"/>
      <c r="F34" s="257"/>
    </row>
    <row r="35" spans="1:8" x14ac:dyDescent="0.2">
      <c r="A35" s="129" t="s">
        <v>346</v>
      </c>
      <c r="B35" s="129" t="s">
        <v>347</v>
      </c>
      <c r="C35" s="129" t="s">
        <v>348</v>
      </c>
      <c r="D35" s="129" t="s">
        <v>349</v>
      </c>
      <c r="E35" s="129" t="s">
        <v>356</v>
      </c>
      <c r="F35" s="129" t="str">
        <f>CONCATENATE("$/",Main!$D$6)</f>
        <v>$/bushel</v>
      </c>
    </row>
    <row r="36" spans="1:8" x14ac:dyDescent="0.2">
      <c r="A36" s="130" t="s">
        <v>486</v>
      </c>
      <c r="B36" s="130" t="s">
        <v>487</v>
      </c>
      <c r="C36" s="130">
        <v>4</v>
      </c>
      <c r="D36" s="131">
        <v>3</v>
      </c>
      <c r="E36" s="132">
        <f>D36*C36</f>
        <v>12</v>
      </c>
      <c r="F36" s="133">
        <f t="shared" ref="F36:F45" si="12">E36/yield</f>
        <v>0.16</v>
      </c>
    </row>
    <row r="37" spans="1:8" x14ac:dyDescent="0.2">
      <c r="A37" s="134" t="s">
        <v>511</v>
      </c>
      <c r="B37" s="134" t="s">
        <v>487</v>
      </c>
      <c r="C37" s="134"/>
      <c r="D37" s="132">
        <v>0.4</v>
      </c>
      <c r="E37" s="132">
        <f t="shared" ref="E37:E45" si="13">D37*C37</f>
        <v>0</v>
      </c>
      <c r="F37" s="133">
        <f t="shared" si="12"/>
        <v>0</v>
      </c>
    </row>
    <row r="38" spans="1:8" x14ac:dyDescent="0.2">
      <c r="A38" s="134" t="s">
        <v>345</v>
      </c>
      <c r="B38" s="134"/>
      <c r="C38" s="134"/>
      <c r="D38" s="132"/>
      <c r="E38" s="132">
        <f t="shared" ref="E38:E41" si="14">D38*C38</f>
        <v>0</v>
      </c>
      <c r="F38" s="133">
        <f t="shared" ref="F38:F41" si="15">E38/yield</f>
        <v>0</v>
      </c>
    </row>
    <row r="39" spans="1:8" x14ac:dyDescent="0.2">
      <c r="A39" s="134" t="s">
        <v>345</v>
      </c>
      <c r="B39" s="134"/>
      <c r="C39" s="134"/>
      <c r="D39" s="132"/>
      <c r="E39" s="132">
        <f t="shared" si="14"/>
        <v>0</v>
      </c>
      <c r="F39" s="133">
        <f t="shared" si="15"/>
        <v>0</v>
      </c>
    </row>
    <row r="40" spans="1:8" x14ac:dyDescent="0.2">
      <c r="A40" s="134" t="s">
        <v>345</v>
      </c>
      <c r="B40" s="134"/>
      <c r="C40" s="134"/>
      <c r="D40" s="132"/>
      <c r="E40" s="132">
        <f t="shared" si="14"/>
        <v>0</v>
      </c>
      <c r="F40" s="133">
        <f t="shared" si="15"/>
        <v>0</v>
      </c>
    </row>
    <row r="41" spans="1:8" x14ac:dyDescent="0.2">
      <c r="A41" s="134" t="s">
        <v>345</v>
      </c>
      <c r="B41" s="134"/>
      <c r="C41" s="134"/>
      <c r="D41" s="132"/>
      <c r="E41" s="132">
        <f t="shared" si="14"/>
        <v>0</v>
      </c>
      <c r="F41" s="133">
        <f t="shared" si="15"/>
        <v>0</v>
      </c>
    </row>
    <row r="42" spans="1:8" x14ac:dyDescent="0.2">
      <c r="A42" s="134" t="s">
        <v>345</v>
      </c>
      <c r="B42" s="134"/>
      <c r="C42" s="134"/>
      <c r="D42" s="132"/>
      <c r="E42" s="132">
        <f t="shared" si="13"/>
        <v>0</v>
      </c>
      <c r="F42" s="133">
        <f t="shared" si="12"/>
        <v>0</v>
      </c>
    </row>
    <row r="43" spans="1:8" x14ac:dyDescent="0.2">
      <c r="A43" s="134" t="s">
        <v>345</v>
      </c>
      <c r="B43" s="134"/>
      <c r="C43" s="134"/>
      <c r="D43" s="132"/>
      <c r="E43" s="132">
        <f t="shared" si="13"/>
        <v>0</v>
      </c>
      <c r="F43" s="133">
        <f t="shared" si="12"/>
        <v>0</v>
      </c>
    </row>
    <row r="44" spans="1:8" x14ac:dyDescent="0.2">
      <c r="A44" s="134" t="s">
        <v>345</v>
      </c>
      <c r="B44" s="134"/>
      <c r="C44" s="134"/>
      <c r="D44" s="132"/>
      <c r="E44" s="132">
        <f t="shared" si="13"/>
        <v>0</v>
      </c>
      <c r="F44" s="133">
        <f t="shared" si="12"/>
        <v>0</v>
      </c>
    </row>
    <row r="45" spans="1:8" x14ac:dyDescent="0.2">
      <c r="A45" s="135" t="s">
        <v>345</v>
      </c>
      <c r="B45" s="135"/>
      <c r="C45" s="135"/>
      <c r="D45" s="136"/>
      <c r="E45" s="132">
        <f t="shared" si="13"/>
        <v>0</v>
      </c>
      <c r="F45" s="133">
        <f t="shared" si="12"/>
        <v>0</v>
      </c>
    </row>
    <row r="46" spans="1:8" x14ac:dyDescent="0.2">
      <c r="A46" s="257" t="s">
        <v>413</v>
      </c>
      <c r="B46" s="257"/>
      <c r="C46" s="257"/>
      <c r="D46" s="257"/>
      <c r="E46" s="128">
        <f>SUM(E36:E45)</f>
        <v>12</v>
      </c>
      <c r="F46" s="128">
        <f>SUM(F36:F45)</f>
        <v>0.16</v>
      </c>
      <c r="H46" s="143" t="s">
        <v>430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7" sqref="F7"/>
    </sheetView>
  </sheetViews>
  <sheetFormatPr baseColWidth="10" defaultColWidth="8.83203125" defaultRowHeight="15" x14ac:dyDescent="0.2"/>
  <cols>
    <col min="1" max="1" width="4.6640625" style="38" customWidth="1"/>
    <col min="2" max="2" width="24.5" style="38" bestFit="1" customWidth="1"/>
    <col min="3" max="3" width="13.5" style="38" bestFit="1" customWidth="1"/>
    <col min="4" max="4" width="6.33203125" style="38" bestFit="1" customWidth="1"/>
    <col min="5" max="5" width="8" style="38" bestFit="1" customWidth="1"/>
    <col min="6" max="6" width="9.6640625" style="38" bestFit="1" customWidth="1"/>
    <col min="7" max="7" width="5.5" style="38" bestFit="1" customWidth="1"/>
    <col min="8" max="8" width="8" style="38" bestFit="1" customWidth="1"/>
    <col min="9" max="9" width="7.5" style="38" bestFit="1" customWidth="1"/>
    <col min="10" max="10" width="8" style="38" bestFit="1" customWidth="1"/>
    <col min="11" max="11" width="7.5" style="38" bestFit="1" customWidth="1"/>
    <col min="12" max="12" width="26.5" style="161" bestFit="1" customWidth="1"/>
    <col min="13" max="13" width="22.5" style="161" bestFit="1" customWidth="1"/>
    <col min="14" max="14" width="9.33203125" style="38" bestFit="1" customWidth="1"/>
    <col min="15" max="15" width="8.5" style="38" bestFit="1" customWidth="1"/>
    <col min="16" max="16" width="8" style="38" bestFit="1" customWidth="1"/>
    <col min="17" max="17" width="7.5" style="38" bestFit="1" customWidth="1"/>
    <col min="18" max="18" width="7.1640625" style="38" bestFit="1" customWidth="1"/>
    <col min="19" max="20" width="11" style="38" bestFit="1" customWidth="1"/>
    <col min="21" max="21" width="9.83203125" style="38" bestFit="1" customWidth="1"/>
    <col min="22" max="16384" width="8.83203125" style="38"/>
  </cols>
  <sheetData>
    <row r="1" spans="1:21" x14ac:dyDescent="0.2">
      <c r="B1" s="242" t="s">
        <v>187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41" customFormat="1" ht="28" x14ac:dyDescent="0.2">
      <c r="A2" s="260" t="s">
        <v>174</v>
      </c>
      <c r="B2" s="37" t="s">
        <v>186</v>
      </c>
      <c r="C2" s="37" t="s">
        <v>440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169</v>
      </c>
      <c r="I2" s="39" t="s">
        <v>170</v>
      </c>
      <c r="J2" s="39" t="s">
        <v>100</v>
      </c>
      <c r="K2" s="39" t="s">
        <v>171</v>
      </c>
      <c r="L2" s="160" t="s">
        <v>185</v>
      </c>
      <c r="M2" s="160" t="s">
        <v>439</v>
      </c>
      <c r="N2" s="40" t="s">
        <v>175</v>
      </c>
      <c r="O2" s="40" t="s">
        <v>172</v>
      </c>
      <c r="P2" s="39" t="s">
        <v>169</v>
      </c>
      <c r="Q2" s="39" t="s">
        <v>170</v>
      </c>
      <c r="R2" s="39" t="s">
        <v>416</v>
      </c>
      <c r="S2" s="39" t="s">
        <v>177</v>
      </c>
      <c r="T2" s="39" t="s">
        <v>176</v>
      </c>
      <c r="U2" s="37" t="s">
        <v>173</v>
      </c>
    </row>
    <row r="3" spans="1:21" x14ac:dyDescent="0.2">
      <c r="A3" s="261"/>
      <c r="B3" s="164" t="s">
        <v>495</v>
      </c>
      <c r="C3" s="218" t="str">
        <f t="shared" ref="C3:C13" si="0">IF(B3&gt;0,VLOOKUP($B3,pre_implement,6)," ")</f>
        <v>Plow 4 Bottom Switch</v>
      </c>
      <c r="D3" s="47" t="str">
        <f t="shared" ref="D3:D14" si="1">IF(B3&gt;0,VLOOKUP($B3,pre_implement,5),0)</f>
        <v>4 Bottom Switch</v>
      </c>
      <c r="E3" s="53">
        <f t="shared" ref="E3:E14" si="2">IF(B3&gt;0,VLOOKUP($B3,pre_implement,11),0)</f>
        <v>0.4296875</v>
      </c>
      <c r="F3" s="47">
        <v>1</v>
      </c>
      <c r="G3" s="53">
        <f>F3*E3</f>
        <v>0.4296875</v>
      </c>
      <c r="H3" s="54">
        <f t="shared" ref="H3:H14" si="3">IF(B3&gt;0,VLOOKUP($B3,pre_implement,24),0)</f>
        <v>4.833333333333333</v>
      </c>
      <c r="I3" s="54">
        <f>H3*G3</f>
        <v>2.0768229166666665</v>
      </c>
      <c r="J3" s="54">
        <f t="shared" ref="J3:J14" si="4">IF(B3&gt;0,VLOOKUP($B3,pre_implement,31),0)</f>
        <v>15.621333333333332</v>
      </c>
      <c r="K3" s="55">
        <f>J3*G3</f>
        <v>6.7122916666666663</v>
      </c>
      <c r="L3" s="161" t="s">
        <v>480</v>
      </c>
      <c r="M3" s="163" t="str">
        <f t="shared" ref="M3:M14" si="5">IF(K3&gt;0,VLOOKUP($L3,tractor_data,6)," ")</f>
        <v>Tractor (180-199 hp) CB MFWD 190</v>
      </c>
      <c r="N3" s="53">
        <f t="shared" ref="N3:N14" si="6">IF(L3&gt;0,VLOOKUP($L3,tractor_data,8),0)</f>
        <v>9.7797999999999998</v>
      </c>
      <c r="O3" s="53">
        <f>N3*G3</f>
        <v>4.2022578125000001</v>
      </c>
      <c r="P3" s="54">
        <f t="shared" ref="P3:P14" si="7">IF(L3&gt;0,VLOOKUP($L3,tractor_data,17),0)</f>
        <v>13.285714285714286</v>
      </c>
      <c r="Q3" s="54">
        <f>P3*G3</f>
        <v>5.7087053571428577</v>
      </c>
      <c r="R3" s="54">
        <f>I3+Q3</f>
        <v>7.7855282738095237</v>
      </c>
      <c r="S3" s="54">
        <f t="shared" ref="S3:S14" si="8">IF(L3&gt;0,VLOOKUP($L3,tractor_data,24),0)</f>
        <v>38.918285714285716</v>
      </c>
      <c r="T3" s="54">
        <f>S3*G3</f>
        <v>16.722700892857144</v>
      </c>
      <c r="U3" s="54">
        <f>T3+K3</f>
        <v>23.43499255952381</v>
      </c>
    </row>
    <row r="4" spans="1:21" x14ac:dyDescent="0.2">
      <c r="A4" s="261"/>
      <c r="B4" s="164" t="s">
        <v>481</v>
      </c>
      <c r="C4" s="218" t="str">
        <f t="shared" si="0"/>
        <v>Disk Harrow 32'</v>
      </c>
      <c r="D4" s="47" t="str">
        <f t="shared" si="1"/>
        <v>32'</v>
      </c>
      <c r="E4" s="53">
        <f t="shared" si="2"/>
        <v>6.1383928571428575E-2</v>
      </c>
      <c r="F4" s="47">
        <v>2</v>
      </c>
      <c r="G4" s="53">
        <f t="shared" ref="G4:G14" si="9">F4*E4</f>
        <v>0.12276785714285715</v>
      </c>
      <c r="H4" s="54">
        <f t="shared" si="3"/>
        <v>14.972222222222221</v>
      </c>
      <c r="I4" s="54">
        <f t="shared" ref="I4:I14" si="10">H4*G4</f>
        <v>1.8381076388888888</v>
      </c>
      <c r="J4" s="54">
        <f t="shared" si="4"/>
        <v>43.149944444444444</v>
      </c>
      <c r="K4" s="55">
        <f t="shared" ref="K4:K14" si="11">J4*G4</f>
        <v>5.2974262152777776</v>
      </c>
      <c r="L4" s="161" t="s">
        <v>480</v>
      </c>
      <c r="M4" s="217" t="str">
        <f t="shared" si="5"/>
        <v>Tractor (180-199 hp) CB MFWD 190</v>
      </c>
      <c r="N4" s="53">
        <f t="shared" si="6"/>
        <v>9.7797999999999998</v>
      </c>
      <c r="O4" s="53">
        <f t="shared" ref="O4:O14" si="12">N4*G4</f>
        <v>1.2006450892857143</v>
      </c>
      <c r="P4" s="54">
        <f t="shared" si="7"/>
        <v>13.285714285714286</v>
      </c>
      <c r="Q4" s="54">
        <f t="shared" ref="Q4:Q14" si="13">P4*G4</f>
        <v>1.6310586734693879</v>
      </c>
      <c r="R4" s="54">
        <f t="shared" ref="R4:R14" si="14">I4+Q4</f>
        <v>3.4691663123582765</v>
      </c>
      <c r="S4" s="54">
        <f t="shared" si="8"/>
        <v>38.918285714285716</v>
      </c>
      <c r="T4" s="54">
        <f t="shared" ref="T4:T14" si="15">S4*G4</f>
        <v>4.7779145408163268</v>
      </c>
      <c r="U4" s="54">
        <f t="shared" ref="U4:U14" si="16">T4+K4</f>
        <v>10.075340756094104</v>
      </c>
    </row>
    <row r="5" spans="1:21" x14ac:dyDescent="0.2">
      <c r="A5" s="261"/>
      <c r="B5" s="164" t="s">
        <v>496</v>
      </c>
      <c r="C5" s="218" t="str">
        <f t="shared" si="0"/>
        <v>Grain Drill 15'</v>
      </c>
      <c r="D5" s="47" t="str">
        <f t="shared" si="1"/>
        <v>15'</v>
      </c>
      <c r="E5" s="53">
        <f t="shared" si="2"/>
        <v>0.12571428571428572</v>
      </c>
      <c r="F5" s="47">
        <v>1</v>
      </c>
      <c r="G5" s="53">
        <f t="shared" si="9"/>
        <v>0.12571428571428572</v>
      </c>
      <c r="H5" s="54">
        <f t="shared" si="3"/>
        <v>12.262499999999999</v>
      </c>
      <c r="I5" s="54">
        <f t="shared" si="10"/>
        <v>1.5415714285714286</v>
      </c>
      <c r="J5" s="54">
        <f t="shared" si="4"/>
        <v>33.005199999999995</v>
      </c>
      <c r="K5" s="55">
        <f t="shared" si="11"/>
        <v>4.1492251428571425</v>
      </c>
      <c r="L5" s="161" t="s">
        <v>480</v>
      </c>
      <c r="M5" s="217" t="str">
        <f t="shared" si="5"/>
        <v>Tractor (180-199 hp) CB MFWD 190</v>
      </c>
      <c r="N5" s="53">
        <f t="shared" si="6"/>
        <v>9.7797999999999998</v>
      </c>
      <c r="O5" s="53">
        <f t="shared" si="12"/>
        <v>1.2294605714285716</v>
      </c>
      <c r="P5" s="54">
        <f t="shared" si="7"/>
        <v>13.285714285714286</v>
      </c>
      <c r="Q5" s="54">
        <f t="shared" si="13"/>
        <v>1.6702040816326533</v>
      </c>
      <c r="R5" s="54">
        <f t="shared" si="14"/>
        <v>3.2117755102040819</v>
      </c>
      <c r="S5" s="54">
        <f t="shared" si="8"/>
        <v>38.918285714285716</v>
      </c>
      <c r="T5" s="54">
        <f t="shared" si="15"/>
        <v>4.8925844897959188</v>
      </c>
      <c r="U5" s="54">
        <f t="shared" si="16"/>
        <v>9.0418096326530613</v>
      </c>
    </row>
    <row r="6" spans="1:21" x14ac:dyDescent="0.2">
      <c r="A6" s="261"/>
      <c r="B6" s="164" t="s">
        <v>482</v>
      </c>
      <c r="C6" s="218" t="str">
        <f t="shared" si="0"/>
        <v>Spray (Broadcast) 60'</v>
      </c>
      <c r="D6" s="47" t="str">
        <f t="shared" si="1"/>
        <v>60'</v>
      </c>
      <c r="E6" s="53">
        <f t="shared" si="2"/>
        <v>2.8205128205128206E-2</v>
      </c>
      <c r="F6" s="47">
        <v>5</v>
      </c>
      <c r="G6" s="53">
        <f t="shared" si="9"/>
        <v>0.14102564102564102</v>
      </c>
      <c r="H6" s="54">
        <f t="shared" si="3"/>
        <v>8.71875</v>
      </c>
      <c r="I6" s="54">
        <f t="shared" si="10"/>
        <v>1.2295673076923077</v>
      </c>
      <c r="J6" s="54">
        <f t="shared" si="4"/>
        <v>14.396400000000002</v>
      </c>
      <c r="K6" s="55">
        <f t="shared" si="11"/>
        <v>2.0302615384615388</v>
      </c>
      <c r="L6" s="161" t="s">
        <v>480</v>
      </c>
      <c r="M6" s="217" t="str">
        <f t="shared" si="5"/>
        <v>Tractor (180-199 hp) CB MFWD 190</v>
      </c>
      <c r="N6" s="53">
        <f t="shared" si="6"/>
        <v>9.7797999999999998</v>
      </c>
      <c r="O6" s="53">
        <f t="shared" si="12"/>
        <v>1.379202564102564</v>
      </c>
      <c r="P6" s="54">
        <f t="shared" si="7"/>
        <v>13.285714285714286</v>
      </c>
      <c r="Q6" s="54">
        <f t="shared" si="13"/>
        <v>1.8736263736263736</v>
      </c>
      <c r="R6" s="54">
        <f t="shared" si="14"/>
        <v>3.1031936813186816</v>
      </c>
      <c r="S6" s="54">
        <f t="shared" si="8"/>
        <v>38.918285714285716</v>
      </c>
      <c r="T6" s="54">
        <f t="shared" si="15"/>
        <v>5.4884761904761907</v>
      </c>
      <c r="U6" s="54">
        <f t="shared" si="16"/>
        <v>7.5187377289377295</v>
      </c>
    </row>
    <row r="7" spans="1:21" x14ac:dyDescent="0.2">
      <c r="A7" s="261"/>
      <c r="B7" s="164"/>
      <c r="C7" s="218" t="str">
        <f t="shared" si="0"/>
        <v xml:space="preserve"> </v>
      </c>
      <c r="D7" s="47">
        <f t="shared" si="1"/>
        <v>0</v>
      </c>
      <c r="E7" s="53">
        <f t="shared" si="2"/>
        <v>0</v>
      </c>
      <c r="F7" s="47">
        <v>1</v>
      </c>
      <c r="G7" s="53">
        <f t="shared" si="9"/>
        <v>0</v>
      </c>
      <c r="H7" s="54">
        <f t="shared" si="3"/>
        <v>0</v>
      </c>
      <c r="I7" s="54">
        <f t="shared" si="10"/>
        <v>0</v>
      </c>
      <c r="J7" s="54">
        <f t="shared" si="4"/>
        <v>0</v>
      </c>
      <c r="K7" s="55">
        <f t="shared" si="11"/>
        <v>0</v>
      </c>
      <c r="M7" s="217" t="str">
        <f t="shared" si="5"/>
        <v xml:space="preserve"> </v>
      </c>
      <c r="N7" s="53">
        <f t="shared" si="6"/>
        <v>0</v>
      </c>
      <c r="O7" s="53">
        <f t="shared" si="12"/>
        <v>0</v>
      </c>
      <c r="P7" s="54">
        <f t="shared" si="7"/>
        <v>0</v>
      </c>
      <c r="Q7" s="54">
        <f t="shared" si="13"/>
        <v>0</v>
      </c>
      <c r="R7" s="54">
        <f t="shared" si="14"/>
        <v>0</v>
      </c>
      <c r="S7" s="54">
        <f t="shared" si="8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61"/>
      <c r="B8" s="164"/>
      <c r="C8" s="218" t="str">
        <f t="shared" si="0"/>
        <v xml:space="preserve"> </v>
      </c>
      <c r="D8" s="47">
        <f t="shared" si="1"/>
        <v>0</v>
      </c>
      <c r="E8" s="53">
        <f t="shared" si="2"/>
        <v>0</v>
      </c>
      <c r="F8" s="47">
        <v>1</v>
      </c>
      <c r="G8" s="53">
        <f t="shared" si="9"/>
        <v>0</v>
      </c>
      <c r="H8" s="54">
        <f t="shared" si="3"/>
        <v>0</v>
      </c>
      <c r="I8" s="54">
        <f t="shared" si="10"/>
        <v>0</v>
      </c>
      <c r="J8" s="54">
        <f t="shared" si="4"/>
        <v>0</v>
      </c>
      <c r="K8" s="55">
        <f t="shared" si="11"/>
        <v>0</v>
      </c>
      <c r="M8" s="217" t="str">
        <f t="shared" si="5"/>
        <v xml:space="preserve"> </v>
      </c>
      <c r="N8" s="53">
        <f t="shared" si="6"/>
        <v>0</v>
      </c>
      <c r="O8" s="53">
        <f t="shared" si="12"/>
        <v>0</v>
      </c>
      <c r="P8" s="54">
        <f t="shared" si="7"/>
        <v>0</v>
      </c>
      <c r="Q8" s="54">
        <f t="shared" si="13"/>
        <v>0</v>
      </c>
      <c r="R8" s="54">
        <f t="shared" si="14"/>
        <v>0</v>
      </c>
      <c r="S8" s="54">
        <f t="shared" si="8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61"/>
      <c r="B9" s="164"/>
      <c r="C9" s="218" t="str">
        <f t="shared" si="0"/>
        <v xml:space="preserve"> </v>
      </c>
      <c r="D9" s="47">
        <f t="shared" si="1"/>
        <v>0</v>
      </c>
      <c r="E9" s="53">
        <f t="shared" si="2"/>
        <v>0</v>
      </c>
      <c r="F9" s="47">
        <v>1</v>
      </c>
      <c r="G9" s="53">
        <f t="shared" si="9"/>
        <v>0</v>
      </c>
      <c r="H9" s="54">
        <f t="shared" si="3"/>
        <v>0</v>
      </c>
      <c r="I9" s="54">
        <f t="shared" si="10"/>
        <v>0</v>
      </c>
      <c r="J9" s="54">
        <f t="shared" si="4"/>
        <v>0</v>
      </c>
      <c r="K9" s="55">
        <f t="shared" si="11"/>
        <v>0</v>
      </c>
      <c r="M9" s="217" t="str">
        <f t="shared" si="5"/>
        <v xml:space="preserve"> </v>
      </c>
      <c r="N9" s="53">
        <f t="shared" si="6"/>
        <v>0</v>
      </c>
      <c r="O9" s="53">
        <f t="shared" si="12"/>
        <v>0</v>
      </c>
      <c r="P9" s="54">
        <f t="shared" si="7"/>
        <v>0</v>
      </c>
      <c r="Q9" s="54">
        <f t="shared" si="13"/>
        <v>0</v>
      </c>
      <c r="R9" s="54">
        <f t="shared" si="14"/>
        <v>0</v>
      </c>
      <c r="S9" s="54">
        <f t="shared" si="8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61"/>
      <c r="B10" s="164"/>
      <c r="C10" s="218" t="str">
        <f t="shared" si="0"/>
        <v xml:space="preserve"> </v>
      </c>
      <c r="D10" s="47">
        <f t="shared" si="1"/>
        <v>0</v>
      </c>
      <c r="E10" s="53">
        <f t="shared" si="2"/>
        <v>0</v>
      </c>
      <c r="F10" s="47">
        <v>1</v>
      </c>
      <c r="G10" s="53">
        <f t="shared" si="9"/>
        <v>0</v>
      </c>
      <c r="H10" s="54">
        <f t="shared" si="3"/>
        <v>0</v>
      </c>
      <c r="I10" s="54">
        <f t="shared" si="10"/>
        <v>0</v>
      </c>
      <c r="J10" s="54">
        <f t="shared" si="4"/>
        <v>0</v>
      </c>
      <c r="K10" s="55">
        <f t="shared" si="11"/>
        <v>0</v>
      </c>
      <c r="M10" s="217" t="str">
        <f t="shared" si="5"/>
        <v xml:space="preserve"> </v>
      </c>
      <c r="N10" s="53">
        <f t="shared" si="6"/>
        <v>0</v>
      </c>
      <c r="O10" s="53">
        <f t="shared" si="12"/>
        <v>0</v>
      </c>
      <c r="P10" s="54">
        <f t="shared" si="7"/>
        <v>0</v>
      </c>
      <c r="Q10" s="54">
        <f t="shared" si="13"/>
        <v>0</v>
      </c>
      <c r="R10" s="54">
        <f t="shared" si="14"/>
        <v>0</v>
      </c>
      <c r="S10" s="54">
        <f t="shared" si="8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261"/>
      <c r="B11" s="164"/>
      <c r="C11" s="218" t="str">
        <f t="shared" si="0"/>
        <v xml:space="preserve"> </v>
      </c>
      <c r="D11" s="47">
        <f t="shared" si="1"/>
        <v>0</v>
      </c>
      <c r="E11" s="53">
        <f t="shared" si="2"/>
        <v>0</v>
      </c>
      <c r="F11" s="47">
        <v>1</v>
      </c>
      <c r="G11" s="53">
        <f t="shared" si="9"/>
        <v>0</v>
      </c>
      <c r="H11" s="54">
        <f t="shared" si="3"/>
        <v>0</v>
      </c>
      <c r="I11" s="54">
        <f t="shared" si="10"/>
        <v>0</v>
      </c>
      <c r="J11" s="54">
        <f t="shared" si="4"/>
        <v>0</v>
      </c>
      <c r="K11" s="55">
        <f t="shared" si="11"/>
        <v>0</v>
      </c>
      <c r="M11" s="217" t="str">
        <f t="shared" si="5"/>
        <v xml:space="preserve"> </v>
      </c>
      <c r="N11" s="53">
        <f t="shared" si="6"/>
        <v>0</v>
      </c>
      <c r="O11" s="53">
        <f t="shared" si="12"/>
        <v>0</v>
      </c>
      <c r="P11" s="54">
        <f t="shared" si="7"/>
        <v>0</v>
      </c>
      <c r="Q11" s="54">
        <f t="shared" si="13"/>
        <v>0</v>
      </c>
      <c r="R11" s="54">
        <f t="shared" si="14"/>
        <v>0</v>
      </c>
      <c r="S11" s="54">
        <f t="shared" si="8"/>
        <v>0</v>
      </c>
      <c r="T11" s="54">
        <f t="shared" si="15"/>
        <v>0</v>
      </c>
      <c r="U11" s="54">
        <f t="shared" si="16"/>
        <v>0</v>
      </c>
    </row>
    <row r="12" spans="1:21" x14ac:dyDescent="0.2">
      <c r="A12" s="261"/>
      <c r="B12" s="164"/>
      <c r="C12" s="218" t="str">
        <f t="shared" si="0"/>
        <v xml:space="preserve"> </v>
      </c>
      <c r="D12" s="47">
        <f t="shared" si="1"/>
        <v>0</v>
      </c>
      <c r="E12" s="53">
        <f t="shared" si="2"/>
        <v>0</v>
      </c>
      <c r="F12" s="47">
        <v>1</v>
      </c>
      <c r="G12" s="53">
        <f t="shared" si="9"/>
        <v>0</v>
      </c>
      <c r="H12" s="54">
        <f t="shared" si="3"/>
        <v>0</v>
      </c>
      <c r="I12" s="54">
        <f t="shared" si="10"/>
        <v>0</v>
      </c>
      <c r="J12" s="54">
        <f t="shared" si="4"/>
        <v>0</v>
      </c>
      <c r="K12" s="55">
        <f t="shared" si="11"/>
        <v>0</v>
      </c>
      <c r="M12" s="217" t="str">
        <f t="shared" si="5"/>
        <v xml:space="preserve"> </v>
      </c>
      <c r="N12" s="53">
        <f t="shared" si="6"/>
        <v>0</v>
      </c>
      <c r="O12" s="53">
        <f t="shared" si="12"/>
        <v>0</v>
      </c>
      <c r="P12" s="54">
        <f t="shared" si="7"/>
        <v>0</v>
      </c>
      <c r="Q12" s="54">
        <f t="shared" si="13"/>
        <v>0</v>
      </c>
      <c r="R12" s="54">
        <f t="shared" si="14"/>
        <v>0</v>
      </c>
      <c r="S12" s="54">
        <f t="shared" si="8"/>
        <v>0</v>
      </c>
      <c r="T12" s="54">
        <f t="shared" si="15"/>
        <v>0</v>
      </c>
      <c r="U12" s="54">
        <f t="shared" si="16"/>
        <v>0</v>
      </c>
    </row>
    <row r="13" spans="1:21" x14ac:dyDescent="0.2">
      <c r="A13" s="261"/>
      <c r="B13" s="164"/>
      <c r="C13" s="218" t="str">
        <f t="shared" si="0"/>
        <v xml:space="preserve"> </v>
      </c>
      <c r="D13" s="47">
        <f t="shared" si="1"/>
        <v>0</v>
      </c>
      <c r="E13" s="53">
        <f t="shared" si="2"/>
        <v>0</v>
      </c>
      <c r="F13" s="47">
        <v>1</v>
      </c>
      <c r="G13" s="53">
        <f t="shared" si="9"/>
        <v>0</v>
      </c>
      <c r="H13" s="54">
        <f t="shared" si="3"/>
        <v>0</v>
      </c>
      <c r="I13" s="54">
        <f t="shared" si="10"/>
        <v>0</v>
      </c>
      <c r="J13" s="54">
        <f t="shared" si="4"/>
        <v>0</v>
      </c>
      <c r="K13" s="55">
        <f t="shared" si="11"/>
        <v>0</v>
      </c>
      <c r="M13" s="217" t="str">
        <f t="shared" si="5"/>
        <v xml:space="preserve"> </v>
      </c>
      <c r="N13" s="53">
        <f t="shared" si="6"/>
        <v>0</v>
      </c>
      <c r="O13" s="53">
        <f t="shared" si="12"/>
        <v>0</v>
      </c>
      <c r="P13" s="54">
        <f t="shared" si="7"/>
        <v>0</v>
      </c>
      <c r="Q13" s="54">
        <f t="shared" si="13"/>
        <v>0</v>
      </c>
      <c r="R13" s="54">
        <f t="shared" si="14"/>
        <v>0</v>
      </c>
      <c r="S13" s="54">
        <f t="shared" si="8"/>
        <v>0</v>
      </c>
      <c r="T13" s="54">
        <f t="shared" si="15"/>
        <v>0</v>
      </c>
      <c r="U13" s="54">
        <f t="shared" si="16"/>
        <v>0</v>
      </c>
    </row>
    <row r="14" spans="1:21" x14ac:dyDescent="0.2">
      <c r="A14" s="261"/>
      <c r="B14" s="164"/>
      <c r="C14" s="218" t="str">
        <f t="shared" ref="C14" si="17">IF(B14&gt;0,VLOOKUP($B14,pre_implement,6)," ")</f>
        <v xml:space="preserve"> </v>
      </c>
      <c r="D14" s="47">
        <f t="shared" si="1"/>
        <v>0</v>
      </c>
      <c r="E14" s="53">
        <f t="shared" si="2"/>
        <v>0</v>
      </c>
      <c r="F14" s="47">
        <v>1</v>
      </c>
      <c r="G14" s="53">
        <f t="shared" si="9"/>
        <v>0</v>
      </c>
      <c r="H14" s="54">
        <f t="shared" si="3"/>
        <v>0</v>
      </c>
      <c r="I14" s="54">
        <f t="shared" si="10"/>
        <v>0</v>
      </c>
      <c r="J14" s="54">
        <f t="shared" si="4"/>
        <v>0</v>
      </c>
      <c r="K14" s="55">
        <f t="shared" si="11"/>
        <v>0</v>
      </c>
      <c r="M14" s="217" t="str">
        <f t="shared" si="5"/>
        <v xml:space="preserve"> </v>
      </c>
      <c r="N14" s="53">
        <f t="shared" si="6"/>
        <v>0</v>
      </c>
      <c r="O14" s="53">
        <f t="shared" si="12"/>
        <v>0</v>
      </c>
      <c r="P14" s="54">
        <f t="shared" si="7"/>
        <v>0</v>
      </c>
      <c r="Q14" s="54">
        <f t="shared" si="13"/>
        <v>0</v>
      </c>
      <c r="R14" s="54">
        <f t="shared" si="14"/>
        <v>0</v>
      </c>
      <c r="S14" s="54">
        <f t="shared" si="8"/>
        <v>0</v>
      </c>
      <c r="T14" s="54">
        <f t="shared" si="15"/>
        <v>0</v>
      </c>
      <c r="U14" s="54">
        <f t="shared" si="16"/>
        <v>0</v>
      </c>
    </row>
    <row r="15" spans="1:21" x14ac:dyDescent="0.2">
      <c r="A15" s="262"/>
      <c r="B15" s="42"/>
      <c r="C15" s="42"/>
      <c r="D15" s="56"/>
      <c r="E15" s="56"/>
      <c r="F15" s="56"/>
      <c r="G15" s="57">
        <f>SUM(G3:G14)</f>
        <v>0.81919528388278384</v>
      </c>
      <c r="H15" s="56"/>
      <c r="I15" s="58"/>
      <c r="J15" s="56"/>
      <c r="K15" s="58"/>
      <c r="L15" s="162"/>
      <c r="M15" s="162"/>
      <c r="N15" s="56"/>
      <c r="O15" s="57">
        <f>SUM(O3:O14)</f>
        <v>8.0115660373168502</v>
      </c>
      <c r="P15" s="56"/>
      <c r="Q15" s="58"/>
      <c r="R15" s="58">
        <f>SUM(R3:R14)</f>
        <v>17.569663777690565</v>
      </c>
      <c r="S15" s="56"/>
      <c r="T15" s="58"/>
      <c r="U15" s="58">
        <f>SUM(U3:U14)</f>
        <v>50.070880677208706</v>
      </c>
    </row>
    <row r="16" spans="1:21" x14ac:dyDescent="0.2">
      <c r="B16" s="143" t="s">
        <v>430</v>
      </c>
      <c r="C16" s="143"/>
    </row>
    <row r="17" spans="1:14" x14ac:dyDescent="0.2">
      <c r="A17" s="46"/>
      <c r="B17" s="242" t="s">
        <v>180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5"/>
    </row>
    <row r="18" spans="1:14" s="43" customFormat="1" ht="42" x14ac:dyDescent="0.2">
      <c r="A18" s="259" t="s">
        <v>179</v>
      </c>
      <c r="B18" s="44" t="s">
        <v>188</v>
      </c>
      <c r="C18" s="174" t="s">
        <v>440</v>
      </c>
      <c r="D18" s="44" t="s">
        <v>181</v>
      </c>
      <c r="E18" s="37" t="s">
        <v>166</v>
      </c>
      <c r="F18" s="37" t="s">
        <v>167</v>
      </c>
      <c r="G18" s="37" t="s">
        <v>168</v>
      </c>
      <c r="H18" s="40" t="s">
        <v>175</v>
      </c>
      <c r="I18" s="40" t="s">
        <v>172</v>
      </c>
      <c r="J18" s="39" t="s">
        <v>169</v>
      </c>
      <c r="K18" s="39" t="s">
        <v>170</v>
      </c>
      <c r="L18" s="167" t="s">
        <v>182</v>
      </c>
      <c r="M18" s="167" t="s">
        <v>183</v>
      </c>
      <c r="N18" s="159"/>
    </row>
    <row r="19" spans="1:14" x14ac:dyDescent="0.2">
      <c r="A19" s="259"/>
      <c r="B19" s="165"/>
      <c r="C19" s="165" t="str">
        <f>IF(B19&lt;&gt;"",VLOOKUP($B19,selfpro_data,6)," ")</f>
        <v xml:space="preserve"> </v>
      </c>
      <c r="D19" s="59">
        <f>IF(B19&lt;&gt;"",VLOOKUP($B19,selfpro_data,5),0)</f>
        <v>0</v>
      </c>
      <c r="E19" s="177">
        <f>IF(B19&lt;&gt;"",VLOOKUP($B19,selfpro_data,12),0)</f>
        <v>0</v>
      </c>
      <c r="F19" s="175">
        <v>1</v>
      </c>
      <c r="G19" s="53">
        <f>F19*E19</f>
        <v>0</v>
      </c>
      <c r="H19" s="177">
        <f>IF(B19&lt;&gt;"",VLOOKUP($B19,selfpro_data,8),0)</f>
        <v>0</v>
      </c>
      <c r="I19" s="53">
        <f>H19*E19</f>
        <v>0</v>
      </c>
      <c r="J19" s="60">
        <f>IF(B19&lt;&gt;"",VLOOKUP($B19,selfpro_data,25),0)</f>
        <v>0</v>
      </c>
      <c r="K19" s="54">
        <f>J19*G19</f>
        <v>0</v>
      </c>
      <c r="L19" s="168">
        <f>IF(B19&lt;&gt;"",VLOOKUP($B19,selfpro_data,32),0)</f>
        <v>0</v>
      </c>
      <c r="M19" s="169">
        <f>L19*G19</f>
        <v>0</v>
      </c>
    </row>
    <row r="20" spans="1:14" x14ac:dyDescent="0.2">
      <c r="A20" s="259"/>
      <c r="B20" s="166"/>
      <c r="C20" s="219" t="str">
        <f>IF(B20&lt;&gt;"",VLOOKUP($B20,selfpro_data,6)," ")</f>
        <v xml:space="preserve"> </v>
      </c>
      <c r="D20" s="61">
        <f>IF(B20&lt;&gt;"",VLOOKUP($B20,selfpro_data,5),0)</f>
        <v>0</v>
      </c>
      <c r="E20" s="62">
        <f>IF(B20&lt;&gt;"",VLOOKUP($B20,selfpro_data,12),0)</f>
        <v>0</v>
      </c>
      <c r="F20" s="176">
        <v>1</v>
      </c>
      <c r="G20" s="62">
        <f t="shared" ref="G20:G23" si="18">F20*E20</f>
        <v>0</v>
      </c>
      <c r="H20" s="62">
        <f>IF(B20&lt;&gt;"",VLOOKUP($B20,selfpro_data,8),0)</f>
        <v>0</v>
      </c>
      <c r="I20" s="62">
        <f t="shared" ref="I20:I23" si="19">H20*E20</f>
        <v>0</v>
      </c>
      <c r="J20" s="63">
        <f>IF(B20&lt;&gt;"",VLOOKUP($B20,selfpro_data,25),0)</f>
        <v>0</v>
      </c>
      <c r="K20" s="63">
        <f t="shared" ref="K20:K23" si="20">J20*G20</f>
        <v>0</v>
      </c>
      <c r="L20" s="170">
        <f>IF(B20&lt;&gt;"",VLOOKUP($B20,selfpro_data,32),0)</f>
        <v>0</v>
      </c>
      <c r="M20" s="169">
        <f t="shared" ref="M20:M23" si="21">L20*G20</f>
        <v>0</v>
      </c>
    </row>
    <row r="21" spans="1:14" x14ac:dyDescent="0.2">
      <c r="A21" s="259"/>
      <c r="B21" s="166"/>
      <c r="C21" s="219" t="str">
        <f>IF(B21&lt;&gt;"",VLOOKUP($B21,selfpro_data,6)," ")</f>
        <v xml:space="preserve"> </v>
      </c>
      <c r="D21" s="61">
        <f>IF(B21&lt;&gt;"",VLOOKUP($B21,selfpro_data,5),0)</f>
        <v>0</v>
      </c>
      <c r="E21" s="62">
        <f>IF(B21&lt;&gt;"",VLOOKUP($B21,selfpro_data,12),0)</f>
        <v>0</v>
      </c>
      <c r="F21" s="176">
        <v>1</v>
      </c>
      <c r="G21" s="62">
        <f t="shared" si="18"/>
        <v>0</v>
      </c>
      <c r="H21" s="62">
        <f>IF(B21&lt;&gt;"",VLOOKUP($B21,selfpro_data,8),0)</f>
        <v>0</v>
      </c>
      <c r="I21" s="62">
        <f t="shared" si="19"/>
        <v>0</v>
      </c>
      <c r="J21" s="63">
        <f>IF(B21&lt;&gt;"",VLOOKUP($B21,selfpro_data,25),0)</f>
        <v>0</v>
      </c>
      <c r="K21" s="63">
        <f t="shared" si="20"/>
        <v>0</v>
      </c>
      <c r="L21" s="170">
        <f>IF(B21&lt;&gt;"",VLOOKUP($B21,selfpro_data,32),0)</f>
        <v>0</v>
      </c>
      <c r="M21" s="169">
        <f t="shared" si="21"/>
        <v>0</v>
      </c>
    </row>
    <row r="22" spans="1:14" x14ac:dyDescent="0.2">
      <c r="A22" s="259"/>
      <c r="B22" s="166"/>
      <c r="C22" s="219" t="str">
        <f>IF(B22&lt;&gt;"",VLOOKUP($B22,selfpro_data,6)," ")</f>
        <v xml:space="preserve"> </v>
      </c>
      <c r="D22" s="61">
        <f>IF(B22&lt;&gt;"",VLOOKUP($B22,selfpro_data,5),0)</f>
        <v>0</v>
      </c>
      <c r="E22" s="62">
        <f>IF(B22&lt;&gt;"",VLOOKUP($B22,selfpro_data,12),0)</f>
        <v>0</v>
      </c>
      <c r="F22" s="176">
        <v>1</v>
      </c>
      <c r="G22" s="62">
        <f t="shared" si="18"/>
        <v>0</v>
      </c>
      <c r="H22" s="62">
        <f>IF(B22&lt;&gt;"",VLOOKUP($B22,selfpro_data,8),0)</f>
        <v>0</v>
      </c>
      <c r="I22" s="62">
        <f t="shared" si="19"/>
        <v>0</v>
      </c>
      <c r="J22" s="63">
        <f>IF(B22&lt;&gt;"",VLOOKUP($B22,selfpro_data,25),0)</f>
        <v>0</v>
      </c>
      <c r="K22" s="63">
        <f t="shared" si="20"/>
        <v>0</v>
      </c>
      <c r="L22" s="170">
        <f>IF(B22&lt;&gt;"",VLOOKUP($B22,selfpro_data,32),0)</f>
        <v>0</v>
      </c>
      <c r="M22" s="169">
        <f t="shared" si="21"/>
        <v>0</v>
      </c>
    </row>
    <row r="23" spans="1:14" x14ac:dyDescent="0.2">
      <c r="A23" s="259"/>
      <c r="B23" s="166"/>
      <c r="C23" s="219" t="str">
        <f>IF(B23&lt;&gt;"",VLOOKUP($B23,selfpro_data,6)," ")</f>
        <v xml:space="preserve"> </v>
      </c>
      <c r="D23" s="61">
        <f>IF(B23&lt;&gt;"",VLOOKUP($B23,selfpro_data,5),0)</f>
        <v>0</v>
      </c>
      <c r="E23" s="62">
        <f>IF(B23&lt;&gt;"",VLOOKUP($B23,selfpro_data,12),0)</f>
        <v>0</v>
      </c>
      <c r="F23" s="175">
        <v>1</v>
      </c>
      <c r="G23" s="53">
        <f t="shared" si="18"/>
        <v>0</v>
      </c>
      <c r="H23" s="62">
        <f>IF(B23&lt;&gt;"",VLOOKUP($B23,selfpro_data,8),0)</f>
        <v>0</v>
      </c>
      <c r="I23" s="53">
        <f t="shared" si="19"/>
        <v>0</v>
      </c>
      <c r="J23" s="63">
        <f>IF(B23&lt;&gt;"",VLOOKUP($B23,selfpro_data,25),0)</f>
        <v>0</v>
      </c>
      <c r="K23" s="54">
        <f t="shared" si="20"/>
        <v>0</v>
      </c>
      <c r="L23" s="170">
        <f>IF(B23&lt;&gt;"",VLOOKUP($B23,selfpro_data,32),0)</f>
        <v>0</v>
      </c>
      <c r="M23" s="169">
        <f t="shared" si="21"/>
        <v>0</v>
      </c>
    </row>
    <row r="24" spans="1:14" x14ac:dyDescent="0.2">
      <c r="A24" s="259"/>
      <c r="B24" s="45"/>
      <c r="C24" s="45"/>
      <c r="D24" s="56"/>
      <c r="E24" s="57"/>
      <c r="F24" s="56"/>
      <c r="G24" s="57">
        <f>SUM(G19:G23)</f>
        <v>0</v>
      </c>
      <c r="H24" s="57"/>
      <c r="I24" s="57">
        <f>SUM(I19:I23)</f>
        <v>0</v>
      </c>
      <c r="J24" s="64"/>
      <c r="K24" s="64">
        <f>SUM(K19:K23)</f>
        <v>0</v>
      </c>
      <c r="L24" s="171"/>
      <c r="M24" s="171">
        <f>SUM(M19:M23)</f>
        <v>0</v>
      </c>
    </row>
    <row r="25" spans="1:14" x14ac:dyDescent="0.2">
      <c r="B25" s="143" t="s">
        <v>430</v>
      </c>
      <c r="C25" s="143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42" t="s">
        <v>198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49" customFormat="1" ht="42" x14ac:dyDescent="0.2">
      <c r="A2" s="50"/>
      <c r="B2" s="37" t="s">
        <v>197</v>
      </c>
      <c r="C2" s="37" t="s">
        <v>440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189</v>
      </c>
      <c r="I2" s="39" t="s">
        <v>190</v>
      </c>
      <c r="J2" s="39" t="s">
        <v>191</v>
      </c>
      <c r="K2" s="39" t="s">
        <v>192</v>
      </c>
      <c r="L2" s="37" t="s">
        <v>184</v>
      </c>
      <c r="M2" s="37" t="s">
        <v>440</v>
      </c>
      <c r="N2" s="40" t="s">
        <v>175</v>
      </c>
      <c r="O2" s="40" t="s">
        <v>172</v>
      </c>
      <c r="P2" s="39" t="s">
        <v>195</v>
      </c>
      <c r="Q2" s="39" t="s">
        <v>196</v>
      </c>
      <c r="R2" s="39" t="s">
        <v>416</v>
      </c>
      <c r="S2" s="39" t="s">
        <v>193</v>
      </c>
      <c r="T2" s="39" t="s">
        <v>194</v>
      </c>
      <c r="U2" s="37" t="s">
        <v>173</v>
      </c>
    </row>
    <row r="3" spans="1:21" x14ac:dyDescent="0.2">
      <c r="A3" s="69" t="s">
        <v>179</v>
      </c>
      <c r="B3" s="162"/>
      <c r="C3" s="186" t="str">
        <f t="shared" ref="C3:C10" si="0">IF(B3&lt;&gt;"",VLOOKUP($B3,harvest_info,6)," ")</f>
        <v xml:space="preserve"> </v>
      </c>
      <c r="D3" s="67">
        <f t="shared" ref="D3:D10" si="1">IF(B3&lt;&gt;"",VLOOKUP($B3,harvest_info,5),0)</f>
        <v>0</v>
      </c>
      <c r="E3" s="68">
        <f t="shared" ref="E3:E10" si="2">IF(B3&lt;&gt;"",VLOOKUP($B3,harvest_info,11),0)</f>
        <v>0</v>
      </c>
      <c r="F3" s="67">
        <v>1</v>
      </c>
      <c r="G3" s="68">
        <f>F3*E3</f>
        <v>0</v>
      </c>
      <c r="H3" s="64">
        <f t="shared" ref="H3:H10" si="3">IF(B3&lt;&gt;"",VLOOKUP($B3,harvest_info,24),0)</f>
        <v>0</v>
      </c>
      <c r="I3" s="64">
        <f>H3*G3</f>
        <v>0</v>
      </c>
      <c r="J3" s="64">
        <f t="shared" ref="J3:J10" si="4">IF(B3&lt;&gt;"",VLOOKUP($B3,harvest_info,31),0)</f>
        <v>0</v>
      </c>
      <c r="K3" s="64">
        <f>J3*G3</f>
        <v>0</v>
      </c>
      <c r="L3" s="188"/>
      <c r="M3" s="200" t="str">
        <f>IF(L3&lt;&gt;"",VLOOKUP($L3,combine_data,6)," ")</f>
        <v xml:space="preserve"> </v>
      </c>
      <c r="N3" s="68">
        <f>IF(L3&lt;&gt;"",VLOOKUP($L3,combine_data,8),0)</f>
        <v>0</v>
      </c>
      <c r="O3" s="68">
        <f>N3*G3</f>
        <v>0</v>
      </c>
      <c r="P3" s="64">
        <f>IF(L3&lt;&gt;"",VLOOKUP($L3,combine_data,17),0)</f>
        <v>0</v>
      </c>
      <c r="Q3" s="64">
        <f>G3*P3</f>
        <v>0</v>
      </c>
      <c r="R3" s="64">
        <f>I3+Q3</f>
        <v>0</v>
      </c>
      <c r="S3" s="64">
        <f>IF(L3&lt;&gt;"",VLOOKUP($L3,combine_data,24),0)</f>
        <v>0</v>
      </c>
      <c r="T3" s="64">
        <f>S3*G3</f>
        <v>0</v>
      </c>
      <c r="U3" s="64">
        <f>T3+K3</f>
        <v>0</v>
      </c>
    </row>
    <row r="4" spans="1:21" x14ac:dyDescent="0.2">
      <c r="A4" s="263" t="s">
        <v>209</v>
      </c>
      <c r="B4" s="161" t="s">
        <v>497</v>
      </c>
      <c r="C4" s="173" t="str">
        <f t="shared" si="0"/>
        <v>Header Wheat/Sorghum 22' Rigid</v>
      </c>
      <c r="D4" s="48" t="str">
        <f t="shared" si="1"/>
        <v>22' Rigid</v>
      </c>
      <c r="E4" s="65">
        <f t="shared" si="2"/>
        <v>0.12605042016806722</v>
      </c>
      <c r="F4" s="48">
        <v>1</v>
      </c>
      <c r="G4" s="65">
        <f t="shared" ref="G4:G10" si="5">F4*E4</f>
        <v>0.12605042016806722</v>
      </c>
      <c r="H4" s="54">
        <f t="shared" si="3"/>
        <v>4.9000000000000004</v>
      </c>
      <c r="I4" s="54">
        <f t="shared" ref="I4:I10" si="6">H4*G4</f>
        <v>0.61764705882352944</v>
      </c>
      <c r="J4" s="54">
        <f t="shared" si="4"/>
        <v>10.113600000000002</v>
      </c>
      <c r="K4" s="54">
        <f t="shared" ref="K4:K10" si="7">J4*G4</f>
        <v>1.2748235294117649</v>
      </c>
      <c r="L4" s="164" t="s">
        <v>498</v>
      </c>
      <c r="M4" s="201" t="str">
        <f t="shared" ref="M4:M10" si="8">IF(L4&lt;&gt;"",VLOOKUP($L4,tractor_data,6)," ")</f>
        <v>Combine (300-349 hp) 325 hp</v>
      </c>
      <c r="N4" s="65">
        <f t="shared" ref="N4:N10" si="9">IF(L4&lt;&gt;"",VLOOKUP($L4,tractor_data,8),0)</f>
        <v>16.73</v>
      </c>
      <c r="O4" s="65">
        <f t="shared" ref="O4:O10" si="10">N4*G4</f>
        <v>2.1088235294117648</v>
      </c>
      <c r="P4" s="54">
        <f t="shared" ref="P4:P10" si="11">IF(L4&lt;&gt;"",VLOOKUP($L4,tractor_data,17),0)</f>
        <v>23.333333333333332</v>
      </c>
      <c r="Q4" s="54">
        <f t="shared" ref="Q4:Q10" si="12">G4*P4</f>
        <v>2.9411764705882351</v>
      </c>
      <c r="R4" s="60">
        <f t="shared" ref="R4:R10" si="13">I4+Q4</f>
        <v>3.5588235294117645</v>
      </c>
      <c r="S4" s="54">
        <f t="shared" ref="S4:S10" si="14">IF(L4&lt;&gt;"",VLOOKUP($L4,tractor_data,24),0)</f>
        <v>148.32533333333333</v>
      </c>
      <c r="T4" s="54">
        <f t="shared" ref="T4:T10" si="15">S4*G4</f>
        <v>18.696470588235293</v>
      </c>
      <c r="U4" s="54">
        <f t="shared" ref="U4:U10" si="16">T4+K4</f>
        <v>19.971294117647059</v>
      </c>
    </row>
    <row r="5" spans="1:21" x14ac:dyDescent="0.2">
      <c r="A5" s="263"/>
      <c r="B5" s="161" t="s">
        <v>502</v>
      </c>
      <c r="C5" s="199" t="str">
        <f t="shared" si="0"/>
        <v>Grain Cart Wht/Sor  500 bu</v>
      </c>
      <c r="D5" s="48" t="str">
        <f t="shared" si="1"/>
        <v xml:space="preserve"> 500 bu</v>
      </c>
      <c r="E5" s="65">
        <f t="shared" si="2"/>
        <v>9.4E-2</v>
      </c>
      <c r="F5" s="48">
        <v>1</v>
      </c>
      <c r="G5" s="65">
        <f t="shared" si="5"/>
        <v>9.4E-2</v>
      </c>
      <c r="H5" s="54">
        <f t="shared" si="3"/>
        <v>6.4729166666666664</v>
      </c>
      <c r="I5" s="54">
        <f t="shared" si="6"/>
        <v>0.60845416666666663</v>
      </c>
      <c r="J5" s="54">
        <f t="shared" si="4"/>
        <v>15.825783333333334</v>
      </c>
      <c r="K5" s="54">
        <f t="shared" si="7"/>
        <v>1.4876236333333335</v>
      </c>
      <c r="L5" s="218" t="s">
        <v>480</v>
      </c>
      <c r="M5" s="222" t="str">
        <f t="shared" si="8"/>
        <v>Tractor (180-199 hp) CB MFWD 190</v>
      </c>
      <c r="N5" s="65">
        <f t="shared" si="9"/>
        <v>9.7797999999999998</v>
      </c>
      <c r="O5" s="65">
        <f t="shared" si="10"/>
        <v>0.91930120000000004</v>
      </c>
      <c r="P5" s="54">
        <f t="shared" si="11"/>
        <v>13.285714285714286</v>
      </c>
      <c r="Q5" s="54">
        <f t="shared" si="12"/>
        <v>1.2488571428571429</v>
      </c>
      <c r="R5" s="63">
        <f t="shared" si="13"/>
        <v>1.8573113095238094</v>
      </c>
      <c r="S5" s="54">
        <f t="shared" si="14"/>
        <v>38.918285714285716</v>
      </c>
      <c r="T5" s="54">
        <f t="shared" si="15"/>
        <v>3.6583188571428571</v>
      </c>
      <c r="U5" s="54">
        <f t="shared" si="16"/>
        <v>5.145942490476191</v>
      </c>
    </row>
    <row r="6" spans="1:21" x14ac:dyDescent="0.2">
      <c r="A6" s="263"/>
      <c r="B6" s="161"/>
      <c r="C6" s="221" t="str">
        <f t="shared" si="0"/>
        <v xml:space="preserve"> </v>
      </c>
      <c r="D6" s="48">
        <f t="shared" si="1"/>
        <v>0</v>
      </c>
      <c r="E6" s="65">
        <f t="shared" si="2"/>
        <v>0</v>
      </c>
      <c r="F6" s="48">
        <v>1</v>
      </c>
      <c r="G6" s="65">
        <f t="shared" si="5"/>
        <v>0</v>
      </c>
      <c r="H6" s="54">
        <f t="shared" si="3"/>
        <v>0</v>
      </c>
      <c r="I6" s="54">
        <f t="shared" si="6"/>
        <v>0</v>
      </c>
      <c r="J6" s="54">
        <f t="shared" si="4"/>
        <v>0</v>
      </c>
      <c r="K6" s="54">
        <f t="shared" si="7"/>
        <v>0</v>
      </c>
      <c r="L6" s="164"/>
      <c r="M6" s="222" t="str">
        <f t="shared" si="8"/>
        <v xml:space="preserve"> </v>
      </c>
      <c r="N6" s="65">
        <f t="shared" si="9"/>
        <v>0</v>
      </c>
      <c r="O6" s="65">
        <f t="shared" si="10"/>
        <v>0</v>
      </c>
      <c r="P6" s="54">
        <f t="shared" si="11"/>
        <v>0</v>
      </c>
      <c r="Q6" s="54">
        <f t="shared" si="12"/>
        <v>0</v>
      </c>
      <c r="R6" s="63">
        <f t="shared" si="13"/>
        <v>0</v>
      </c>
      <c r="S6" s="54">
        <f t="shared" si="14"/>
        <v>0</v>
      </c>
      <c r="T6" s="54">
        <f t="shared" si="15"/>
        <v>0</v>
      </c>
      <c r="U6" s="54">
        <f t="shared" si="16"/>
        <v>0</v>
      </c>
    </row>
    <row r="7" spans="1:21" x14ac:dyDescent="0.2">
      <c r="A7" s="263"/>
      <c r="B7" s="161"/>
      <c r="C7" s="221" t="str">
        <f t="shared" si="0"/>
        <v xml:space="preserve"> </v>
      </c>
      <c r="D7" s="48">
        <f t="shared" si="1"/>
        <v>0</v>
      </c>
      <c r="E7" s="65">
        <f t="shared" si="2"/>
        <v>0</v>
      </c>
      <c r="F7" s="48">
        <v>1</v>
      </c>
      <c r="G7" s="65">
        <f t="shared" si="5"/>
        <v>0</v>
      </c>
      <c r="H7" s="54">
        <f t="shared" si="3"/>
        <v>0</v>
      </c>
      <c r="I7" s="54">
        <f t="shared" si="6"/>
        <v>0</v>
      </c>
      <c r="J7" s="54">
        <f t="shared" si="4"/>
        <v>0</v>
      </c>
      <c r="K7" s="54">
        <f t="shared" si="7"/>
        <v>0</v>
      </c>
      <c r="L7" s="164"/>
      <c r="M7" s="222" t="str">
        <f t="shared" si="8"/>
        <v xml:space="preserve"> </v>
      </c>
      <c r="N7" s="65">
        <f t="shared" si="9"/>
        <v>0</v>
      </c>
      <c r="O7" s="65">
        <f t="shared" si="10"/>
        <v>0</v>
      </c>
      <c r="P7" s="54">
        <f t="shared" si="11"/>
        <v>0</v>
      </c>
      <c r="Q7" s="54">
        <f t="shared" si="12"/>
        <v>0</v>
      </c>
      <c r="R7" s="63">
        <f t="shared" si="13"/>
        <v>0</v>
      </c>
      <c r="S7" s="54">
        <f t="shared" si="14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63"/>
      <c r="B8" s="161"/>
      <c r="C8" s="221" t="str">
        <f t="shared" si="0"/>
        <v xml:space="preserve"> </v>
      </c>
      <c r="D8" s="48">
        <f t="shared" si="1"/>
        <v>0</v>
      </c>
      <c r="E8" s="65">
        <f t="shared" si="2"/>
        <v>0</v>
      </c>
      <c r="F8" s="48">
        <v>1</v>
      </c>
      <c r="G8" s="65">
        <f t="shared" si="5"/>
        <v>0</v>
      </c>
      <c r="H8" s="54">
        <f t="shared" si="3"/>
        <v>0</v>
      </c>
      <c r="I8" s="54">
        <f t="shared" si="6"/>
        <v>0</v>
      </c>
      <c r="J8" s="54">
        <f t="shared" si="4"/>
        <v>0</v>
      </c>
      <c r="K8" s="54">
        <f t="shared" si="7"/>
        <v>0</v>
      </c>
      <c r="L8" s="164"/>
      <c r="M8" s="222" t="str">
        <f t="shared" si="8"/>
        <v xml:space="preserve"> </v>
      </c>
      <c r="N8" s="65">
        <f t="shared" si="9"/>
        <v>0</v>
      </c>
      <c r="O8" s="65">
        <f t="shared" si="10"/>
        <v>0</v>
      </c>
      <c r="P8" s="54">
        <f t="shared" si="11"/>
        <v>0</v>
      </c>
      <c r="Q8" s="54">
        <f t="shared" si="12"/>
        <v>0</v>
      </c>
      <c r="R8" s="63">
        <f t="shared" si="13"/>
        <v>0</v>
      </c>
      <c r="S8" s="54">
        <f t="shared" si="14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63"/>
      <c r="B9" s="161"/>
      <c r="C9" s="221" t="str">
        <f t="shared" si="0"/>
        <v xml:space="preserve"> </v>
      </c>
      <c r="D9" s="48">
        <f t="shared" si="1"/>
        <v>0</v>
      </c>
      <c r="E9" s="65">
        <f t="shared" si="2"/>
        <v>0</v>
      </c>
      <c r="F9" s="48">
        <v>1</v>
      </c>
      <c r="G9" s="65">
        <f t="shared" si="5"/>
        <v>0</v>
      </c>
      <c r="H9" s="54">
        <f t="shared" si="3"/>
        <v>0</v>
      </c>
      <c r="I9" s="54">
        <f t="shared" si="6"/>
        <v>0</v>
      </c>
      <c r="J9" s="54">
        <f t="shared" si="4"/>
        <v>0</v>
      </c>
      <c r="K9" s="54">
        <f t="shared" si="7"/>
        <v>0</v>
      </c>
      <c r="L9" s="164"/>
      <c r="M9" s="222" t="str">
        <f t="shared" si="8"/>
        <v xml:space="preserve"> </v>
      </c>
      <c r="N9" s="65">
        <f t="shared" si="9"/>
        <v>0</v>
      </c>
      <c r="O9" s="65">
        <f t="shared" si="10"/>
        <v>0</v>
      </c>
      <c r="P9" s="54">
        <f t="shared" si="11"/>
        <v>0</v>
      </c>
      <c r="Q9" s="54">
        <f t="shared" si="12"/>
        <v>0</v>
      </c>
      <c r="R9" s="63">
        <f t="shared" si="13"/>
        <v>0</v>
      </c>
      <c r="S9" s="54">
        <f t="shared" si="14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62"/>
      <c r="B10" s="187"/>
      <c r="C10" s="221" t="str">
        <f t="shared" si="0"/>
        <v xml:space="preserve"> </v>
      </c>
      <c r="D10" s="48">
        <f t="shared" si="1"/>
        <v>0</v>
      </c>
      <c r="E10" s="65">
        <f t="shared" si="2"/>
        <v>0</v>
      </c>
      <c r="F10" s="66">
        <v>1</v>
      </c>
      <c r="G10" s="65">
        <f t="shared" si="5"/>
        <v>0</v>
      </c>
      <c r="H10" s="54">
        <f t="shared" si="3"/>
        <v>0</v>
      </c>
      <c r="I10" s="54">
        <f t="shared" si="6"/>
        <v>0</v>
      </c>
      <c r="J10" s="54">
        <f t="shared" si="4"/>
        <v>0</v>
      </c>
      <c r="K10" s="54">
        <f t="shared" si="7"/>
        <v>0</v>
      </c>
      <c r="L10" s="164"/>
      <c r="M10" s="222" t="str">
        <f t="shared" si="8"/>
        <v xml:space="preserve"> </v>
      </c>
      <c r="N10" s="65">
        <f t="shared" si="9"/>
        <v>0</v>
      </c>
      <c r="O10" s="65">
        <f t="shared" si="10"/>
        <v>0</v>
      </c>
      <c r="P10" s="54">
        <f t="shared" si="11"/>
        <v>0</v>
      </c>
      <c r="Q10" s="54">
        <f t="shared" si="12"/>
        <v>0</v>
      </c>
      <c r="R10" s="142">
        <f t="shared" si="13"/>
        <v>0</v>
      </c>
      <c r="S10" s="54">
        <f t="shared" si="14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67"/>
      <c r="B11" s="67"/>
      <c r="C11" s="67"/>
      <c r="D11" s="67"/>
      <c r="E11" s="67"/>
      <c r="F11" s="67"/>
      <c r="G11" s="68">
        <f>SUM(G3:G10)</f>
        <v>0.22005042016806722</v>
      </c>
      <c r="H11" s="67"/>
      <c r="I11" s="70"/>
      <c r="J11" s="67"/>
      <c r="K11" s="70"/>
      <c r="L11" s="67"/>
      <c r="M11" s="67"/>
      <c r="N11" s="67"/>
      <c r="O11" s="68">
        <f>SUM(O3:O10)</f>
        <v>3.0281247294117648</v>
      </c>
      <c r="P11" s="67"/>
      <c r="Q11" s="70"/>
      <c r="R11" s="70">
        <f>SUM(R3:R10)</f>
        <v>5.4161348389355739</v>
      </c>
      <c r="S11" s="67"/>
      <c r="T11" s="70"/>
      <c r="U11" s="70">
        <f>SUM(U3:U10)</f>
        <v>25.11723660812325</v>
      </c>
    </row>
    <row r="12" spans="1:21" x14ac:dyDescent="0.2">
      <c r="B12" s="143" t="s">
        <v>430</v>
      </c>
      <c r="C12" s="143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43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5" bestFit="1" customWidth="1"/>
    <col min="4" max="4" width="2" style="155" bestFit="1" customWidth="1"/>
    <col min="5" max="5" width="14.5" style="151" bestFit="1" customWidth="1"/>
    <col min="6" max="6" width="9" style="151" bestFit="1" customWidth="1"/>
    <col min="7" max="7" width="18.33203125" style="151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66" t="s">
        <v>444</v>
      </c>
      <c r="B1" s="267"/>
      <c r="C1" s="268" t="s">
        <v>132</v>
      </c>
      <c r="D1" s="269"/>
      <c r="E1" s="269"/>
      <c r="F1" s="203">
        <v>0.09</v>
      </c>
    </row>
    <row r="2" spans="1:35" ht="16" thickBot="1" x14ac:dyDescent="0.25">
      <c r="C2" s="270" t="s">
        <v>131</v>
      </c>
      <c r="D2" s="271"/>
      <c r="E2" s="271"/>
      <c r="F2" s="204">
        <v>2.4E-2</v>
      </c>
      <c r="G2" s="150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35">
        <v>18</v>
      </c>
      <c r="T2" s="29">
        <v>19</v>
      </c>
      <c r="U2" s="35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2"/>
      <c r="E3" s="1"/>
      <c r="R3" s="264" t="s">
        <v>130</v>
      </c>
      <c r="S3" s="264"/>
      <c r="T3" s="264"/>
      <c r="U3" s="264"/>
      <c r="V3" s="264"/>
      <c r="W3" s="264"/>
      <c r="X3" s="265" t="s">
        <v>129</v>
      </c>
      <c r="Y3" s="265"/>
    </row>
    <row r="4" spans="1:35" s="15" customFormat="1" ht="11" x14ac:dyDescent="0.15">
      <c r="A4" s="26"/>
      <c r="B4" s="26" t="s">
        <v>127</v>
      </c>
      <c r="C4" s="152" t="s">
        <v>128</v>
      </c>
      <c r="D4" s="153" t="s">
        <v>437</v>
      </c>
      <c r="E4" s="154" t="s">
        <v>126</v>
      </c>
      <c r="F4" s="154" t="s">
        <v>125</v>
      </c>
      <c r="G4" s="154" t="s">
        <v>438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29">
        <v>65</v>
      </c>
      <c r="B5" s="1" t="str">
        <f t="shared" ref="B5:B68" si="0">CONCATENATE(C5,D5,E5,F5)</f>
        <v>0.01, Bed-Disk  (Hipper)  4R-36</v>
      </c>
      <c r="C5" s="155">
        <v>0.01</v>
      </c>
      <c r="D5" s="151" t="s">
        <v>436</v>
      </c>
      <c r="E5" s="151" t="s">
        <v>455</v>
      </c>
      <c r="F5" s="151" t="s">
        <v>201</v>
      </c>
      <c r="G5" s="151" t="str">
        <f t="shared" ref="G5:G68" si="1">CONCATENATE(E5,F5)</f>
        <v>Bed-Disk  (Hipper)  4R-36</v>
      </c>
      <c r="H5" s="235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29">
        <v>66</v>
      </c>
      <c r="B6" s="1" t="str">
        <f t="shared" si="0"/>
        <v>0.02, Bed-Disk  (Hipper)  6R-30</v>
      </c>
      <c r="C6" s="155">
        <v>0.02</v>
      </c>
      <c r="D6" s="151" t="s">
        <v>436</v>
      </c>
      <c r="E6" s="151" t="s">
        <v>455</v>
      </c>
      <c r="F6" s="151" t="s">
        <v>53</v>
      </c>
      <c r="G6" s="151" t="str">
        <f t="shared" si="1"/>
        <v>Bed-Disk  (Hipper)  6R-30</v>
      </c>
      <c r="H6" s="235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207"/>
    </row>
    <row r="7" spans="1:35" x14ac:dyDescent="0.2">
      <c r="A7" s="229">
        <v>67</v>
      </c>
      <c r="B7" s="1" t="str">
        <f t="shared" si="0"/>
        <v>0.03, Bed-Disk  (Hipper)  6R-36</v>
      </c>
      <c r="C7" s="155">
        <v>0.03</v>
      </c>
      <c r="D7" s="151" t="s">
        <v>436</v>
      </c>
      <c r="E7" s="151" t="s">
        <v>455</v>
      </c>
      <c r="F7" s="151" t="s">
        <v>202</v>
      </c>
      <c r="G7" s="151" t="str">
        <f t="shared" si="1"/>
        <v>Bed-Disk  (Hipper)  6R-36</v>
      </c>
      <c r="H7" s="235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207"/>
    </row>
    <row r="8" spans="1:35" x14ac:dyDescent="0.2">
      <c r="A8" s="229">
        <v>68</v>
      </c>
      <c r="B8" s="1" t="str">
        <f t="shared" si="0"/>
        <v>0.04, Bed-Disk  (Hipper)  8R-30</v>
      </c>
      <c r="C8" s="155">
        <v>0.04</v>
      </c>
      <c r="D8" s="151" t="s">
        <v>436</v>
      </c>
      <c r="E8" s="151" t="s">
        <v>455</v>
      </c>
      <c r="F8" s="151" t="s">
        <v>25</v>
      </c>
      <c r="G8" s="151" t="str">
        <f t="shared" si="1"/>
        <v>Bed-Disk  (Hipper)  8R-30</v>
      </c>
      <c r="H8" s="235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07"/>
    </row>
    <row r="9" spans="1:35" x14ac:dyDescent="0.2">
      <c r="A9" s="229">
        <v>70</v>
      </c>
      <c r="B9" s="1" t="str">
        <f t="shared" si="0"/>
        <v>0.05, Bed-Disk  (Hipper) 10R-30</v>
      </c>
      <c r="C9" s="155">
        <v>0.05</v>
      </c>
      <c r="D9" s="151" t="s">
        <v>436</v>
      </c>
      <c r="E9" s="151" t="s">
        <v>455</v>
      </c>
      <c r="F9" s="151" t="s">
        <v>24</v>
      </c>
      <c r="G9" s="151" t="str">
        <f t="shared" si="1"/>
        <v>Bed-Disk  (Hipper) 10R-30</v>
      </c>
      <c r="H9" s="235">
        <v>30700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637.19170772941345</v>
      </c>
      <c r="W9" s="9">
        <f t="shared" si="5"/>
        <v>3.9824481733088342</v>
      </c>
      <c r="X9" s="8">
        <f t="shared" si="6"/>
        <v>1228</v>
      </c>
      <c r="Y9" s="7">
        <f t="shared" si="7"/>
        <v>7.6749999999999998</v>
      </c>
      <c r="Z9" s="2">
        <f t="shared" si="8"/>
        <v>9210</v>
      </c>
      <c r="AA9" s="2">
        <f t="shared" si="9"/>
        <v>2149</v>
      </c>
      <c r="AB9" s="2">
        <f t="shared" si="10"/>
        <v>19955</v>
      </c>
      <c r="AC9" s="6">
        <f t="shared" si="11"/>
        <v>1795.95</v>
      </c>
      <c r="AD9" s="6">
        <f t="shared" si="12"/>
        <v>478.92</v>
      </c>
      <c r="AE9" s="6">
        <f t="shared" si="13"/>
        <v>4423.87</v>
      </c>
      <c r="AF9" s="5">
        <f t="shared" si="14"/>
        <v>27.6491875</v>
      </c>
      <c r="AG9" s="207"/>
    </row>
    <row r="10" spans="1:35" x14ac:dyDescent="0.2">
      <c r="A10" s="229">
        <v>298</v>
      </c>
      <c r="B10" s="1" t="str">
        <f t="shared" si="0"/>
        <v>0.06, Bed-Disk  (Hipper) 12R-30</v>
      </c>
      <c r="C10" s="155">
        <v>0.06</v>
      </c>
      <c r="D10" s="151" t="s">
        <v>436</v>
      </c>
      <c r="E10" s="151" t="s">
        <v>455</v>
      </c>
      <c r="F10" s="151" t="s">
        <v>6</v>
      </c>
      <c r="G10" s="151" t="str">
        <f t="shared" si="1"/>
        <v>Bed-Disk  (Hipper) 12R-30</v>
      </c>
      <c r="H10" s="235">
        <v>33600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697.38245536509089</v>
      </c>
      <c r="W10" s="9">
        <f t="shared" si="5"/>
        <v>4.3586403460318177</v>
      </c>
      <c r="X10" s="8">
        <f t="shared" si="6"/>
        <v>1344</v>
      </c>
      <c r="Y10" s="7">
        <f t="shared" si="7"/>
        <v>8.4</v>
      </c>
      <c r="Z10" s="2">
        <f t="shared" si="8"/>
        <v>10080</v>
      </c>
      <c r="AA10" s="2">
        <f t="shared" si="9"/>
        <v>2352</v>
      </c>
      <c r="AB10" s="2">
        <f t="shared" si="10"/>
        <v>21840</v>
      </c>
      <c r="AC10" s="6">
        <f t="shared" si="11"/>
        <v>1965.6</v>
      </c>
      <c r="AD10" s="6">
        <f t="shared" si="12"/>
        <v>524.16</v>
      </c>
      <c r="AE10" s="6">
        <f t="shared" si="13"/>
        <v>4841.76</v>
      </c>
      <c r="AF10" s="5">
        <f t="shared" si="14"/>
        <v>30.261000000000003</v>
      </c>
      <c r="AG10" s="207"/>
    </row>
    <row r="11" spans="1:35" x14ac:dyDescent="0.2">
      <c r="A11" s="229">
        <v>71</v>
      </c>
      <c r="B11" s="1" t="str">
        <f t="shared" si="0"/>
        <v>0.07, Bed-Disk  (Hipper) 10R-36</v>
      </c>
      <c r="C11" s="155">
        <v>7.0000000000000007E-2</v>
      </c>
      <c r="D11" s="151" t="s">
        <v>436</v>
      </c>
      <c r="E11" s="151" t="s">
        <v>455</v>
      </c>
      <c r="F11" s="151" t="s">
        <v>204</v>
      </c>
      <c r="G11" s="151" t="str">
        <f t="shared" si="1"/>
        <v>Bed-Disk  (Hipper) 10R-36</v>
      </c>
      <c r="H11" s="235">
        <v>33600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697.38245536509089</v>
      </c>
      <c r="W11" s="9">
        <f t="shared" si="5"/>
        <v>4.3586403460318177</v>
      </c>
      <c r="X11" s="8">
        <f t="shared" si="6"/>
        <v>1344</v>
      </c>
      <c r="Y11" s="7">
        <f t="shared" si="7"/>
        <v>8.4</v>
      </c>
      <c r="Z11" s="2">
        <f t="shared" si="8"/>
        <v>10080</v>
      </c>
      <c r="AA11" s="2">
        <f t="shared" si="9"/>
        <v>2352</v>
      </c>
      <c r="AB11" s="2">
        <f t="shared" si="10"/>
        <v>21840</v>
      </c>
      <c r="AC11" s="6">
        <f t="shared" si="11"/>
        <v>1965.6</v>
      </c>
      <c r="AD11" s="6">
        <f t="shared" si="12"/>
        <v>524.16</v>
      </c>
      <c r="AE11" s="6">
        <f t="shared" si="13"/>
        <v>4841.76</v>
      </c>
      <c r="AF11" s="5">
        <f t="shared" si="14"/>
        <v>30.261000000000003</v>
      </c>
      <c r="AG11" s="207"/>
    </row>
    <row r="12" spans="1:35" x14ac:dyDescent="0.2">
      <c r="A12" s="229">
        <v>240</v>
      </c>
      <c r="B12" s="1" t="str">
        <f t="shared" si="0"/>
        <v>0.08, Bed-Disk  (Hipper)  8R-36 2x1</v>
      </c>
      <c r="C12" s="155">
        <v>0.08</v>
      </c>
      <c r="D12" s="151" t="s">
        <v>436</v>
      </c>
      <c r="E12" s="151" t="s">
        <v>455</v>
      </c>
      <c r="F12" s="151" t="s">
        <v>203</v>
      </c>
      <c r="G12" s="151" t="str">
        <f t="shared" si="1"/>
        <v>Bed-Disk  (Hipper)  8R-36 2x1</v>
      </c>
      <c r="H12" s="30">
        <v>36000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747.1954878911688</v>
      </c>
      <c r="W12" s="9">
        <f t="shared" si="5"/>
        <v>4.6699717993198053</v>
      </c>
      <c r="X12" s="8">
        <f t="shared" si="6"/>
        <v>1440</v>
      </c>
      <c r="Y12" s="7">
        <f t="shared" si="7"/>
        <v>9</v>
      </c>
      <c r="Z12" s="2">
        <f t="shared" si="8"/>
        <v>10800</v>
      </c>
      <c r="AA12" s="2">
        <f t="shared" si="9"/>
        <v>2520</v>
      </c>
      <c r="AB12" s="2">
        <f t="shared" si="10"/>
        <v>23400</v>
      </c>
      <c r="AC12" s="6">
        <f t="shared" si="11"/>
        <v>2106</v>
      </c>
      <c r="AD12" s="6">
        <f t="shared" si="12"/>
        <v>561.6</v>
      </c>
      <c r="AE12" s="6">
        <f t="shared" si="13"/>
        <v>5187.6000000000004</v>
      </c>
      <c r="AF12" s="5">
        <f t="shared" si="14"/>
        <v>32.422499999999999</v>
      </c>
      <c r="AG12" s="207"/>
    </row>
    <row r="13" spans="1:35" x14ac:dyDescent="0.2">
      <c r="A13" s="229">
        <v>241</v>
      </c>
      <c r="B13" s="1" t="str">
        <f t="shared" si="0"/>
        <v>0.09, Bed-Disk  (Hipper) 12R-36</v>
      </c>
      <c r="C13" s="155">
        <v>0.09</v>
      </c>
      <c r="D13" s="151" t="s">
        <v>436</v>
      </c>
      <c r="E13" s="151" t="s">
        <v>455</v>
      </c>
      <c r="F13" s="151" t="s">
        <v>200</v>
      </c>
      <c r="G13" s="151" t="str">
        <f t="shared" si="1"/>
        <v>Bed-Disk  (Hipper) 12R-36</v>
      </c>
      <c r="H13" s="30">
        <v>36000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747.1954878911688</v>
      </c>
      <c r="W13" s="9">
        <f t="shared" si="5"/>
        <v>4.6699717993198053</v>
      </c>
      <c r="X13" s="8">
        <f t="shared" si="6"/>
        <v>1440</v>
      </c>
      <c r="Y13" s="7">
        <f t="shared" si="7"/>
        <v>9</v>
      </c>
      <c r="Z13" s="2">
        <f t="shared" si="8"/>
        <v>10800</v>
      </c>
      <c r="AA13" s="2">
        <f t="shared" si="9"/>
        <v>2520</v>
      </c>
      <c r="AB13" s="2">
        <f t="shared" si="10"/>
        <v>23400</v>
      </c>
      <c r="AC13" s="6">
        <f t="shared" si="11"/>
        <v>2106</v>
      </c>
      <c r="AD13" s="6">
        <f t="shared" si="12"/>
        <v>561.6</v>
      </c>
      <c r="AE13" s="6">
        <f t="shared" si="13"/>
        <v>5187.6000000000004</v>
      </c>
      <c r="AF13" s="5">
        <f t="shared" si="14"/>
        <v>32.422499999999999</v>
      </c>
      <c r="AG13" s="207"/>
    </row>
    <row r="14" spans="1:35" x14ac:dyDescent="0.2">
      <c r="A14" s="229">
        <v>411</v>
      </c>
      <c r="B14" s="1" t="str">
        <f t="shared" si="0"/>
        <v>0.1, Bed-Disk  (Hipper) Fl  8R-36</v>
      </c>
      <c r="C14" s="155">
        <v>0.1</v>
      </c>
      <c r="D14" s="151" t="s">
        <v>436</v>
      </c>
      <c r="E14" s="151" t="s">
        <v>456</v>
      </c>
      <c r="F14" s="151" t="s">
        <v>199</v>
      </c>
      <c r="G14" s="151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207"/>
    </row>
    <row r="15" spans="1:35" x14ac:dyDescent="0.2">
      <c r="A15" s="229">
        <v>69</v>
      </c>
      <c r="B15" s="1" t="str">
        <f t="shared" si="0"/>
        <v>0.11, Bed-Disk  (Hipper) Rd  8R-36</v>
      </c>
      <c r="C15" s="155">
        <v>0.11</v>
      </c>
      <c r="D15" s="151" t="s">
        <v>436</v>
      </c>
      <c r="E15" s="151" t="s">
        <v>457</v>
      </c>
      <c r="F15" s="151" t="s">
        <v>199</v>
      </c>
      <c r="G15" s="151" t="str">
        <f t="shared" si="1"/>
        <v>Bed-Disk  (Hipper) Rd  8R-36</v>
      </c>
      <c r="H15" s="30">
        <v>14600</v>
      </c>
      <c r="I15" s="1">
        <v>24</v>
      </c>
      <c r="J15" s="207">
        <v>5.5</v>
      </c>
      <c r="K15" s="207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303.02928120030737</v>
      </c>
      <c r="W15" s="9">
        <f t="shared" si="5"/>
        <v>1.893933007501921</v>
      </c>
      <c r="X15" s="8">
        <f t="shared" si="6"/>
        <v>584</v>
      </c>
      <c r="Y15" s="7">
        <f t="shared" si="7"/>
        <v>3.65</v>
      </c>
      <c r="Z15" s="2">
        <f t="shared" si="8"/>
        <v>4380</v>
      </c>
      <c r="AA15" s="2">
        <f t="shared" si="9"/>
        <v>1022</v>
      </c>
      <c r="AB15" s="2">
        <f t="shared" si="10"/>
        <v>9490</v>
      </c>
      <c r="AC15" s="6">
        <f t="shared" si="11"/>
        <v>854.1</v>
      </c>
      <c r="AD15" s="6">
        <f t="shared" si="12"/>
        <v>227.76</v>
      </c>
      <c r="AE15" s="6">
        <f t="shared" si="13"/>
        <v>2103.8599999999997</v>
      </c>
      <c r="AF15" s="5">
        <f t="shared" si="14"/>
        <v>13.149124999999998</v>
      </c>
      <c r="AG15" s="207"/>
    </row>
    <row r="16" spans="1:35" x14ac:dyDescent="0.2">
      <c r="A16" s="229">
        <v>611</v>
      </c>
      <c r="B16" s="1" t="str">
        <f t="shared" si="0"/>
        <v>0.12, Bed-Disk  w/roller 8R-30</v>
      </c>
      <c r="C16" s="155">
        <v>0.12</v>
      </c>
      <c r="D16" s="151" t="s">
        <v>436</v>
      </c>
      <c r="E16" s="151" t="s">
        <v>453</v>
      </c>
      <c r="F16" s="151" t="s">
        <v>25</v>
      </c>
      <c r="G16" s="151" t="str">
        <f t="shared" si="1"/>
        <v>Bed-Disk  w/roller 8R-30</v>
      </c>
      <c r="H16" s="235">
        <v>27800</v>
      </c>
      <c r="I16" s="1">
        <v>20</v>
      </c>
      <c r="J16" s="207">
        <v>5.5</v>
      </c>
      <c r="K16" s="207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577.00096009373601</v>
      </c>
      <c r="W16" s="9">
        <f t="shared" si="5"/>
        <v>3.6062560005858502</v>
      </c>
      <c r="X16" s="8">
        <f t="shared" si="6"/>
        <v>1112</v>
      </c>
      <c r="Y16" s="7">
        <f t="shared" si="7"/>
        <v>6.95</v>
      </c>
      <c r="Z16" s="2">
        <f t="shared" si="8"/>
        <v>8340</v>
      </c>
      <c r="AA16" s="2">
        <f t="shared" si="9"/>
        <v>1946</v>
      </c>
      <c r="AB16" s="2">
        <f t="shared" si="10"/>
        <v>18070</v>
      </c>
      <c r="AC16" s="6">
        <f t="shared" si="11"/>
        <v>1626.3</v>
      </c>
      <c r="AD16" s="6">
        <f t="shared" si="12"/>
        <v>433.68</v>
      </c>
      <c r="AE16" s="6">
        <f t="shared" si="13"/>
        <v>4005.98</v>
      </c>
      <c r="AF16" s="5">
        <f t="shared" si="14"/>
        <v>25.037375000000001</v>
      </c>
      <c r="AG16" s="207"/>
    </row>
    <row r="17" spans="1:35" x14ac:dyDescent="0.2">
      <c r="A17" s="229">
        <v>732</v>
      </c>
      <c r="B17" s="1" t="str">
        <f t="shared" si="0"/>
        <v>0.13, Bed-Disk  w/roller 8R-36</v>
      </c>
      <c r="C17" s="155">
        <v>0.13</v>
      </c>
      <c r="D17" s="151" t="s">
        <v>436</v>
      </c>
      <c r="E17" s="151" t="s">
        <v>453</v>
      </c>
      <c r="F17" s="151" t="s">
        <v>199</v>
      </c>
      <c r="G17" s="151" t="str">
        <f t="shared" si="1"/>
        <v>Bed-Disk  w/roller 8R-36</v>
      </c>
      <c r="H17" s="235">
        <v>27400</v>
      </c>
      <c r="I17" s="1">
        <v>24</v>
      </c>
      <c r="J17" s="207">
        <v>5.5</v>
      </c>
      <c r="K17" s="207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568.69878800605636</v>
      </c>
      <c r="W17" s="9">
        <f t="shared" si="5"/>
        <v>3.5543674250378521</v>
      </c>
      <c r="X17" s="8">
        <f t="shared" si="6"/>
        <v>1096</v>
      </c>
      <c r="Y17" s="7">
        <f t="shared" si="7"/>
        <v>6.85</v>
      </c>
      <c r="Z17" s="2">
        <f t="shared" si="8"/>
        <v>8220</v>
      </c>
      <c r="AA17" s="2">
        <f t="shared" si="9"/>
        <v>1918</v>
      </c>
      <c r="AB17" s="2">
        <f t="shared" si="10"/>
        <v>17810</v>
      </c>
      <c r="AC17" s="6">
        <f t="shared" si="11"/>
        <v>1602.8999999999999</v>
      </c>
      <c r="AD17" s="6">
        <f t="shared" si="12"/>
        <v>427.44</v>
      </c>
      <c r="AE17" s="6">
        <f t="shared" si="13"/>
        <v>3948.3399999999997</v>
      </c>
      <c r="AF17" s="5">
        <f t="shared" si="14"/>
        <v>24.677124999999997</v>
      </c>
      <c r="AG17" s="207"/>
    </row>
    <row r="18" spans="1:35" x14ac:dyDescent="0.2">
      <c r="A18" s="229">
        <v>301</v>
      </c>
      <c r="B18" s="1" t="str">
        <f t="shared" si="0"/>
        <v>0.14, Bed-Disk  w/roller 12R-30</v>
      </c>
      <c r="C18" s="155">
        <v>0.14000000000000001</v>
      </c>
      <c r="D18" s="151" t="s">
        <v>436</v>
      </c>
      <c r="E18" s="151" t="s">
        <v>453</v>
      </c>
      <c r="F18" s="151" t="s">
        <v>454</v>
      </c>
      <c r="G18" s="151" t="str">
        <f t="shared" si="1"/>
        <v>Bed-Disk  w/roller 12R-30</v>
      </c>
      <c r="H18" s="235">
        <v>44400</v>
      </c>
      <c r="I18" s="1">
        <v>30</v>
      </c>
      <c r="J18" s="207">
        <v>5.5</v>
      </c>
      <c r="K18" s="207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921.54110173244158</v>
      </c>
      <c r="W18" s="9">
        <f t="shared" si="5"/>
        <v>5.7596318858277602</v>
      </c>
      <c r="X18" s="8">
        <f t="shared" si="6"/>
        <v>1776</v>
      </c>
      <c r="Y18" s="7">
        <f t="shared" si="7"/>
        <v>11.1</v>
      </c>
      <c r="Z18" s="2">
        <f t="shared" si="8"/>
        <v>13320</v>
      </c>
      <c r="AA18" s="2">
        <f t="shared" si="9"/>
        <v>3108</v>
      </c>
      <c r="AB18" s="2">
        <f t="shared" si="10"/>
        <v>28860</v>
      </c>
      <c r="AC18" s="6">
        <f t="shared" si="11"/>
        <v>2597.4</v>
      </c>
      <c r="AD18" s="6">
        <f t="shared" si="12"/>
        <v>692.64</v>
      </c>
      <c r="AE18" s="6">
        <f t="shared" si="13"/>
        <v>6398.04</v>
      </c>
      <c r="AF18" s="5">
        <f t="shared" si="14"/>
        <v>39.987749999999998</v>
      </c>
      <c r="AG18" s="207"/>
    </row>
    <row r="19" spans="1:35" x14ac:dyDescent="0.2">
      <c r="A19" s="229">
        <v>594</v>
      </c>
      <c r="B19" s="1" t="str">
        <f t="shared" si="0"/>
        <v>0.15, Bed-Middle Buster 4R-36</v>
      </c>
      <c r="C19" s="155">
        <v>0.15</v>
      </c>
      <c r="D19" s="151" t="s">
        <v>436</v>
      </c>
      <c r="E19" s="151" t="s">
        <v>458</v>
      </c>
      <c r="F19" s="151" t="s">
        <v>201</v>
      </c>
      <c r="G19" s="151" t="str">
        <f t="shared" si="1"/>
        <v>Bed-Middle Buster 4R-36</v>
      </c>
      <c r="H19" s="30">
        <v>18382</v>
      </c>
      <c r="I19" s="1">
        <v>10</v>
      </c>
      <c r="J19" s="207">
        <v>4.25</v>
      </c>
      <c r="K19" s="207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381.52631828931851</v>
      </c>
      <c r="W19" s="9">
        <f t="shared" si="5"/>
        <v>2.3845394893082408</v>
      </c>
      <c r="X19" s="8">
        <f t="shared" si="6"/>
        <v>689.32500000000005</v>
      </c>
      <c r="Y19" s="7">
        <f t="shared" si="7"/>
        <v>4.3082812500000003</v>
      </c>
      <c r="Z19" s="2">
        <f t="shared" si="8"/>
        <v>6433.7</v>
      </c>
      <c r="AA19" s="2">
        <f t="shared" si="9"/>
        <v>1493.5374999999999</v>
      </c>
      <c r="AB19" s="2">
        <f t="shared" si="10"/>
        <v>12407.85</v>
      </c>
      <c r="AC19" s="6">
        <f t="shared" si="11"/>
        <v>1116.7065</v>
      </c>
      <c r="AD19" s="6">
        <f t="shared" si="12"/>
        <v>297.78840000000002</v>
      </c>
      <c r="AE19" s="6">
        <f t="shared" si="13"/>
        <v>2908.0323999999996</v>
      </c>
      <c r="AF19" s="5">
        <f t="shared" si="14"/>
        <v>18.175202499999997</v>
      </c>
      <c r="AG19" s="207"/>
    </row>
    <row r="20" spans="1:35" x14ac:dyDescent="0.2">
      <c r="A20" s="229">
        <v>119</v>
      </c>
      <c r="B20" s="1" t="str">
        <f t="shared" si="0"/>
        <v>0.16, Bed-Middle Buster 6R-36</v>
      </c>
      <c r="C20" s="155">
        <v>0.16</v>
      </c>
      <c r="D20" s="151" t="s">
        <v>436</v>
      </c>
      <c r="E20" s="151" t="s">
        <v>458</v>
      </c>
      <c r="F20" s="151" t="s">
        <v>202</v>
      </c>
      <c r="G20" s="151" t="str">
        <f t="shared" si="1"/>
        <v>Bed-Middle Buster 6R-36</v>
      </c>
      <c r="H20" s="30">
        <v>15655</v>
      </c>
      <c r="I20" s="1">
        <v>18</v>
      </c>
      <c r="J20" s="207">
        <v>4.25</v>
      </c>
      <c r="K20" s="207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324.92626008156248</v>
      </c>
      <c r="W20" s="9">
        <f t="shared" si="5"/>
        <v>2.0307891255097656</v>
      </c>
      <c r="X20" s="8">
        <f t="shared" si="6"/>
        <v>587.0625</v>
      </c>
      <c r="Y20" s="7">
        <f t="shared" si="7"/>
        <v>3.6691406249999998</v>
      </c>
      <c r="Z20" s="2">
        <f t="shared" si="8"/>
        <v>5479.25</v>
      </c>
      <c r="AA20" s="2">
        <f t="shared" si="9"/>
        <v>1271.96875</v>
      </c>
      <c r="AB20" s="2">
        <f t="shared" si="10"/>
        <v>10567.125</v>
      </c>
      <c r="AC20" s="6">
        <f t="shared" si="11"/>
        <v>951.04124999999999</v>
      </c>
      <c r="AD20" s="6">
        <f t="shared" si="12"/>
        <v>253.61100000000002</v>
      </c>
      <c r="AE20" s="6">
        <f t="shared" si="13"/>
        <v>2476.6210000000001</v>
      </c>
      <c r="AF20" s="5">
        <f t="shared" si="14"/>
        <v>15.478881250000001</v>
      </c>
      <c r="AG20" s="207"/>
    </row>
    <row r="21" spans="1:35" s="13" customFormat="1" x14ac:dyDescent="0.2">
      <c r="A21" s="229">
        <v>120</v>
      </c>
      <c r="B21" s="1" t="str">
        <f t="shared" si="0"/>
        <v>0.17, Bed-Middle Buster 8R-30</v>
      </c>
      <c r="C21" s="155">
        <v>0.17</v>
      </c>
      <c r="D21" s="151" t="s">
        <v>436</v>
      </c>
      <c r="E21" s="151" t="s">
        <v>458</v>
      </c>
      <c r="F21" s="151" t="s">
        <v>25</v>
      </c>
      <c r="G21" s="151" t="str">
        <f t="shared" si="1"/>
        <v>Bed-Middle Buster 8R-30</v>
      </c>
      <c r="H21" s="235">
        <v>22624</v>
      </c>
      <c r="I21" s="207">
        <v>20</v>
      </c>
      <c r="J21" s="207">
        <v>4.25</v>
      </c>
      <c r="K21" s="207">
        <v>85</v>
      </c>
      <c r="L21" s="208">
        <f t="shared" si="2"/>
        <v>0.11418685121107267</v>
      </c>
      <c r="M21" s="207">
        <v>35</v>
      </c>
      <c r="N21" s="207">
        <v>30</v>
      </c>
      <c r="O21" s="207">
        <v>8</v>
      </c>
      <c r="P21" s="207">
        <v>160</v>
      </c>
      <c r="Q21" s="207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469.57085327916121</v>
      </c>
      <c r="W21" s="9">
        <f t="shared" si="5"/>
        <v>2.9348178329947574</v>
      </c>
      <c r="X21" s="8">
        <f t="shared" si="6"/>
        <v>848.4</v>
      </c>
      <c r="Y21" s="7">
        <f t="shared" si="7"/>
        <v>5.3025000000000002</v>
      </c>
      <c r="Z21" s="2">
        <f t="shared" si="8"/>
        <v>7918.4</v>
      </c>
      <c r="AA21" s="2">
        <f t="shared" si="9"/>
        <v>1838.2</v>
      </c>
      <c r="AB21" s="2">
        <f t="shared" si="10"/>
        <v>15271.2</v>
      </c>
      <c r="AC21" s="6">
        <f t="shared" si="11"/>
        <v>1374.4079999999999</v>
      </c>
      <c r="AD21" s="6">
        <f t="shared" si="12"/>
        <v>366.50880000000001</v>
      </c>
      <c r="AE21" s="6">
        <f t="shared" si="13"/>
        <v>3579.1168000000002</v>
      </c>
      <c r="AF21" s="5">
        <f t="shared" si="14"/>
        <v>22.369480000000003</v>
      </c>
      <c r="AG21" s="207"/>
      <c r="AH21" s="207"/>
      <c r="AI21" s="207"/>
    </row>
    <row r="22" spans="1:35" x14ac:dyDescent="0.2">
      <c r="A22" s="229">
        <v>121</v>
      </c>
      <c r="B22" s="1" t="str">
        <f t="shared" si="0"/>
        <v>0.18, Bed-Middle Buster 8R-36</v>
      </c>
      <c r="C22" s="155">
        <v>0.18</v>
      </c>
      <c r="D22" s="151" t="s">
        <v>436</v>
      </c>
      <c r="E22" s="151" t="s">
        <v>458</v>
      </c>
      <c r="F22" s="151" t="s">
        <v>199</v>
      </c>
      <c r="G22" s="151" t="str">
        <f t="shared" si="1"/>
        <v>Bed-Middle Buster 8R-36</v>
      </c>
      <c r="H22" s="235">
        <v>23028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477.95604708771765</v>
      </c>
      <c r="W22" s="9">
        <f t="shared" si="5"/>
        <v>2.9872252942982351</v>
      </c>
      <c r="X22" s="8">
        <f t="shared" si="6"/>
        <v>863.55</v>
      </c>
      <c r="Y22" s="7">
        <f t="shared" si="7"/>
        <v>5.3971874999999994</v>
      </c>
      <c r="Z22" s="2">
        <f t="shared" si="8"/>
        <v>8059.8</v>
      </c>
      <c r="AA22" s="2">
        <f t="shared" si="9"/>
        <v>1871.0250000000001</v>
      </c>
      <c r="AB22" s="2">
        <f t="shared" si="10"/>
        <v>15543.9</v>
      </c>
      <c r="AC22" s="6">
        <f t="shared" si="11"/>
        <v>1398.951</v>
      </c>
      <c r="AD22" s="6">
        <f t="shared" si="12"/>
        <v>373.05360000000002</v>
      </c>
      <c r="AE22" s="6">
        <f t="shared" si="13"/>
        <v>3643.0296000000003</v>
      </c>
      <c r="AF22" s="5">
        <f t="shared" si="14"/>
        <v>22.768935000000003</v>
      </c>
      <c r="AG22" s="207"/>
    </row>
    <row r="23" spans="1:35" x14ac:dyDescent="0.2">
      <c r="A23" s="229">
        <v>246</v>
      </c>
      <c r="B23" s="1" t="str">
        <f t="shared" si="0"/>
        <v>0.19, Bed-Middle Buster 8R-36 2x1</v>
      </c>
      <c r="C23" s="155">
        <v>0.19</v>
      </c>
      <c r="D23" s="151" t="s">
        <v>436</v>
      </c>
      <c r="E23" s="151" t="s">
        <v>458</v>
      </c>
      <c r="F23" s="151" t="s">
        <v>203</v>
      </c>
      <c r="G23" s="151" t="str">
        <f t="shared" si="1"/>
        <v>Bed-Middle Buster 8R-36 2x1</v>
      </c>
      <c r="H23" s="235">
        <v>36057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748.37854741366323</v>
      </c>
      <c r="W23" s="9">
        <f t="shared" si="5"/>
        <v>4.6773659213353955</v>
      </c>
      <c r="X23" s="8">
        <f t="shared" si="6"/>
        <v>1352.1375</v>
      </c>
      <c r="Y23" s="7">
        <f t="shared" si="7"/>
        <v>8.4508593750000003</v>
      </c>
      <c r="Z23" s="2">
        <f t="shared" si="8"/>
        <v>12619.95</v>
      </c>
      <c r="AA23" s="2">
        <f t="shared" si="9"/>
        <v>2929.6312499999999</v>
      </c>
      <c r="AB23" s="2">
        <f t="shared" si="10"/>
        <v>24338.474999999999</v>
      </c>
      <c r="AC23" s="6">
        <f t="shared" si="11"/>
        <v>2190.4627499999997</v>
      </c>
      <c r="AD23" s="6">
        <f t="shared" si="12"/>
        <v>584.12339999999995</v>
      </c>
      <c r="AE23" s="6">
        <f t="shared" si="13"/>
        <v>5704.2173999999995</v>
      </c>
      <c r="AF23" s="5">
        <f t="shared" si="14"/>
        <v>35.65135875</v>
      </c>
      <c r="AG23" s="207"/>
    </row>
    <row r="24" spans="1:35" x14ac:dyDescent="0.2">
      <c r="A24" s="229">
        <v>122</v>
      </c>
      <c r="B24" s="1" t="str">
        <f t="shared" si="0"/>
        <v>0.2, Bed-Middle Buster 10R-30</v>
      </c>
      <c r="C24" s="155">
        <v>0.2</v>
      </c>
      <c r="D24" s="151" t="s">
        <v>436</v>
      </c>
      <c r="E24" s="151" t="s">
        <v>459</v>
      </c>
      <c r="F24" s="151" t="s">
        <v>24</v>
      </c>
      <c r="G24" s="151" t="str">
        <f t="shared" si="1"/>
        <v>Bed-Middle Buster 10R-30</v>
      </c>
      <c r="H24" s="235">
        <v>30401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630.98583409387288</v>
      </c>
      <c r="W24" s="9">
        <f t="shared" si="5"/>
        <v>3.9436614630867055</v>
      </c>
      <c r="X24" s="8">
        <f t="shared" si="6"/>
        <v>1140.0374999999999</v>
      </c>
      <c r="Y24" s="7">
        <f t="shared" si="7"/>
        <v>7.1252343749999998</v>
      </c>
      <c r="Z24" s="2">
        <f t="shared" si="8"/>
        <v>10640.35</v>
      </c>
      <c r="AA24" s="2">
        <f t="shared" si="9"/>
        <v>2470.0812500000002</v>
      </c>
      <c r="AB24" s="2">
        <f t="shared" si="10"/>
        <v>20520.674999999999</v>
      </c>
      <c r="AC24" s="6">
        <f t="shared" si="11"/>
        <v>1846.8607499999998</v>
      </c>
      <c r="AD24" s="6">
        <f t="shared" si="12"/>
        <v>492.49619999999999</v>
      </c>
      <c r="AE24" s="6">
        <f t="shared" si="13"/>
        <v>4809.4381999999996</v>
      </c>
      <c r="AF24" s="5">
        <f t="shared" si="14"/>
        <v>30.058988749999997</v>
      </c>
      <c r="AG24" s="207"/>
    </row>
    <row r="25" spans="1:35" x14ac:dyDescent="0.2">
      <c r="A25" s="229">
        <v>123</v>
      </c>
      <c r="B25" s="1" t="str">
        <f t="shared" si="0"/>
        <v>0.21, Bed-Middle Buster 10R-36</v>
      </c>
      <c r="C25" s="155">
        <v>0.21</v>
      </c>
      <c r="D25" s="151" t="s">
        <v>436</v>
      </c>
      <c r="E25" s="151" t="s">
        <v>459</v>
      </c>
      <c r="F25" s="151" t="s">
        <v>204</v>
      </c>
      <c r="G25" s="151" t="str">
        <f t="shared" si="1"/>
        <v>Bed-Middle Buster 10R-36</v>
      </c>
      <c r="H25" s="235">
        <v>33431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693.87478765804633</v>
      </c>
      <c r="W25" s="9">
        <f t="shared" si="5"/>
        <v>4.3367174228627894</v>
      </c>
      <c r="X25" s="8">
        <f t="shared" si="6"/>
        <v>1253.6624999999999</v>
      </c>
      <c r="Y25" s="7">
        <f t="shared" si="7"/>
        <v>7.8353906249999996</v>
      </c>
      <c r="Z25" s="2">
        <f t="shared" si="8"/>
        <v>11700.85</v>
      </c>
      <c r="AA25" s="2">
        <f t="shared" si="9"/>
        <v>2716.2687500000002</v>
      </c>
      <c r="AB25" s="2">
        <f t="shared" si="10"/>
        <v>22565.924999999999</v>
      </c>
      <c r="AC25" s="6">
        <f t="shared" si="11"/>
        <v>2030.9332499999998</v>
      </c>
      <c r="AD25" s="6">
        <f t="shared" si="12"/>
        <v>541.58219999999994</v>
      </c>
      <c r="AE25" s="6">
        <f t="shared" si="13"/>
        <v>5288.7842000000001</v>
      </c>
      <c r="AF25" s="5">
        <f t="shared" si="14"/>
        <v>33.05490125</v>
      </c>
      <c r="AG25" s="207"/>
    </row>
    <row r="26" spans="1:35" x14ac:dyDescent="0.2">
      <c r="A26" s="229">
        <v>247</v>
      </c>
      <c r="B26" s="1" t="str">
        <f t="shared" si="0"/>
        <v>0.22, Bed-Middle Buster 12R-36</v>
      </c>
      <c r="C26" s="155">
        <v>0.22</v>
      </c>
      <c r="D26" s="151" t="s">
        <v>436</v>
      </c>
      <c r="E26" s="151" t="s">
        <v>459</v>
      </c>
      <c r="F26" s="151" t="s">
        <v>200</v>
      </c>
      <c r="G26" s="151" t="str">
        <f t="shared" si="1"/>
        <v>Bed-Middle Buster 12R-36</v>
      </c>
      <c r="H26" s="235">
        <v>36057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748.37854741366323</v>
      </c>
      <c r="W26" s="9">
        <f t="shared" si="5"/>
        <v>4.6773659213353955</v>
      </c>
      <c r="X26" s="8">
        <f t="shared" si="6"/>
        <v>1352.1375</v>
      </c>
      <c r="Y26" s="7">
        <f t="shared" si="7"/>
        <v>8.4508593750000003</v>
      </c>
      <c r="Z26" s="2">
        <f t="shared" si="8"/>
        <v>12619.95</v>
      </c>
      <c r="AA26" s="2">
        <f t="shared" si="9"/>
        <v>2929.6312499999999</v>
      </c>
      <c r="AB26" s="2">
        <f t="shared" si="10"/>
        <v>24338.474999999999</v>
      </c>
      <c r="AC26" s="6">
        <f t="shared" si="11"/>
        <v>2190.4627499999997</v>
      </c>
      <c r="AD26" s="6">
        <f t="shared" si="12"/>
        <v>584.12339999999995</v>
      </c>
      <c r="AE26" s="6">
        <f t="shared" si="13"/>
        <v>5704.2173999999995</v>
      </c>
      <c r="AF26" s="5">
        <f t="shared" si="14"/>
        <v>35.65135875</v>
      </c>
      <c r="AG26" s="207"/>
    </row>
    <row r="27" spans="1:35" x14ac:dyDescent="0.2">
      <c r="A27" s="229">
        <v>416</v>
      </c>
      <c r="B27" s="1" t="str">
        <f t="shared" si="0"/>
        <v>0.23, Bed-Paratill   Fold 8R-36</v>
      </c>
      <c r="C27" s="155">
        <v>0.23</v>
      </c>
      <c r="D27" s="151" t="s">
        <v>436</v>
      </c>
      <c r="E27" s="151" t="s">
        <v>460</v>
      </c>
      <c r="F27" s="151" t="s">
        <v>199</v>
      </c>
      <c r="G27" s="151" t="str">
        <f t="shared" si="1"/>
        <v>Bed-Paratill   Fold 8R-36</v>
      </c>
      <c r="H27" s="235">
        <v>54944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1041.8658433844259</v>
      </c>
      <c r="W27" s="9">
        <f t="shared" si="5"/>
        <v>6.945772289229506</v>
      </c>
      <c r="X27" s="8">
        <f t="shared" si="6"/>
        <v>2976.1333333333332</v>
      </c>
      <c r="Y27" s="7">
        <f t="shared" si="7"/>
        <v>19.840888888888887</v>
      </c>
      <c r="Z27" s="2">
        <f t="shared" si="8"/>
        <v>16483.2</v>
      </c>
      <c r="AA27" s="2">
        <f t="shared" si="9"/>
        <v>3205.0666666666671</v>
      </c>
      <c r="AB27" s="2">
        <f t="shared" si="10"/>
        <v>35713.599999999999</v>
      </c>
      <c r="AC27" s="6">
        <f t="shared" si="11"/>
        <v>3214.2239999999997</v>
      </c>
      <c r="AD27" s="6">
        <f t="shared" si="12"/>
        <v>857.12639999999999</v>
      </c>
      <c r="AE27" s="6">
        <f t="shared" si="13"/>
        <v>7276.4170666666669</v>
      </c>
      <c r="AF27" s="5">
        <f t="shared" si="14"/>
        <v>48.509447111111115</v>
      </c>
      <c r="AG27" s="207"/>
    </row>
    <row r="28" spans="1:35" x14ac:dyDescent="0.2">
      <c r="A28" s="229">
        <v>610</v>
      </c>
      <c r="B28" s="1" t="str">
        <f t="shared" si="0"/>
        <v>0.24, Bed-Paratill   Fold10R-30</v>
      </c>
      <c r="C28" s="155">
        <v>0.24</v>
      </c>
      <c r="D28" s="151" t="s">
        <v>436</v>
      </c>
      <c r="E28" s="151" t="s">
        <v>460</v>
      </c>
      <c r="F28" s="151" t="s">
        <v>24</v>
      </c>
      <c r="G28" s="151" t="str">
        <f t="shared" si="1"/>
        <v>Bed-Paratill   Fold10R-30</v>
      </c>
      <c r="H28" s="231">
        <v>62367.5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1182.6326439152263</v>
      </c>
      <c r="W28" s="9">
        <f t="shared" si="5"/>
        <v>7.884217626101508</v>
      </c>
      <c r="X28" s="8">
        <f t="shared" si="6"/>
        <v>3378.2395833333335</v>
      </c>
      <c r="Y28" s="7">
        <f t="shared" si="7"/>
        <v>22.521597222222223</v>
      </c>
      <c r="Z28" s="2">
        <f t="shared" si="8"/>
        <v>18710.25</v>
      </c>
      <c r="AA28" s="2">
        <f t="shared" si="9"/>
        <v>3638.1041666666665</v>
      </c>
      <c r="AB28" s="2">
        <f t="shared" si="10"/>
        <v>40538.875</v>
      </c>
      <c r="AC28" s="6">
        <f t="shared" si="11"/>
        <v>3648.4987499999997</v>
      </c>
      <c r="AD28" s="6">
        <f t="shared" si="12"/>
        <v>972.93299999999999</v>
      </c>
      <c r="AE28" s="6">
        <f t="shared" si="13"/>
        <v>8259.5359166666676</v>
      </c>
      <c r="AF28" s="5">
        <f t="shared" si="14"/>
        <v>55.063572777777786</v>
      </c>
      <c r="AG28" s="207"/>
    </row>
    <row r="29" spans="1:35" x14ac:dyDescent="0.2">
      <c r="A29" s="229">
        <v>486</v>
      </c>
      <c r="B29" s="1" t="str">
        <f t="shared" si="0"/>
        <v>0.25, Bed-Paratill   Fold 8R-36 2x1</v>
      </c>
      <c r="C29" s="155">
        <v>0.25</v>
      </c>
      <c r="D29" s="151" t="s">
        <v>436</v>
      </c>
      <c r="E29" s="151" t="s">
        <v>460</v>
      </c>
      <c r="F29" s="151" t="s">
        <v>203</v>
      </c>
      <c r="G29" s="151" t="str">
        <f t="shared" si="1"/>
        <v>Bed-Paratill   Fold 8R-36 2x1</v>
      </c>
      <c r="H29" s="235">
        <v>69791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1323.3994444460263</v>
      </c>
      <c r="W29" s="9">
        <f t="shared" si="5"/>
        <v>8.8226629629735083</v>
      </c>
      <c r="X29" s="8">
        <f t="shared" si="6"/>
        <v>3780.3458333333333</v>
      </c>
      <c r="Y29" s="7">
        <f t="shared" si="7"/>
        <v>25.202305555555554</v>
      </c>
      <c r="Z29" s="2">
        <f t="shared" si="8"/>
        <v>20937.3</v>
      </c>
      <c r="AA29" s="2">
        <f t="shared" si="9"/>
        <v>4071.1416666666664</v>
      </c>
      <c r="AB29" s="2">
        <f t="shared" si="10"/>
        <v>45364.15</v>
      </c>
      <c r="AC29" s="6">
        <f t="shared" si="11"/>
        <v>4082.7734999999998</v>
      </c>
      <c r="AD29" s="6">
        <f t="shared" si="12"/>
        <v>1088.7396000000001</v>
      </c>
      <c r="AE29" s="6">
        <f t="shared" si="13"/>
        <v>9242.6547666666665</v>
      </c>
      <c r="AF29" s="5">
        <f t="shared" si="14"/>
        <v>61.617698444444443</v>
      </c>
      <c r="AG29" s="207"/>
    </row>
    <row r="30" spans="1:35" x14ac:dyDescent="0.2">
      <c r="A30" s="229">
        <v>417</v>
      </c>
      <c r="B30" s="1" t="str">
        <f t="shared" si="0"/>
        <v>0.26, Bed-Paratill   Fold12R-36</v>
      </c>
      <c r="C30" s="155">
        <v>0.26</v>
      </c>
      <c r="D30" s="151" t="s">
        <v>436</v>
      </c>
      <c r="E30" s="151" t="s">
        <v>460</v>
      </c>
      <c r="F30" s="151" t="s">
        <v>200</v>
      </c>
      <c r="G30" s="151" t="str">
        <f t="shared" si="1"/>
        <v>Bed-Paratill   Fold12R-36</v>
      </c>
      <c r="H30" s="235">
        <v>69791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1323.3994444460263</v>
      </c>
      <c r="W30" s="9">
        <f t="shared" si="5"/>
        <v>8.8226629629735083</v>
      </c>
      <c r="X30" s="8">
        <f t="shared" si="6"/>
        <v>3780.3458333333333</v>
      </c>
      <c r="Y30" s="7">
        <f t="shared" si="7"/>
        <v>25.202305555555554</v>
      </c>
      <c r="Z30" s="2">
        <f t="shared" si="8"/>
        <v>20937.3</v>
      </c>
      <c r="AA30" s="2">
        <f t="shared" si="9"/>
        <v>4071.1416666666664</v>
      </c>
      <c r="AB30" s="2">
        <f t="shared" si="10"/>
        <v>45364.15</v>
      </c>
      <c r="AC30" s="6">
        <f t="shared" si="11"/>
        <v>4082.7734999999998</v>
      </c>
      <c r="AD30" s="6">
        <f t="shared" si="12"/>
        <v>1088.7396000000001</v>
      </c>
      <c r="AE30" s="6">
        <f t="shared" si="13"/>
        <v>9242.6547666666665</v>
      </c>
      <c r="AF30" s="5">
        <f t="shared" si="14"/>
        <v>61.617698444444443</v>
      </c>
      <c r="AG30" s="207"/>
    </row>
    <row r="31" spans="1:35" x14ac:dyDescent="0.2">
      <c r="A31" s="229">
        <v>409</v>
      </c>
      <c r="B31" s="1" t="str">
        <f t="shared" si="0"/>
        <v>0.27, Bed-Paratill   Rigid 4R-30</v>
      </c>
      <c r="C31" s="155">
        <v>0.27</v>
      </c>
      <c r="D31" s="151" t="s">
        <v>436</v>
      </c>
      <c r="E31" s="151" t="s">
        <v>461</v>
      </c>
      <c r="F31" s="151" t="s">
        <v>48</v>
      </c>
      <c r="G31" s="151" t="str">
        <f t="shared" si="1"/>
        <v>Bed-Paratill   Rigid 4R-30</v>
      </c>
      <c r="H31" s="235">
        <v>16665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316.00710323240861</v>
      </c>
      <c r="W31" s="9">
        <f t="shared" si="5"/>
        <v>2.1067140215493909</v>
      </c>
      <c r="X31" s="8">
        <f t="shared" si="6"/>
        <v>902.6875</v>
      </c>
      <c r="Y31" s="7">
        <f t="shared" si="7"/>
        <v>6.0179166666666664</v>
      </c>
      <c r="Z31" s="2">
        <f t="shared" si="8"/>
        <v>4999.5</v>
      </c>
      <c r="AA31" s="2">
        <f t="shared" si="9"/>
        <v>972.125</v>
      </c>
      <c r="AB31" s="2">
        <f t="shared" si="10"/>
        <v>10832.25</v>
      </c>
      <c r="AC31" s="6">
        <f t="shared" si="11"/>
        <v>974.90249999999992</v>
      </c>
      <c r="AD31" s="6">
        <f t="shared" si="12"/>
        <v>259.97399999999999</v>
      </c>
      <c r="AE31" s="6">
        <f t="shared" si="13"/>
        <v>2207.0014999999999</v>
      </c>
      <c r="AF31" s="5">
        <f t="shared" si="14"/>
        <v>14.713343333333333</v>
      </c>
      <c r="AG31" s="207"/>
    </row>
    <row r="32" spans="1:35" x14ac:dyDescent="0.2">
      <c r="A32" s="229">
        <v>142</v>
      </c>
      <c r="B32" s="1" t="str">
        <f t="shared" si="0"/>
        <v>0.28, Bed-Paratill   Rigid 4R-36</v>
      </c>
      <c r="C32" s="155">
        <v>0.28000000000000003</v>
      </c>
      <c r="D32" s="151" t="s">
        <v>436</v>
      </c>
      <c r="E32" s="151" t="s">
        <v>461</v>
      </c>
      <c r="F32" s="151" t="s">
        <v>201</v>
      </c>
      <c r="G32" s="151" t="str">
        <f t="shared" si="1"/>
        <v>Bed-Paratill   Rigid 4R-36</v>
      </c>
      <c r="H32" s="235">
        <v>15352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291.10957388682488</v>
      </c>
      <c r="W32" s="9">
        <f t="shared" si="5"/>
        <v>1.9407304925788325</v>
      </c>
      <c r="X32" s="8">
        <f t="shared" si="6"/>
        <v>831.56666666666661</v>
      </c>
      <c r="Y32" s="7">
        <f t="shared" si="7"/>
        <v>5.5437777777777777</v>
      </c>
      <c r="Z32" s="2">
        <f t="shared" si="8"/>
        <v>4605.6000000000004</v>
      </c>
      <c r="AA32" s="2">
        <f t="shared" si="9"/>
        <v>895.5333333333333</v>
      </c>
      <c r="AB32" s="2">
        <f t="shared" si="10"/>
        <v>9978.7999999999993</v>
      </c>
      <c r="AC32" s="6">
        <f t="shared" si="11"/>
        <v>898.09199999999987</v>
      </c>
      <c r="AD32" s="6">
        <f t="shared" si="12"/>
        <v>239.49119999999999</v>
      </c>
      <c r="AE32" s="6">
        <f t="shared" si="13"/>
        <v>2033.1165333333331</v>
      </c>
      <c r="AF32" s="5">
        <f t="shared" si="14"/>
        <v>13.554110222222221</v>
      </c>
      <c r="AG32" s="207"/>
    </row>
    <row r="33" spans="1:33" x14ac:dyDescent="0.2">
      <c r="A33" s="229">
        <v>410</v>
      </c>
      <c r="B33" s="1" t="str">
        <f t="shared" si="0"/>
        <v>0.29, Bed-Paratill   Rigid 6R-30</v>
      </c>
      <c r="C33" s="155">
        <v>0.28999999999999998</v>
      </c>
      <c r="D33" s="151" t="s">
        <v>436</v>
      </c>
      <c r="E33" s="151" t="s">
        <v>461</v>
      </c>
      <c r="F33" s="151" t="s">
        <v>53</v>
      </c>
      <c r="G33" s="151" t="str">
        <f t="shared" si="1"/>
        <v>Bed-Paratill   Rigid 6R-30</v>
      </c>
      <c r="H33" s="235">
        <v>22826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432.83397170014757</v>
      </c>
      <c r="W33" s="9">
        <f t="shared" si="5"/>
        <v>2.8855598113343173</v>
      </c>
      <c r="X33" s="8">
        <f t="shared" si="6"/>
        <v>1236.4083333333333</v>
      </c>
      <c r="Y33" s="7">
        <f t="shared" si="7"/>
        <v>8.2427222222222216</v>
      </c>
      <c r="Z33" s="2">
        <f t="shared" si="8"/>
        <v>6847.8</v>
      </c>
      <c r="AA33" s="2">
        <f t="shared" si="9"/>
        <v>1331.5166666666667</v>
      </c>
      <c r="AB33" s="2">
        <f t="shared" si="10"/>
        <v>14836.9</v>
      </c>
      <c r="AC33" s="6">
        <f t="shared" si="11"/>
        <v>1335.3209999999999</v>
      </c>
      <c r="AD33" s="6">
        <f t="shared" si="12"/>
        <v>356.0856</v>
      </c>
      <c r="AE33" s="6">
        <f t="shared" si="13"/>
        <v>3022.9232666666662</v>
      </c>
      <c r="AF33" s="5">
        <f t="shared" si="14"/>
        <v>20.152821777777774</v>
      </c>
      <c r="AG33" s="207"/>
    </row>
    <row r="34" spans="1:33" x14ac:dyDescent="0.2">
      <c r="A34" s="229">
        <v>258</v>
      </c>
      <c r="B34" s="1" t="str">
        <f t="shared" si="0"/>
        <v>0.3, Bed-Paratill   Rigid 6R-36</v>
      </c>
      <c r="C34" s="155">
        <v>0.3</v>
      </c>
      <c r="D34" s="151" t="s">
        <v>436</v>
      </c>
      <c r="E34" s="151" t="s">
        <v>461</v>
      </c>
      <c r="F34" s="151" t="s">
        <v>202</v>
      </c>
      <c r="G34" s="151" t="str">
        <f t="shared" si="1"/>
        <v>Bed-Paratill   Rigid 6R-36</v>
      </c>
      <c r="H34" s="235">
        <v>20503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388.78449670411487</v>
      </c>
      <c r="W34" s="9">
        <f t="shared" si="5"/>
        <v>2.5918966446940992</v>
      </c>
      <c r="X34" s="8">
        <f t="shared" si="6"/>
        <v>1110.5791666666667</v>
      </c>
      <c r="Y34" s="7">
        <f t="shared" si="7"/>
        <v>7.4038611111111114</v>
      </c>
      <c r="Z34" s="2">
        <f t="shared" si="8"/>
        <v>6150.9</v>
      </c>
      <c r="AA34" s="2">
        <f t="shared" si="9"/>
        <v>1196.0083333333334</v>
      </c>
      <c r="AB34" s="2">
        <f t="shared" si="10"/>
        <v>13326.95</v>
      </c>
      <c r="AC34" s="6">
        <f t="shared" si="11"/>
        <v>1199.4255000000001</v>
      </c>
      <c r="AD34" s="6">
        <f t="shared" si="12"/>
        <v>319.84680000000003</v>
      </c>
      <c r="AE34" s="6">
        <f t="shared" si="13"/>
        <v>2715.2806333333338</v>
      </c>
      <c r="AF34" s="5">
        <f t="shared" si="14"/>
        <v>18.101870888888893</v>
      </c>
      <c r="AG34" s="207"/>
    </row>
    <row r="35" spans="1:33" x14ac:dyDescent="0.2">
      <c r="A35" s="229">
        <v>414</v>
      </c>
      <c r="B35" s="1" t="str">
        <f t="shared" si="0"/>
        <v>0.31, Bed-Paratill   Rigid 8R-30</v>
      </c>
      <c r="C35" s="155">
        <v>0.31</v>
      </c>
      <c r="D35" s="151" t="s">
        <v>436</v>
      </c>
      <c r="E35" s="151" t="s">
        <v>461</v>
      </c>
      <c r="F35" s="151" t="s">
        <v>25</v>
      </c>
      <c r="G35" s="151" t="str">
        <f t="shared" si="1"/>
        <v>Bed-Paratill   Rigid 8R-30</v>
      </c>
      <c r="H35" s="235">
        <v>27472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520.93292169221297</v>
      </c>
      <c r="W35" s="9">
        <f t="shared" si="5"/>
        <v>3.472886144614753</v>
      </c>
      <c r="X35" s="8">
        <f t="shared" si="6"/>
        <v>1488.0666666666666</v>
      </c>
      <c r="Y35" s="7">
        <f t="shared" si="7"/>
        <v>9.9204444444444437</v>
      </c>
      <c r="Z35" s="2">
        <f t="shared" si="8"/>
        <v>8241.6</v>
      </c>
      <c r="AA35" s="2">
        <f t="shared" si="9"/>
        <v>1602.5333333333335</v>
      </c>
      <c r="AB35" s="2">
        <f t="shared" si="10"/>
        <v>17856.8</v>
      </c>
      <c r="AC35" s="6">
        <f t="shared" si="11"/>
        <v>1607.1119999999999</v>
      </c>
      <c r="AD35" s="6">
        <f t="shared" si="12"/>
        <v>428.56319999999999</v>
      </c>
      <c r="AE35" s="6">
        <f t="shared" si="13"/>
        <v>3638.2085333333334</v>
      </c>
      <c r="AF35" s="5">
        <f t="shared" si="14"/>
        <v>24.254723555555557</v>
      </c>
      <c r="AG35" s="207"/>
    </row>
    <row r="36" spans="1:33" x14ac:dyDescent="0.2">
      <c r="A36" s="229">
        <v>415</v>
      </c>
      <c r="B36" s="1" t="str">
        <f t="shared" si="0"/>
        <v>0.32, Bed-Paratill   Rigid 8R-36</v>
      </c>
      <c r="C36" s="155">
        <v>0.32</v>
      </c>
      <c r="D36" s="151" t="s">
        <v>436</v>
      </c>
      <c r="E36" s="151" t="s">
        <v>461</v>
      </c>
      <c r="F36" s="151" t="s">
        <v>199</v>
      </c>
      <c r="G36" s="151" t="str">
        <f t="shared" si="1"/>
        <v>Bed-Paratill   Rigid 8R-36</v>
      </c>
      <c r="H36" s="235">
        <v>24745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469.22266843600067</v>
      </c>
      <c r="W36" s="9">
        <f t="shared" si="5"/>
        <v>3.128151122906671</v>
      </c>
      <c r="X36" s="8">
        <f t="shared" si="6"/>
        <v>1340.3541666666667</v>
      </c>
      <c r="Y36" s="7">
        <f t="shared" si="7"/>
        <v>8.9356944444444455</v>
      </c>
      <c r="Z36" s="2">
        <f t="shared" si="8"/>
        <v>7423.5</v>
      </c>
      <c r="AA36" s="2">
        <f t="shared" si="9"/>
        <v>1443.4583333333333</v>
      </c>
      <c r="AB36" s="2">
        <f t="shared" si="10"/>
        <v>16084.25</v>
      </c>
      <c r="AC36" s="6">
        <f t="shared" si="11"/>
        <v>1447.5825</v>
      </c>
      <c r="AD36" s="6">
        <f t="shared" si="12"/>
        <v>386.02199999999999</v>
      </c>
      <c r="AE36" s="6">
        <f t="shared" si="13"/>
        <v>3277.0628333333334</v>
      </c>
      <c r="AF36" s="5">
        <f t="shared" si="14"/>
        <v>21.847085555555555</v>
      </c>
      <c r="AG36" s="207"/>
    </row>
    <row r="37" spans="1:33" x14ac:dyDescent="0.2">
      <c r="A37" s="229">
        <v>609</v>
      </c>
      <c r="B37" s="1" t="str">
        <f t="shared" si="0"/>
        <v>0.33, Bed-Paratill   Rigid10R-30</v>
      </c>
      <c r="C37" s="155">
        <v>0.33</v>
      </c>
      <c r="D37" s="151" t="s">
        <v>436</v>
      </c>
      <c r="E37" s="151" t="s">
        <v>461</v>
      </c>
      <c r="F37" s="151" t="s">
        <v>24</v>
      </c>
      <c r="G37" s="151" t="str">
        <f t="shared" si="1"/>
        <v>Bed-Paratill   Rigid10R-30</v>
      </c>
      <c r="H37" s="235">
        <v>30300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574.55836951347021</v>
      </c>
      <c r="W37" s="9">
        <f t="shared" si="5"/>
        <v>3.8303891300898014</v>
      </c>
      <c r="X37" s="8">
        <f t="shared" si="6"/>
        <v>1641.25</v>
      </c>
      <c r="Y37" s="7">
        <f t="shared" si="7"/>
        <v>10.941666666666666</v>
      </c>
      <c r="Z37" s="2">
        <f t="shared" si="8"/>
        <v>9090</v>
      </c>
      <c r="AA37" s="2">
        <f t="shared" si="9"/>
        <v>1767.5</v>
      </c>
      <c r="AB37" s="2">
        <f t="shared" si="10"/>
        <v>19695</v>
      </c>
      <c r="AC37" s="6">
        <f t="shared" si="11"/>
        <v>1772.55</v>
      </c>
      <c r="AD37" s="6">
        <f t="shared" si="12"/>
        <v>472.68</v>
      </c>
      <c r="AE37" s="6">
        <f t="shared" si="13"/>
        <v>4012.73</v>
      </c>
      <c r="AF37" s="5">
        <f t="shared" si="14"/>
        <v>26.751533333333334</v>
      </c>
      <c r="AG37" s="207"/>
    </row>
    <row r="38" spans="1:33" x14ac:dyDescent="0.2">
      <c r="A38" s="229">
        <v>401</v>
      </c>
      <c r="B38" s="1" t="str">
        <f t="shared" si="0"/>
        <v>0.34, Bed-Paratill  w/rol4R-30</v>
      </c>
      <c r="C38" s="155">
        <v>0.34</v>
      </c>
      <c r="D38" s="151" t="s">
        <v>436</v>
      </c>
      <c r="E38" s="151" t="s">
        <v>462</v>
      </c>
      <c r="F38" s="151" t="s">
        <v>0</v>
      </c>
      <c r="G38" s="151" t="str">
        <f t="shared" si="1"/>
        <v>Bed-Paratill  w/rol4R-30</v>
      </c>
      <c r="H38" s="235">
        <v>17776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337.07424344790252</v>
      </c>
      <c r="W38" s="9">
        <f t="shared" si="5"/>
        <v>2.2471616229860167</v>
      </c>
      <c r="X38" s="8">
        <f t="shared" si="6"/>
        <v>962.86666666666667</v>
      </c>
      <c r="Y38" s="7">
        <f t="shared" si="7"/>
        <v>6.4191111111111114</v>
      </c>
      <c r="Z38" s="2">
        <f t="shared" si="8"/>
        <v>5332.8</v>
      </c>
      <c r="AA38" s="2">
        <f t="shared" si="9"/>
        <v>1036.9333333333334</v>
      </c>
      <c r="AB38" s="2">
        <f t="shared" si="10"/>
        <v>11554.4</v>
      </c>
      <c r="AC38" s="6">
        <f t="shared" si="11"/>
        <v>1039.896</v>
      </c>
      <c r="AD38" s="6">
        <f t="shared" si="12"/>
        <v>277.30559999999997</v>
      </c>
      <c r="AE38" s="6">
        <f t="shared" si="13"/>
        <v>2354.1349333333333</v>
      </c>
      <c r="AF38" s="5">
        <f t="shared" si="14"/>
        <v>15.694232888888889</v>
      </c>
      <c r="AG38" s="207"/>
    </row>
    <row r="39" spans="1:33" x14ac:dyDescent="0.2">
      <c r="A39" s="229">
        <v>290</v>
      </c>
      <c r="B39" s="1" t="str">
        <f t="shared" si="0"/>
        <v>0.35, Bed-Paratill  w/roll 4R-36</v>
      </c>
      <c r="C39" s="155">
        <v>0.35</v>
      </c>
      <c r="D39" s="151" t="s">
        <v>436</v>
      </c>
      <c r="E39" s="151" t="s">
        <v>470</v>
      </c>
      <c r="F39" s="151" t="s">
        <v>73</v>
      </c>
      <c r="G39" s="151" t="str">
        <f t="shared" si="1"/>
        <v>Bed-Paratill  w/roll 4R-36</v>
      </c>
      <c r="H39" s="235">
        <v>17776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337.07424344790252</v>
      </c>
      <c r="W39" s="9">
        <f t="shared" si="5"/>
        <v>2.2471616229860167</v>
      </c>
      <c r="X39" s="8">
        <f t="shared" si="6"/>
        <v>962.86666666666667</v>
      </c>
      <c r="Y39" s="7">
        <f t="shared" si="7"/>
        <v>6.4191111111111114</v>
      </c>
      <c r="Z39" s="2">
        <f t="shared" si="8"/>
        <v>5332.8</v>
      </c>
      <c r="AA39" s="2">
        <f t="shared" si="9"/>
        <v>1036.9333333333334</v>
      </c>
      <c r="AB39" s="2">
        <f t="shared" si="10"/>
        <v>11554.4</v>
      </c>
      <c r="AC39" s="6">
        <f t="shared" si="11"/>
        <v>1039.896</v>
      </c>
      <c r="AD39" s="6">
        <f t="shared" si="12"/>
        <v>277.30559999999997</v>
      </c>
      <c r="AE39" s="6">
        <f t="shared" si="13"/>
        <v>2354.1349333333333</v>
      </c>
      <c r="AF39" s="5">
        <f t="shared" si="14"/>
        <v>15.694232888888889</v>
      </c>
      <c r="AG39" s="207"/>
    </row>
    <row r="40" spans="1:33" x14ac:dyDescent="0.2">
      <c r="A40" s="229">
        <v>289</v>
      </c>
      <c r="B40" s="1" t="str">
        <f t="shared" si="0"/>
        <v>0.36, Bed-Paratill  w/roll 6R-36</v>
      </c>
      <c r="C40" s="155">
        <v>0.36</v>
      </c>
      <c r="D40" s="151" t="s">
        <v>436</v>
      </c>
      <c r="E40" s="151" t="s">
        <v>470</v>
      </c>
      <c r="F40" s="151" t="s">
        <v>206</v>
      </c>
      <c r="G40" s="151" t="str">
        <f t="shared" si="1"/>
        <v>Bed-Paratill  w/roll 6R-36</v>
      </c>
      <c r="H40" s="235">
        <v>22927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434.74916626519246</v>
      </c>
      <c r="W40" s="9">
        <f t="shared" si="5"/>
        <v>2.8983277751012833</v>
      </c>
      <c r="X40" s="8">
        <f t="shared" si="6"/>
        <v>1241.8791666666666</v>
      </c>
      <c r="Y40" s="7">
        <f t="shared" si="7"/>
        <v>8.2791944444444443</v>
      </c>
      <c r="Z40" s="2">
        <f t="shared" si="8"/>
        <v>6878.1</v>
      </c>
      <c r="AA40" s="2">
        <f t="shared" si="9"/>
        <v>1337.4083333333333</v>
      </c>
      <c r="AB40" s="2">
        <f t="shared" si="10"/>
        <v>14902.55</v>
      </c>
      <c r="AC40" s="6">
        <f t="shared" si="11"/>
        <v>1341.2294999999999</v>
      </c>
      <c r="AD40" s="6">
        <f t="shared" si="12"/>
        <v>357.66120000000001</v>
      </c>
      <c r="AE40" s="6">
        <f t="shared" si="13"/>
        <v>3036.2990333333332</v>
      </c>
      <c r="AF40" s="5">
        <f t="shared" si="14"/>
        <v>20.241993555555556</v>
      </c>
      <c r="AG40" s="207"/>
    </row>
    <row r="41" spans="1:33" x14ac:dyDescent="0.2">
      <c r="A41" s="229">
        <v>574</v>
      </c>
      <c r="B41" s="1" t="str">
        <f t="shared" si="0"/>
        <v>0.37, Bed-Rip/Disk Fold. 8R-36</v>
      </c>
      <c r="C41" s="155">
        <v>0.37</v>
      </c>
      <c r="D41" s="151" t="s">
        <v>436</v>
      </c>
      <c r="E41" s="151" t="s">
        <v>463</v>
      </c>
      <c r="F41" s="151" t="s">
        <v>199</v>
      </c>
      <c r="G41" s="151" t="str">
        <f t="shared" si="1"/>
        <v>Bed-Rip/Disk Fold. 8R-36</v>
      </c>
      <c r="H41" s="235">
        <v>38380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1920.6069282269589</v>
      </c>
      <c r="W41" s="9">
        <f t="shared" si="5"/>
        <v>6.4020230940898628</v>
      </c>
      <c r="X41" s="8">
        <f t="shared" si="6"/>
        <v>575.70000000000005</v>
      </c>
      <c r="Y41" s="7">
        <f t="shared" si="7"/>
        <v>1.9190000000000003</v>
      </c>
      <c r="Z41" s="2">
        <f t="shared" si="8"/>
        <v>11514</v>
      </c>
      <c r="AA41" s="2">
        <f t="shared" si="9"/>
        <v>1343.3</v>
      </c>
      <c r="AB41" s="2">
        <f t="shared" si="10"/>
        <v>24947</v>
      </c>
      <c r="AC41" s="6">
        <f t="shared" si="11"/>
        <v>2245.23</v>
      </c>
      <c r="AD41" s="6">
        <f t="shared" si="12"/>
        <v>598.72800000000007</v>
      </c>
      <c r="AE41" s="6">
        <f t="shared" si="13"/>
        <v>4187.2579999999998</v>
      </c>
      <c r="AF41" s="5">
        <f t="shared" si="14"/>
        <v>13.957526666666666</v>
      </c>
      <c r="AG41" s="207"/>
    </row>
    <row r="42" spans="1:33" x14ac:dyDescent="0.2">
      <c r="A42" s="229">
        <v>622</v>
      </c>
      <c r="B42" s="1" t="str">
        <f t="shared" si="0"/>
        <v>0.38, Bed-Rip/Disk Fold.12R-30</v>
      </c>
      <c r="C42" s="155">
        <v>0.38</v>
      </c>
      <c r="D42" s="151" t="s">
        <v>436</v>
      </c>
      <c r="E42" s="151" t="s">
        <v>463</v>
      </c>
      <c r="F42" s="151" t="s">
        <v>6</v>
      </c>
      <c r="G42" s="151" t="str">
        <f t="shared" si="1"/>
        <v>Bed-Rip/Disk Fold.12R-30</v>
      </c>
      <c r="H42" s="235">
        <v>53732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2688.8496995177425</v>
      </c>
      <c r="W42" s="9">
        <f t="shared" si="5"/>
        <v>8.9628323317258083</v>
      </c>
      <c r="X42" s="8">
        <f t="shared" si="6"/>
        <v>805.98</v>
      </c>
      <c r="Y42" s="7">
        <f t="shared" si="7"/>
        <v>2.6865999999999999</v>
      </c>
      <c r="Z42" s="2">
        <f t="shared" si="8"/>
        <v>16119.6</v>
      </c>
      <c r="AA42" s="2">
        <f t="shared" si="9"/>
        <v>1880.6200000000001</v>
      </c>
      <c r="AB42" s="2">
        <f t="shared" si="10"/>
        <v>34925.800000000003</v>
      </c>
      <c r="AC42" s="6">
        <f t="shared" si="11"/>
        <v>3143.3220000000001</v>
      </c>
      <c r="AD42" s="6">
        <f t="shared" si="12"/>
        <v>838.21920000000011</v>
      </c>
      <c r="AE42" s="6">
        <f t="shared" si="13"/>
        <v>5862.1612000000005</v>
      </c>
      <c r="AF42" s="5">
        <f t="shared" si="14"/>
        <v>19.540537333333337</v>
      </c>
      <c r="AG42" s="207"/>
    </row>
    <row r="43" spans="1:33" x14ac:dyDescent="0.2">
      <c r="A43" s="229">
        <v>571</v>
      </c>
      <c r="B43" s="1" t="str">
        <f t="shared" si="0"/>
        <v>0.39, Bed-Rip/Disk Fold.12R-36</v>
      </c>
      <c r="C43" s="155">
        <v>0.39</v>
      </c>
      <c r="D43" s="151" t="s">
        <v>436</v>
      </c>
      <c r="E43" s="151" t="s">
        <v>463</v>
      </c>
      <c r="F43" s="151" t="s">
        <v>200</v>
      </c>
      <c r="G43" s="151" t="str">
        <f t="shared" si="1"/>
        <v>Bed-Rip/Disk Fold.12R-36</v>
      </c>
      <c r="H43" s="235">
        <v>53732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2688.8496995177425</v>
      </c>
      <c r="W43" s="9">
        <f t="shared" si="5"/>
        <v>8.9628323317258083</v>
      </c>
      <c r="X43" s="8">
        <f t="shared" si="6"/>
        <v>805.98</v>
      </c>
      <c r="Y43" s="7">
        <f t="shared" si="7"/>
        <v>2.6865999999999999</v>
      </c>
      <c r="Z43" s="2">
        <f t="shared" si="8"/>
        <v>16119.6</v>
      </c>
      <c r="AA43" s="2">
        <f t="shared" si="9"/>
        <v>1880.6200000000001</v>
      </c>
      <c r="AB43" s="2">
        <f t="shared" si="10"/>
        <v>34925.800000000003</v>
      </c>
      <c r="AC43" s="6">
        <f t="shared" si="11"/>
        <v>3143.3220000000001</v>
      </c>
      <c r="AD43" s="6">
        <f t="shared" si="12"/>
        <v>838.21920000000011</v>
      </c>
      <c r="AE43" s="6">
        <f t="shared" si="13"/>
        <v>5862.1612000000005</v>
      </c>
      <c r="AF43" s="5">
        <f t="shared" si="14"/>
        <v>19.540537333333337</v>
      </c>
      <c r="AG43" s="207"/>
    </row>
    <row r="44" spans="1:33" x14ac:dyDescent="0.2">
      <c r="A44" s="229">
        <v>607</v>
      </c>
      <c r="B44" s="1" t="str">
        <f t="shared" si="0"/>
        <v>0.4, Bed-Rip/Disk Rigid 4R-30</v>
      </c>
      <c r="C44" s="155">
        <v>0.4</v>
      </c>
      <c r="D44" s="151" t="s">
        <v>436</v>
      </c>
      <c r="E44" s="151" t="s">
        <v>464</v>
      </c>
      <c r="F44" s="151" t="s">
        <v>48</v>
      </c>
      <c r="G44" s="151" t="str">
        <f t="shared" si="1"/>
        <v>Bed-Rip/Disk Rigid 4R-30</v>
      </c>
      <c r="H44" s="235">
        <v>16867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844.05620266816345</v>
      </c>
      <c r="W44" s="9">
        <f t="shared" si="5"/>
        <v>2.8135206755605449</v>
      </c>
      <c r="X44" s="8">
        <f t="shared" si="6"/>
        <v>253.00500000000002</v>
      </c>
      <c r="Y44" s="7">
        <f t="shared" si="7"/>
        <v>0.84335000000000004</v>
      </c>
      <c r="Z44" s="2">
        <f t="shared" si="8"/>
        <v>5060.1000000000004</v>
      </c>
      <c r="AA44" s="2">
        <f t="shared" si="9"/>
        <v>590.34500000000003</v>
      </c>
      <c r="AB44" s="2">
        <f t="shared" si="10"/>
        <v>10963.55</v>
      </c>
      <c r="AC44" s="6">
        <f t="shared" si="11"/>
        <v>986.71949999999993</v>
      </c>
      <c r="AD44" s="6">
        <f t="shared" si="12"/>
        <v>263.12520000000001</v>
      </c>
      <c r="AE44" s="6">
        <f t="shared" si="13"/>
        <v>1840.1896999999999</v>
      </c>
      <c r="AF44" s="5">
        <f t="shared" si="14"/>
        <v>6.1339656666666666</v>
      </c>
      <c r="AG44" s="207"/>
    </row>
    <row r="45" spans="1:33" x14ac:dyDescent="0.2">
      <c r="A45" s="229">
        <v>608</v>
      </c>
      <c r="B45" s="1" t="str">
        <f t="shared" si="0"/>
        <v>0.41, Bed-Rip/Disk Rigid 4R-36</v>
      </c>
      <c r="C45" s="155">
        <v>0.41</v>
      </c>
      <c r="D45" s="151" t="s">
        <v>436</v>
      </c>
      <c r="E45" s="151" t="s">
        <v>464</v>
      </c>
      <c r="F45" s="151" t="s">
        <v>201</v>
      </c>
      <c r="G45" s="151" t="str">
        <f t="shared" si="1"/>
        <v>Bed-Rip/Disk Rigid 4R-36</v>
      </c>
      <c r="H45" s="235">
        <v>16867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844.05620266816345</v>
      </c>
      <c r="W45" s="9">
        <f t="shared" si="5"/>
        <v>2.8135206755605449</v>
      </c>
      <c r="X45" s="8">
        <f t="shared" si="6"/>
        <v>253.00500000000002</v>
      </c>
      <c r="Y45" s="7">
        <f t="shared" si="7"/>
        <v>0.84335000000000004</v>
      </c>
      <c r="Z45" s="2">
        <f t="shared" si="8"/>
        <v>5060.1000000000004</v>
      </c>
      <c r="AA45" s="2">
        <f t="shared" si="9"/>
        <v>590.34500000000003</v>
      </c>
      <c r="AB45" s="2">
        <f t="shared" si="10"/>
        <v>10963.55</v>
      </c>
      <c r="AC45" s="6">
        <f t="shared" si="11"/>
        <v>986.71949999999993</v>
      </c>
      <c r="AD45" s="6">
        <f t="shared" si="12"/>
        <v>263.12520000000001</v>
      </c>
      <c r="AE45" s="6">
        <f t="shared" si="13"/>
        <v>1840.1896999999999</v>
      </c>
      <c r="AF45" s="5">
        <f t="shared" si="14"/>
        <v>6.1339656666666666</v>
      </c>
      <c r="AG45" s="207"/>
    </row>
    <row r="46" spans="1:33" x14ac:dyDescent="0.2">
      <c r="A46" s="229">
        <v>573</v>
      </c>
      <c r="B46" s="1" t="str">
        <f t="shared" si="0"/>
        <v>0.42, Bed-Rip/Disk Rigid 8R-30</v>
      </c>
      <c r="C46" s="155">
        <v>0.42</v>
      </c>
      <c r="D46" s="151" t="s">
        <v>436</v>
      </c>
      <c r="E46" s="151" t="s">
        <v>464</v>
      </c>
      <c r="F46" s="151" t="s">
        <v>25</v>
      </c>
      <c r="G46" s="151" t="str">
        <f t="shared" si="1"/>
        <v>Bed-Rip/Disk Rigid 8R-30</v>
      </c>
      <c r="H46" s="235">
        <v>30098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1506.1601700306153</v>
      </c>
      <c r="W46" s="9">
        <f t="shared" si="5"/>
        <v>5.020533900102051</v>
      </c>
      <c r="X46" s="8">
        <f t="shared" si="6"/>
        <v>451.46999999999997</v>
      </c>
      <c r="Y46" s="7">
        <f t="shared" si="7"/>
        <v>1.5048999999999999</v>
      </c>
      <c r="Z46" s="2">
        <f t="shared" si="8"/>
        <v>9029.4</v>
      </c>
      <c r="AA46" s="2">
        <f t="shared" si="9"/>
        <v>1053.4299999999998</v>
      </c>
      <c r="AB46" s="2">
        <f t="shared" si="10"/>
        <v>19563.7</v>
      </c>
      <c r="AC46" s="6">
        <f t="shared" si="11"/>
        <v>1760.7329999999999</v>
      </c>
      <c r="AD46" s="6">
        <f t="shared" si="12"/>
        <v>469.52880000000005</v>
      </c>
      <c r="AE46" s="6">
        <f t="shared" si="13"/>
        <v>3283.6917999999996</v>
      </c>
      <c r="AF46" s="5">
        <f t="shared" si="14"/>
        <v>10.945639333333332</v>
      </c>
      <c r="AG46" s="207"/>
    </row>
    <row r="47" spans="1:33" x14ac:dyDescent="0.2">
      <c r="A47" s="229">
        <v>572</v>
      </c>
      <c r="B47" s="1" t="str">
        <f t="shared" si="0"/>
        <v>0.43, Bed-Rip/Disk Rigid 6R-36</v>
      </c>
      <c r="C47" s="155">
        <v>0.43</v>
      </c>
      <c r="D47" s="151" t="s">
        <v>436</v>
      </c>
      <c r="E47" s="151" t="s">
        <v>464</v>
      </c>
      <c r="F47" s="151" t="s">
        <v>202</v>
      </c>
      <c r="G47" s="151" t="str">
        <f t="shared" si="1"/>
        <v>Bed-Rip/Disk Rigid 6R-36</v>
      </c>
      <c r="H47" s="235">
        <v>23230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1162.4726144531594</v>
      </c>
      <c r="W47" s="9">
        <f t="shared" si="5"/>
        <v>3.8749087148438646</v>
      </c>
      <c r="X47" s="8">
        <f t="shared" si="6"/>
        <v>348.45</v>
      </c>
      <c r="Y47" s="7">
        <f t="shared" si="7"/>
        <v>1.1615</v>
      </c>
      <c r="Z47" s="2">
        <f t="shared" si="8"/>
        <v>6969</v>
      </c>
      <c r="AA47" s="2">
        <f t="shared" si="9"/>
        <v>813.05</v>
      </c>
      <c r="AB47" s="2">
        <f t="shared" si="10"/>
        <v>15099.5</v>
      </c>
      <c r="AC47" s="6">
        <f t="shared" si="11"/>
        <v>1358.9549999999999</v>
      </c>
      <c r="AD47" s="6">
        <f t="shared" si="12"/>
        <v>362.38800000000003</v>
      </c>
      <c r="AE47" s="6">
        <f t="shared" si="13"/>
        <v>2534.393</v>
      </c>
      <c r="AF47" s="5">
        <f t="shared" si="14"/>
        <v>8.4479766666666674</v>
      </c>
      <c r="AG47" s="207"/>
    </row>
    <row r="48" spans="1:33" x14ac:dyDescent="0.2">
      <c r="A48" s="229">
        <v>623</v>
      </c>
      <c r="B48" s="1" t="str">
        <f t="shared" si="0"/>
        <v>0.44, Bed-Rip/Disk Rigid 8R-36</v>
      </c>
      <c r="C48" s="155">
        <v>0.44</v>
      </c>
      <c r="D48" s="151" t="s">
        <v>436</v>
      </c>
      <c r="E48" s="151" t="s">
        <v>464</v>
      </c>
      <c r="F48" s="151" t="s">
        <v>199</v>
      </c>
      <c r="G48" s="151" t="str">
        <f t="shared" si="1"/>
        <v>Bed-Rip/Disk Rigid 8R-36</v>
      </c>
      <c r="H48" s="235">
        <v>23230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1162.4726144531594</v>
      </c>
      <c r="W48" s="9">
        <f t="shared" si="5"/>
        <v>3.8749087148438646</v>
      </c>
      <c r="X48" s="8">
        <f t="shared" si="6"/>
        <v>348.45</v>
      </c>
      <c r="Y48" s="7">
        <f t="shared" si="7"/>
        <v>1.1615</v>
      </c>
      <c r="Z48" s="2">
        <f t="shared" si="8"/>
        <v>6969</v>
      </c>
      <c r="AA48" s="2">
        <f t="shared" si="9"/>
        <v>813.05</v>
      </c>
      <c r="AB48" s="2">
        <f t="shared" si="10"/>
        <v>15099.5</v>
      </c>
      <c r="AC48" s="6">
        <f t="shared" si="11"/>
        <v>1358.9549999999999</v>
      </c>
      <c r="AD48" s="6">
        <f t="shared" si="12"/>
        <v>362.38800000000003</v>
      </c>
      <c r="AE48" s="6">
        <f t="shared" si="13"/>
        <v>2534.393</v>
      </c>
      <c r="AF48" s="5">
        <f t="shared" si="14"/>
        <v>8.4479766666666674</v>
      </c>
      <c r="AG48" s="207"/>
    </row>
    <row r="49" spans="1:35" x14ac:dyDescent="0.2">
      <c r="A49" s="229">
        <v>624</v>
      </c>
      <c r="B49" s="1" t="str">
        <f t="shared" si="0"/>
        <v>0.45, Bed-Rip/Disk Rigid 6R-30</v>
      </c>
      <c r="C49" s="155">
        <v>0.45</v>
      </c>
      <c r="D49" s="151" t="s">
        <v>436</v>
      </c>
      <c r="E49" s="151" t="s">
        <v>465</v>
      </c>
      <c r="F49" s="151" t="s">
        <v>47</v>
      </c>
      <c r="G49" s="151" t="str">
        <f t="shared" si="1"/>
        <v>Bed-Rip/Disk Rigid 6R-30</v>
      </c>
      <c r="H49" s="235">
        <v>30098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1506.1601700306153</v>
      </c>
      <c r="W49" s="9">
        <f t="shared" si="5"/>
        <v>5.020533900102051</v>
      </c>
      <c r="X49" s="8">
        <f t="shared" si="6"/>
        <v>451.46999999999997</v>
      </c>
      <c r="Y49" s="7">
        <f t="shared" si="7"/>
        <v>1.5048999999999999</v>
      </c>
      <c r="Z49" s="2">
        <f t="shared" si="8"/>
        <v>9029.4</v>
      </c>
      <c r="AA49" s="2">
        <f t="shared" si="9"/>
        <v>1053.4299999999998</v>
      </c>
      <c r="AB49" s="2">
        <f t="shared" si="10"/>
        <v>19563.7</v>
      </c>
      <c r="AC49" s="6">
        <f t="shared" si="11"/>
        <v>1760.7329999999999</v>
      </c>
      <c r="AD49" s="6">
        <f t="shared" si="12"/>
        <v>469.52880000000005</v>
      </c>
      <c r="AE49" s="6">
        <f t="shared" si="13"/>
        <v>3283.6917999999996</v>
      </c>
      <c r="AF49" s="5">
        <f t="shared" si="14"/>
        <v>10.945639333333332</v>
      </c>
      <c r="AG49" s="207"/>
    </row>
    <row r="50" spans="1:35" x14ac:dyDescent="0.2">
      <c r="A50" s="229">
        <v>516</v>
      </c>
      <c r="B50" s="1" t="str">
        <f t="shared" si="0"/>
        <v>0.46, Bed-Rip/Disk/Cond. 6-Row</v>
      </c>
      <c r="C50" s="155">
        <v>0.46</v>
      </c>
      <c r="D50" s="151" t="s">
        <v>436</v>
      </c>
      <c r="E50" s="151" t="s">
        <v>466</v>
      </c>
      <c r="F50" s="151" t="s">
        <v>46</v>
      </c>
      <c r="G50" s="151" t="str">
        <f t="shared" si="1"/>
        <v>Bed-Rip/Disk/Cond. 6-Row</v>
      </c>
      <c r="H50" s="235">
        <v>24139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457.73150104573131</v>
      </c>
      <c r="W50" s="9">
        <f t="shared" si="5"/>
        <v>3.0515433403048755</v>
      </c>
      <c r="X50" s="8">
        <f t="shared" si="6"/>
        <v>1307.5291666666667</v>
      </c>
      <c r="Y50" s="7">
        <f t="shared" si="7"/>
        <v>8.7168611111111112</v>
      </c>
      <c r="Z50" s="2">
        <f t="shared" si="8"/>
        <v>7241.7</v>
      </c>
      <c r="AA50" s="2">
        <f t="shared" si="9"/>
        <v>1408.1083333333333</v>
      </c>
      <c r="AB50" s="2">
        <f t="shared" si="10"/>
        <v>15690.35</v>
      </c>
      <c r="AC50" s="6">
        <f t="shared" si="11"/>
        <v>1412.1315</v>
      </c>
      <c r="AD50" s="6">
        <f t="shared" si="12"/>
        <v>376.5684</v>
      </c>
      <c r="AE50" s="6">
        <f t="shared" si="13"/>
        <v>3196.8082333333332</v>
      </c>
      <c r="AF50" s="5">
        <f t="shared" si="14"/>
        <v>21.312054888888888</v>
      </c>
      <c r="AG50" s="207"/>
    </row>
    <row r="51" spans="1:35" x14ac:dyDescent="0.2">
      <c r="A51" s="229">
        <v>517</v>
      </c>
      <c r="B51" s="1" t="str">
        <f t="shared" si="0"/>
        <v>0.47, Bed-Rip/Disk/Cond. 8-Row</v>
      </c>
      <c r="C51" s="155">
        <v>0.47</v>
      </c>
      <c r="D51" s="151" t="s">
        <v>436</v>
      </c>
      <c r="E51" s="151" t="s">
        <v>466</v>
      </c>
      <c r="F51" s="151" t="s">
        <v>45</v>
      </c>
      <c r="G51" s="151" t="str">
        <f t="shared" si="1"/>
        <v>Bed-Rip/Disk/Cond. 8-Row</v>
      </c>
      <c r="H51" s="235">
        <v>31714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601.37109342409883</v>
      </c>
      <c r="W51" s="9">
        <f t="shared" si="5"/>
        <v>4.0091406228273252</v>
      </c>
      <c r="X51" s="8">
        <f t="shared" si="6"/>
        <v>1717.8416666666665</v>
      </c>
      <c r="Y51" s="7">
        <f t="shared" si="7"/>
        <v>11.452277777777777</v>
      </c>
      <c r="Z51" s="2">
        <f t="shared" si="8"/>
        <v>9514.2000000000007</v>
      </c>
      <c r="AA51" s="2">
        <f t="shared" si="9"/>
        <v>1849.9833333333333</v>
      </c>
      <c r="AB51" s="2">
        <f t="shared" si="10"/>
        <v>20614.099999999999</v>
      </c>
      <c r="AC51" s="6">
        <f t="shared" si="11"/>
        <v>1855.2689999999998</v>
      </c>
      <c r="AD51" s="6">
        <f t="shared" si="12"/>
        <v>494.73839999999996</v>
      </c>
      <c r="AE51" s="6">
        <f t="shared" si="13"/>
        <v>4199.9907333333331</v>
      </c>
      <c r="AF51" s="5">
        <f t="shared" si="14"/>
        <v>27.99993822222222</v>
      </c>
      <c r="AG51" s="207"/>
    </row>
    <row r="52" spans="1:35" x14ac:dyDescent="0.2">
      <c r="A52" s="229">
        <v>510</v>
      </c>
      <c r="B52" s="1" t="str">
        <f t="shared" si="0"/>
        <v>0.48, Bed-Roll-Fold. 8R-36</v>
      </c>
      <c r="C52" s="155">
        <v>0.48</v>
      </c>
      <c r="D52" s="151" t="s">
        <v>436</v>
      </c>
      <c r="E52" s="151" t="s">
        <v>467</v>
      </c>
      <c r="F52" s="151" t="s">
        <v>199</v>
      </c>
      <c r="G52" s="151" t="str">
        <f t="shared" si="1"/>
        <v>Bed-Roll-Fold. 8R-36</v>
      </c>
      <c r="H52" s="231">
        <v>27270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566.00058207756047</v>
      </c>
      <c r="W52" s="9">
        <f t="shared" si="5"/>
        <v>3.5375036379847531</v>
      </c>
      <c r="X52" s="8">
        <f t="shared" si="6"/>
        <v>1090.8</v>
      </c>
      <c r="Y52" s="7">
        <f t="shared" si="7"/>
        <v>6.8174999999999999</v>
      </c>
      <c r="Z52" s="2">
        <f t="shared" si="8"/>
        <v>8181</v>
      </c>
      <c r="AA52" s="2">
        <f t="shared" si="9"/>
        <v>1908.9</v>
      </c>
      <c r="AB52" s="2">
        <f t="shared" si="10"/>
        <v>17725.5</v>
      </c>
      <c r="AC52" s="6">
        <f t="shared" si="11"/>
        <v>1595.2949999999998</v>
      </c>
      <c r="AD52" s="6">
        <f t="shared" si="12"/>
        <v>425.41200000000003</v>
      </c>
      <c r="AE52" s="6">
        <f t="shared" si="13"/>
        <v>3929.607</v>
      </c>
      <c r="AF52" s="5">
        <f t="shared" si="14"/>
        <v>24.560043749999998</v>
      </c>
      <c r="AG52" s="207"/>
    </row>
    <row r="53" spans="1:35" x14ac:dyDescent="0.2">
      <c r="A53" s="229">
        <v>512</v>
      </c>
      <c r="B53" s="1" t="str">
        <f t="shared" si="0"/>
        <v>0.49, Bed-Roll-Fold. 12R-30</v>
      </c>
      <c r="C53" s="155">
        <v>0.49</v>
      </c>
      <c r="D53" s="151" t="s">
        <v>436</v>
      </c>
      <c r="E53" s="151" t="s">
        <v>468</v>
      </c>
      <c r="F53" s="151" t="s">
        <v>6</v>
      </c>
      <c r="G53" s="151" t="str">
        <f t="shared" si="1"/>
        <v>Bed-Roll-Fold. 12R-30</v>
      </c>
      <c r="H53" s="231">
        <v>29088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603.73395421606438</v>
      </c>
      <c r="W53" s="9">
        <f t="shared" si="5"/>
        <v>3.7733372138504024</v>
      </c>
      <c r="X53" s="8">
        <f t="shared" si="6"/>
        <v>1163.52</v>
      </c>
      <c r="Y53" s="7">
        <f t="shared" si="7"/>
        <v>7.2720000000000002</v>
      </c>
      <c r="Z53" s="2">
        <f t="shared" si="8"/>
        <v>8726.4</v>
      </c>
      <c r="AA53" s="2">
        <f t="shared" si="9"/>
        <v>2036.1599999999999</v>
      </c>
      <c r="AB53" s="2">
        <f t="shared" si="10"/>
        <v>18907.2</v>
      </c>
      <c r="AC53" s="6">
        <f t="shared" si="11"/>
        <v>1701.6479999999999</v>
      </c>
      <c r="AD53" s="6">
        <f t="shared" si="12"/>
        <v>453.77280000000002</v>
      </c>
      <c r="AE53" s="6">
        <f t="shared" si="13"/>
        <v>4191.5807999999997</v>
      </c>
      <c r="AF53" s="5">
        <f t="shared" si="14"/>
        <v>26.197379999999999</v>
      </c>
      <c r="AG53" s="207"/>
    </row>
    <row r="54" spans="1:35" x14ac:dyDescent="0.2">
      <c r="A54" s="229">
        <v>513</v>
      </c>
      <c r="B54" s="1" t="str">
        <f t="shared" si="0"/>
        <v>0.5, Bed-Roll-Fold. 12R-36</v>
      </c>
      <c r="C54" s="155">
        <v>0.5</v>
      </c>
      <c r="D54" s="151" t="s">
        <v>436</v>
      </c>
      <c r="E54" s="151" t="s">
        <v>468</v>
      </c>
      <c r="F54" s="151" t="s">
        <v>200</v>
      </c>
      <c r="G54" s="151" t="str">
        <f t="shared" si="1"/>
        <v>Bed-Roll-Fold. 12R-36</v>
      </c>
      <c r="H54" s="231">
        <v>32724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679.20069849307254</v>
      </c>
      <c r="W54" s="9">
        <f t="shared" si="5"/>
        <v>4.2450043655817034</v>
      </c>
      <c r="X54" s="8">
        <f t="shared" si="6"/>
        <v>1308.96</v>
      </c>
      <c r="Y54" s="7">
        <f t="shared" si="7"/>
        <v>8.1810000000000009</v>
      </c>
      <c r="Z54" s="2">
        <f t="shared" si="8"/>
        <v>9817.2000000000007</v>
      </c>
      <c r="AA54" s="2">
        <f t="shared" si="9"/>
        <v>2290.6799999999998</v>
      </c>
      <c r="AB54" s="2">
        <f t="shared" si="10"/>
        <v>21270.6</v>
      </c>
      <c r="AC54" s="6">
        <f t="shared" si="11"/>
        <v>1914.3539999999998</v>
      </c>
      <c r="AD54" s="6">
        <f t="shared" si="12"/>
        <v>510.49439999999998</v>
      </c>
      <c r="AE54" s="6">
        <f t="shared" si="13"/>
        <v>4715.5283999999992</v>
      </c>
      <c r="AF54" s="5">
        <f t="shared" si="14"/>
        <v>29.472052499999997</v>
      </c>
      <c r="AG54" s="207"/>
    </row>
    <row r="55" spans="1:35" x14ac:dyDescent="0.2">
      <c r="A55" s="229">
        <v>514</v>
      </c>
      <c r="B55" s="1" t="str">
        <f t="shared" si="0"/>
        <v>0.51, Bed-Roll-Fold. 16R-30</v>
      </c>
      <c r="C55" s="155">
        <v>0.51</v>
      </c>
      <c r="D55" s="151" t="s">
        <v>436</v>
      </c>
      <c r="E55" s="151" t="s">
        <v>468</v>
      </c>
      <c r="F55" s="151" t="s">
        <v>59</v>
      </c>
      <c r="G55" s="151" t="str">
        <f t="shared" si="1"/>
        <v>Bed-Roll-Fold. 16R-30</v>
      </c>
      <c r="H55" s="231">
        <v>33936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704.35627991874185</v>
      </c>
      <c r="W55" s="9">
        <f t="shared" si="5"/>
        <v>4.4022267494921365</v>
      </c>
      <c r="X55" s="8">
        <f t="shared" si="6"/>
        <v>1357.44</v>
      </c>
      <c r="Y55" s="7">
        <f t="shared" si="7"/>
        <v>8.484</v>
      </c>
      <c r="Z55" s="2">
        <f t="shared" si="8"/>
        <v>10180.799999999999</v>
      </c>
      <c r="AA55" s="2">
        <f t="shared" si="9"/>
        <v>2375.52</v>
      </c>
      <c r="AB55" s="2">
        <f t="shared" si="10"/>
        <v>22058.400000000001</v>
      </c>
      <c r="AC55" s="6">
        <f t="shared" si="11"/>
        <v>1985.2560000000001</v>
      </c>
      <c r="AD55" s="6">
        <f t="shared" si="12"/>
        <v>529.40160000000003</v>
      </c>
      <c r="AE55" s="6">
        <f t="shared" si="13"/>
        <v>4890.1776</v>
      </c>
      <c r="AF55" s="5">
        <f t="shared" si="14"/>
        <v>30.563610000000001</v>
      </c>
      <c r="AG55" s="207"/>
    </row>
    <row r="56" spans="1:35" x14ac:dyDescent="0.2">
      <c r="A56" s="229">
        <v>511</v>
      </c>
      <c r="B56" s="1" t="str">
        <f t="shared" si="0"/>
        <v>0.52, Bed-Roll-Rigid  8R-36</v>
      </c>
      <c r="C56" s="155">
        <v>0.52</v>
      </c>
      <c r="D56" s="151" t="s">
        <v>436</v>
      </c>
      <c r="E56" s="151" t="s">
        <v>469</v>
      </c>
      <c r="F56" s="151" t="s">
        <v>199</v>
      </c>
      <c r="G56" s="151" t="str">
        <f t="shared" si="1"/>
        <v>Bed-Roll-Rigid  8R-36</v>
      </c>
      <c r="H56" s="231">
        <v>20402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423.4522873321007</v>
      </c>
      <c r="W56" s="9">
        <f t="shared" si="5"/>
        <v>2.6465767958256294</v>
      </c>
      <c r="X56" s="8">
        <f t="shared" si="6"/>
        <v>816.08</v>
      </c>
      <c r="Y56" s="7">
        <f t="shared" si="7"/>
        <v>5.1005000000000003</v>
      </c>
      <c r="Z56" s="2">
        <f t="shared" si="8"/>
        <v>6120.6</v>
      </c>
      <c r="AA56" s="2">
        <f t="shared" si="9"/>
        <v>1428.1399999999999</v>
      </c>
      <c r="AB56" s="2">
        <f t="shared" si="10"/>
        <v>13261.3</v>
      </c>
      <c r="AC56" s="6">
        <f t="shared" si="11"/>
        <v>1193.5169999999998</v>
      </c>
      <c r="AD56" s="6">
        <f t="shared" si="12"/>
        <v>318.27119999999996</v>
      </c>
      <c r="AE56" s="6">
        <f t="shared" si="13"/>
        <v>2939.9281999999998</v>
      </c>
      <c r="AF56" s="5">
        <f t="shared" si="14"/>
        <v>18.37455125</v>
      </c>
      <c r="AG56" s="207"/>
    </row>
    <row r="57" spans="1:35" x14ac:dyDescent="0.2">
      <c r="A57" s="229">
        <v>418</v>
      </c>
      <c r="B57" s="1" t="str">
        <f t="shared" si="0"/>
        <v>0.53, Blade-Box  6'-7'</v>
      </c>
      <c r="C57" s="155">
        <v>0.53</v>
      </c>
      <c r="D57" s="151" t="s">
        <v>436</v>
      </c>
      <c r="E57" s="151" t="s">
        <v>246</v>
      </c>
      <c r="F57" s="151" t="s">
        <v>99</v>
      </c>
      <c r="G57" s="151" t="str">
        <f t="shared" si="1"/>
        <v>Blade-Box  6'-7'</v>
      </c>
      <c r="H57" s="30">
        <v>1100.9000000000001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31.228680166575568</v>
      </c>
      <c r="W57" s="9">
        <f t="shared" si="5"/>
        <v>0.15614340083287784</v>
      </c>
      <c r="X57" s="8">
        <f t="shared" si="6"/>
        <v>104.58550000000002</v>
      </c>
      <c r="Y57" s="7">
        <f t="shared" si="7"/>
        <v>0.5229275000000001</v>
      </c>
      <c r="Z57" s="2">
        <f t="shared" si="8"/>
        <v>165.13499999999999</v>
      </c>
      <c r="AA57" s="2">
        <f t="shared" si="9"/>
        <v>46.788250000000005</v>
      </c>
      <c r="AB57" s="2">
        <f t="shared" si="10"/>
        <v>633.01750000000004</v>
      </c>
      <c r="AC57" s="6">
        <f t="shared" si="11"/>
        <v>56.971575000000001</v>
      </c>
      <c r="AD57" s="6">
        <f t="shared" si="12"/>
        <v>15.192420000000002</v>
      </c>
      <c r="AE57" s="6">
        <f t="shared" si="13"/>
        <v>118.952245</v>
      </c>
      <c r="AF57" s="5">
        <f t="shared" si="14"/>
        <v>0.59476122500000006</v>
      </c>
      <c r="AG57" s="207"/>
    </row>
    <row r="58" spans="1:35" x14ac:dyDescent="0.2">
      <c r="A58" s="229">
        <v>473</v>
      </c>
      <c r="B58" s="1" t="str">
        <f t="shared" si="0"/>
        <v>0.54, Blade-Box  8'-10'</v>
      </c>
      <c r="C58" s="155">
        <v>0.54</v>
      </c>
      <c r="D58" s="151" t="s">
        <v>436</v>
      </c>
      <c r="E58" s="151" t="s">
        <v>246</v>
      </c>
      <c r="F58" s="151" t="s">
        <v>98</v>
      </c>
      <c r="G58" s="151" t="str">
        <f t="shared" si="1"/>
        <v>Blade-Box  8'-10'</v>
      </c>
      <c r="H58" s="30">
        <v>5110.6000000000004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144.96983636960766</v>
      </c>
      <c r="W58" s="9">
        <f t="shared" si="5"/>
        <v>0.72484918184803826</v>
      </c>
      <c r="X58" s="8">
        <f t="shared" si="6"/>
        <v>485.50700000000006</v>
      </c>
      <c r="Y58" s="7">
        <f t="shared" si="7"/>
        <v>2.4275350000000002</v>
      </c>
      <c r="Z58" s="2">
        <f t="shared" si="8"/>
        <v>766.59</v>
      </c>
      <c r="AA58" s="2">
        <f t="shared" si="9"/>
        <v>217.20050000000001</v>
      </c>
      <c r="AB58" s="2">
        <f t="shared" si="10"/>
        <v>2938.5950000000003</v>
      </c>
      <c r="AC58" s="6">
        <f t="shared" si="11"/>
        <v>264.47354999999999</v>
      </c>
      <c r="AD58" s="6">
        <f t="shared" si="12"/>
        <v>70.526280000000014</v>
      </c>
      <c r="AE58" s="6">
        <f t="shared" si="13"/>
        <v>552.20033000000001</v>
      </c>
      <c r="AF58" s="5">
        <f t="shared" si="14"/>
        <v>2.7610016499999999</v>
      </c>
      <c r="AG58" s="207"/>
    </row>
    <row r="59" spans="1:35" x14ac:dyDescent="0.2">
      <c r="A59" s="229">
        <v>506</v>
      </c>
      <c r="B59" s="1" t="str">
        <f t="shared" si="0"/>
        <v>0.55, Blade-Box 12'-16'</v>
      </c>
      <c r="C59" s="155">
        <v>0.55000000000000004</v>
      </c>
      <c r="D59" s="151" t="s">
        <v>436</v>
      </c>
      <c r="E59" s="151" t="s">
        <v>246</v>
      </c>
      <c r="F59" s="151" t="s">
        <v>97</v>
      </c>
      <c r="G59" s="151" t="str">
        <f t="shared" si="1"/>
        <v>Blade-Box 12'-16'</v>
      </c>
      <c r="H59" s="30">
        <v>7625.5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216.30874794279407</v>
      </c>
      <c r="W59" s="9">
        <f t="shared" si="5"/>
        <v>1.0815437397139704</v>
      </c>
      <c r="X59" s="8">
        <f t="shared" si="6"/>
        <v>724.42250000000001</v>
      </c>
      <c r="Y59" s="7">
        <f t="shared" si="7"/>
        <v>3.6221125000000001</v>
      </c>
      <c r="Z59" s="2">
        <f t="shared" si="8"/>
        <v>1143.825</v>
      </c>
      <c r="AA59" s="2">
        <f t="shared" si="9"/>
        <v>324.08375000000001</v>
      </c>
      <c r="AB59" s="2">
        <f t="shared" si="10"/>
        <v>4384.6625000000004</v>
      </c>
      <c r="AC59" s="6">
        <f t="shared" si="11"/>
        <v>394.61962500000004</v>
      </c>
      <c r="AD59" s="6">
        <f t="shared" si="12"/>
        <v>105.23190000000001</v>
      </c>
      <c r="AE59" s="6">
        <f t="shared" si="13"/>
        <v>823.93527500000005</v>
      </c>
      <c r="AF59" s="5">
        <f t="shared" si="14"/>
        <v>4.1196763750000001</v>
      </c>
      <c r="AG59" s="207"/>
    </row>
    <row r="60" spans="1:35" x14ac:dyDescent="0.2">
      <c r="A60" s="229">
        <v>475</v>
      </c>
      <c r="B60" s="1" t="str">
        <f t="shared" si="0"/>
        <v>0.56, Blade-Scraper  6'-7'</v>
      </c>
      <c r="C60" s="155">
        <v>0.56000000000000005</v>
      </c>
      <c r="D60" s="151" t="s">
        <v>436</v>
      </c>
      <c r="E60" s="151" t="s">
        <v>247</v>
      </c>
      <c r="F60" s="151" t="s">
        <v>99</v>
      </c>
      <c r="G60" s="151" t="str">
        <f t="shared" si="1"/>
        <v>Blade-Scraper  6'-7'</v>
      </c>
      <c r="H60" s="30">
        <v>1161.5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32.947690084001742</v>
      </c>
      <c r="W60" s="9">
        <f t="shared" si="5"/>
        <v>0.1647384504200087</v>
      </c>
      <c r="X60" s="8">
        <f t="shared" si="6"/>
        <v>110.3425</v>
      </c>
      <c r="Y60" s="7">
        <f t="shared" si="7"/>
        <v>0.55171250000000005</v>
      </c>
      <c r="Z60" s="2">
        <f t="shared" si="8"/>
        <v>174.22499999999999</v>
      </c>
      <c r="AA60" s="2">
        <f t="shared" si="9"/>
        <v>49.363749999999996</v>
      </c>
      <c r="AB60" s="2">
        <f t="shared" si="10"/>
        <v>667.86249999999995</v>
      </c>
      <c r="AC60" s="6">
        <f t="shared" si="11"/>
        <v>60.107624999999992</v>
      </c>
      <c r="AD60" s="6">
        <f t="shared" si="12"/>
        <v>16.028700000000001</v>
      </c>
      <c r="AE60" s="6">
        <f t="shared" si="13"/>
        <v>125.500075</v>
      </c>
      <c r="AF60" s="5">
        <f t="shared" si="14"/>
        <v>0.627500375</v>
      </c>
      <c r="AG60" s="207"/>
    </row>
    <row r="61" spans="1:35" x14ac:dyDescent="0.2">
      <c r="A61" s="229">
        <v>476</v>
      </c>
      <c r="B61" s="1" t="str">
        <f t="shared" si="0"/>
        <v>0.57, Blade-Scraper  8'-10'</v>
      </c>
      <c r="C61" s="155">
        <v>0.56999999999999995</v>
      </c>
      <c r="D61" s="151" t="s">
        <v>436</v>
      </c>
      <c r="E61" s="151" t="s">
        <v>247</v>
      </c>
      <c r="F61" s="151" t="s">
        <v>98</v>
      </c>
      <c r="G61" s="151" t="str">
        <f t="shared" si="1"/>
        <v>Blade-Scraper  8'-10'</v>
      </c>
      <c r="H61" s="30">
        <v>3343.1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94.832047111344153</v>
      </c>
      <c r="W61" s="9">
        <f t="shared" si="5"/>
        <v>0.47416023555672077</v>
      </c>
      <c r="X61" s="8">
        <f t="shared" si="6"/>
        <v>317.59450000000004</v>
      </c>
      <c r="Y61" s="7">
        <f t="shared" si="7"/>
        <v>1.5879725000000002</v>
      </c>
      <c r="Z61" s="2">
        <f t="shared" si="8"/>
        <v>501.46499999999997</v>
      </c>
      <c r="AA61" s="2">
        <f t="shared" si="9"/>
        <v>142.08175</v>
      </c>
      <c r="AB61" s="2">
        <f t="shared" si="10"/>
        <v>1922.2825</v>
      </c>
      <c r="AC61" s="6">
        <f t="shared" si="11"/>
        <v>173.005425</v>
      </c>
      <c r="AD61" s="6">
        <f t="shared" si="12"/>
        <v>46.134779999999999</v>
      </c>
      <c r="AE61" s="6">
        <f t="shared" si="13"/>
        <v>361.22195499999998</v>
      </c>
      <c r="AF61" s="5">
        <f t="shared" si="14"/>
        <v>1.8061097749999999</v>
      </c>
      <c r="AG61" s="207"/>
    </row>
    <row r="62" spans="1:35" x14ac:dyDescent="0.2">
      <c r="A62" s="229">
        <v>477</v>
      </c>
      <c r="B62" s="1" t="str">
        <f t="shared" si="0"/>
        <v>0.58, Blade-Scraper 12'-16'</v>
      </c>
      <c r="C62" s="155">
        <v>0.57999999999999996</v>
      </c>
      <c r="D62" s="151" t="s">
        <v>436</v>
      </c>
      <c r="E62" s="151" t="s">
        <v>247</v>
      </c>
      <c r="F62" s="151" t="s">
        <v>97</v>
      </c>
      <c r="G62" s="151" t="str">
        <f t="shared" si="1"/>
        <v>Blade-Scraper 12'-16'</v>
      </c>
      <c r="H62" s="236">
        <v>6797.3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192.81561240463628</v>
      </c>
      <c r="W62" s="9">
        <f t="shared" si="5"/>
        <v>0.96407806202318147</v>
      </c>
      <c r="X62" s="8">
        <f t="shared" si="6"/>
        <v>645.74350000000004</v>
      </c>
      <c r="Y62" s="7">
        <f t="shared" si="7"/>
        <v>3.2287175000000001</v>
      </c>
      <c r="Z62" s="2">
        <f t="shared" si="8"/>
        <v>1019.595</v>
      </c>
      <c r="AA62" s="2">
        <f t="shared" si="9"/>
        <v>288.88524999999998</v>
      </c>
      <c r="AB62" s="2">
        <f t="shared" si="10"/>
        <v>3908.4475000000002</v>
      </c>
      <c r="AC62" s="6">
        <f t="shared" si="11"/>
        <v>351.76027499999998</v>
      </c>
      <c r="AD62" s="6">
        <f t="shared" si="12"/>
        <v>93.802740000000014</v>
      </c>
      <c r="AE62" s="6">
        <f t="shared" si="13"/>
        <v>734.44826499999988</v>
      </c>
      <c r="AF62" s="5">
        <f t="shared" si="14"/>
        <v>3.6722413249999994</v>
      </c>
      <c r="AG62" s="207"/>
    </row>
    <row r="63" spans="1:35" x14ac:dyDescent="0.2">
      <c r="A63" s="229">
        <v>5</v>
      </c>
      <c r="B63" s="1" t="str">
        <f t="shared" si="0"/>
        <v>0.59, Chisel Plow-Folding 16'</v>
      </c>
      <c r="C63" s="155">
        <v>0.59</v>
      </c>
      <c r="D63" s="151" t="s">
        <v>436</v>
      </c>
      <c r="E63" s="156" t="s">
        <v>248</v>
      </c>
      <c r="F63" s="156" t="s">
        <v>85</v>
      </c>
      <c r="G63" s="151" t="str">
        <f t="shared" si="1"/>
        <v>Chisel Plow-Folding 16'</v>
      </c>
      <c r="H63" s="33">
        <v>22725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430.91877713510263</v>
      </c>
      <c r="W63" s="9">
        <f t="shared" si="5"/>
        <v>2.8727918475673508</v>
      </c>
      <c r="X63" s="8">
        <f t="shared" si="6"/>
        <v>1230.9375</v>
      </c>
      <c r="Y63" s="7">
        <f t="shared" si="7"/>
        <v>8.2062500000000007</v>
      </c>
      <c r="Z63" s="2">
        <f t="shared" si="8"/>
        <v>6817.5</v>
      </c>
      <c r="AA63" s="2">
        <f t="shared" si="9"/>
        <v>1325.625</v>
      </c>
      <c r="AB63" s="2">
        <f t="shared" si="10"/>
        <v>14771.25</v>
      </c>
      <c r="AC63" s="6">
        <f t="shared" si="11"/>
        <v>1329.4124999999999</v>
      </c>
      <c r="AD63" s="6">
        <f t="shared" si="12"/>
        <v>354.51</v>
      </c>
      <c r="AE63" s="6">
        <f t="shared" si="13"/>
        <v>3009.5474999999997</v>
      </c>
      <c r="AF63" s="5">
        <f t="shared" si="14"/>
        <v>20.063649999999999</v>
      </c>
      <c r="AG63" s="207"/>
      <c r="AH63" s="13"/>
      <c r="AI63" s="13"/>
    </row>
    <row r="64" spans="1:35" x14ac:dyDescent="0.2">
      <c r="A64" s="229">
        <v>408</v>
      </c>
      <c r="B64" s="1" t="str">
        <f t="shared" si="0"/>
        <v>0.6, Chisel Plow-Folding 24'</v>
      </c>
      <c r="C64" s="155">
        <v>0.6</v>
      </c>
      <c r="D64" s="151" t="s">
        <v>436</v>
      </c>
      <c r="E64" s="151" t="s">
        <v>248</v>
      </c>
      <c r="F64" s="151" t="s">
        <v>65</v>
      </c>
      <c r="G64" s="151" t="str">
        <f t="shared" si="1"/>
        <v>Chisel Plow-Folding 24'</v>
      </c>
      <c r="H64" s="235">
        <v>38000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720.56825219511109</v>
      </c>
      <c r="W64" s="9">
        <f t="shared" si="5"/>
        <v>4.8037883479674068</v>
      </c>
      <c r="X64" s="8">
        <f t="shared" si="6"/>
        <v>2058.3333333333335</v>
      </c>
      <c r="Y64" s="7">
        <f t="shared" si="7"/>
        <v>13.722222222222223</v>
      </c>
      <c r="Z64" s="2">
        <f t="shared" si="8"/>
        <v>11400</v>
      </c>
      <c r="AA64" s="2">
        <f t="shared" si="9"/>
        <v>2216.6666666666665</v>
      </c>
      <c r="AB64" s="2">
        <f t="shared" si="10"/>
        <v>24700</v>
      </c>
      <c r="AC64" s="6">
        <f t="shared" si="11"/>
        <v>2223</v>
      </c>
      <c r="AD64" s="6">
        <f t="shared" si="12"/>
        <v>592.80000000000007</v>
      </c>
      <c r="AE64" s="6">
        <f t="shared" si="13"/>
        <v>5032.4666666666662</v>
      </c>
      <c r="AF64" s="5">
        <f t="shared" si="14"/>
        <v>33.549777777777777</v>
      </c>
      <c r="AG64" s="207"/>
    </row>
    <row r="65" spans="1:33" x14ac:dyDescent="0.2">
      <c r="A65" s="229">
        <v>7</v>
      </c>
      <c r="B65" s="1" t="str">
        <f t="shared" si="0"/>
        <v>0.61, Chisel Plow-Folding 32'</v>
      </c>
      <c r="C65" s="155">
        <v>0.61</v>
      </c>
      <c r="D65" s="151" t="s">
        <v>436</v>
      </c>
      <c r="E65" s="151" t="s">
        <v>248</v>
      </c>
      <c r="F65" s="151" t="s">
        <v>43</v>
      </c>
      <c r="G65" s="151" t="str">
        <f t="shared" si="1"/>
        <v>Chisel Plow-Folding 32'</v>
      </c>
      <c r="H65" s="235">
        <v>49900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946.21988906673801</v>
      </c>
      <c r="W65" s="9">
        <f t="shared" si="5"/>
        <v>6.3081325937782537</v>
      </c>
      <c r="X65" s="8">
        <f t="shared" si="6"/>
        <v>2702.9166666666665</v>
      </c>
      <c r="Y65" s="7">
        <f t="shared" si="7"/>
        <v>18.019444444444442</v>
      </c>
      <c r="Z65" s="2">
        <f t="shared" si="8"/>
        <v>14970</v>
      </c>
      <c r="AA65" s="2">
        <f t="shared" si="9"/>
        <v>2910.8333333333335</v>
      </c>
      <c r="AB65" s="2">
        <f t="shared" si="10"/>
        <v>32435</v>
      </c>
      <c r="AC65" s="6">
        <f t="shared" si="11"/>
        <v>2919.15</v>
      </c>
      <c r="AD65" s="6">
        <f t="shared" si="12"/>
        <v>778.44</v>
      </c>
      <c r="AE65" s="6">
        <f t="shared" si="13"/>
        <v>6608.4233333333341</v>
      </c>
      <c r="AF65" s="5">
        <f t="shared" si="14"/>
        <v>44.056155555555563</v>
      </c>
      <c r="AG65" s="207"/>
    </row>
    <row r="66" spans="1:33" x14ac:dyDescent="0.2">
      <c r="A66" s="229">
        <v>230</v>
      </c>
      <c r="B66" s="1" t="str">
        <f t="shared" si="0"/>
        <v>0.62, Chisel Plow-Folding 42'</v>
      </c>
      <c r="C66" s="155">
        <v>0.62</v>
      </c>
      <c r="D66" s="151" t="s">
        <v>436</v>
      </c>
      <c r="E66" s="151" t="s">
        <v>248</v>
      </c>
      <c r="F66" s="151" t="s">
        <v>91</v>
      </c>
      <c r="G66" s="151" t="str">
        <f t="shared" si="1"/>
        <v>Chisel Plow-Folding 42'</v>
      </c>
      <c r="H66" s="235">
        <v>60600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1149.1167390269404</v>
      </c>
      <c r="W66" s="9">
        <f t="shared" si="5"/>
        <v>7.6607782601796028</v>
      </c>
      <c r="X66" s="8">
        <f t="shared" si="6"/>
        <v>3282.5</v>
      </c>
      <c r="Y66" s="7">
        <f t="shared" si="7"/>
        <v>21.883333333333333</v>
      </c>
      <c r="Z66" s="2">
        <f t="shared" si="8"/>
        <v>18180</v>
      </c>
      <c r="AA66" s="2">
        <f t="shared" si="9"/>
        <v>3535</v>
      </c>
      <c r="AB66" s="2">
        <f t="shared" si="10"/>
        <v>39390</v>
      </c>
      <c r="AC66" s="6">
        <f t="shared" si="11"/>
        <v>3545.1</v>
      </c>
      <c r="AD66" s="6">
        <f t="shared" si="12"/>
        <v>945.36</v>
      </c>
      <c r="AE66" s="6">
        <f t="shared" si="13"/>
        <v>8025.46</v>
      </c>
      <c r="AF66" s="5">
        <f t="shared" si="14"/>
        <v>53.503066666666669</v>
      </c>
      <c r="AG66" s="207"/>
    </row>
    <row r="67" spans="1:33" x14ac:dyDescent="0.2">
      <c r="A67" s="229">
        <v>651</v>
      </c>
      <c r="B67" s="1" t="str">
        <f t="shared" si="0"/>
        <v>0.63, Chisel Plow-Folding 50'</v>
      </c>
      <c r="C67" s="155">
        <v>0.63</v>
      </c>
      <c r="D67" s="151" t="s">
        <v>436</v>
      </c>
      <c r="E67" s="151" t="s">
        <v>248</v>
      </c>
      <c r="F67" s="151" t="s">
        <v>15</v>
      </c>
      <c r="G67" s="151" t="str">
        <f t="shared" si="1"/>
        <v>Chisel Plow-Folding 50'</v>
      </c>
      <c r="H67" s="235">
        <v>79400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1505.6084006392584</v>
      </c>
      <c r="W67" s="9">
        <f t="shared" si="5"/>
        <v>10.037389337595057</v>
      </c>
      <c r="X67" s="8">
        <f t="shared" si="6"/>
        <v>5161</v>
      </c>
      <c r="Y67" s="7">
        <f t="shared" si="7"/>
        <v>34.406666666666666</v>
      </c>
      <c r="Z67" s="2">
        <f t="shared" si="8"/>
        <v>23820</v>
      </c>
      <c r="AA67" s="2">
        <f t="shared" si="9"/>
        <v>5558</v>
      </c>
      <c r="AB67" s="2">
        <f t="shared" si="10"/>
        <v>51610</v>
      </c>
      <c r="AC67" s="6">
        <f t="shared" si="11"/>
        <v>4644.8999999999996</v>
      </c>
      <c r="AD67" s="6">
        <f t="shared" si="12"/>
        <v>1238.6400000000001</v>
      </c>
      <c r="AE67" s="6">
        <f t="shared" si="13"/>
        <v>11441.539999999999</v>
      </c>
      <c r="AF67" s="5">
        <f t="shared" si="14"/>
        <v>76.276933333333332</v>
      </c>
      <c r="AG67" s="207"/>
    </row>
    <row r="68" spans="1:33" x14ac:dyDescent="0.2">
      <c r="A68" s="229">
        <v>702</v>
      </c>
      <c r="B68" s="1" t="str">
        <f t="shared" si="0"/>
        <v>0.64, Chisel Plow-Folding 61'</v>
      </c>
      <c r="C68" s="155">
        <v>0.64</v>
      </c>
      <c r="D68" s="151" t="s">
        <v>436</v>
      </c>
      <c r="E68" s="151" t="s">
        <v>248</v>
      </c>
      <c r="F68" s="151" t="s">
        <v>95</v>
      </c>
      <c r="G68" s="151" t="str">
        <f t="shared" si="1"/>
        <v>Chisel Plow-Folding 61'</v>
      </c>
      <c r="H68" s="277">
        <v>88400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1676.2693024749428</v>
      </c>
      <c r="W68" s="9">
        <f t="shared" si="5"/>
        <v>11.175128683166285</v>
      </c>
      <c r="X68" s="8">
        <f t="shared" si="6"/>
        <v>4788.333333333333</v>
      </c>
      <c r="Y68" s="7">
        <f t="shared" si="7"/>
        <v>31.922222222222221</v>
      </c>
      <c r="Z68" s="2">
        <f t="shared" si="8"/>
        <v>26520</v>
      </c>
      <c r="AA68" s="2">
        <f t="shared" si="9"/>
        <v>5156.666666666667</v>
      </c>
      <c r="AB68" s="2">
        <f t="shared" si="10"/>
        <v>57460</v>
      </c>
      <c r="AC68" s="6">
        <f t="shared" si="11"/>
        <v>5171.3999999999996</v>
      </c>
      <c r="AD68" s="6">
        <f t="shared" si="12"/>
        <v>1379.04</v>
      </c>
      <c r="AE68" s="6">
        <f t="shared" si="13"/>
        <v>11707.106666666667</v>
      </c>
      <c r="AF68" s="5">
        <f t="shared" si="14"/>
        <v>78.047377777777783</v>
      </c>
      <c r="AG68" s="207"/>
    </row>
    <row r="69" spans="1:33" x14ac:dyDescent="0.2">
      <c r="A69" s="229">
        <v>698</v>
      </c>
      <c r="B69" s="1" t="str">
        <f t="shared" ref="B69:B132" si="15">CONCATENATE(C69,D69,E69,F69)</f>
        <v>0.65, Chisel Plow-Rigid 10'</v>
      </c>
      <c r="C69" s="155">
        <v>0.65</v>
      </c>
      <c r="D69" s="151" t="s">
        <v>436</v>
      </c>
      <c r="E69" s="151" t="s">
        <v>249</v>
      </c>
      <c r="F69" s="151" t="s">
        <v>66</v>
      </c>
      <c r="G69" s="151" t="str">
        <f t="shared" ref="G69:G132" si="16">CONCATENATE(E69,F69)</f>
        <v>Chisel Plow-Rigid 10'</v>
      </c>
      <c r="H69" s="235">
        <v>6300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119.46263128497895</v>
      </c>
      <c r="W69" s="9">
        <f t="shared" ref="W69:W132" si="20">V69/P69</f>
        <v>0.79641754189985969</v>
      </c>
      <c r="X69" s="8">
        <f t="shared" ref="X69:X132" si="21">(H69*N69/100)/O69</f>
        <v>341.25</v>
      </c>
      <c r="Y69" s="7">
        <f t="shared" ref="Y69:Y132" si="22">X69/P69</f>
        <v>2.2749999999999999</v>
      </c>
      <c r="Z69" s="2">
        <f t="shared" ref="Z69:Z132" si="23">H69*M69/100</f>
        <v>1890</v>
      </c>
      <c r="AA69" s="2">
        <f t="shared" ref="AA69:AA132" si="24">(H69-Z69)/O69</f>
        <v>367.5</v>
      </c>
      <c r="AB69" s="2">
        <f t="shared" ref="AB69:AB132" si="25">(Z69+H69)/2</f>
        <v>4095</v>
      </c>
      <c r="AC69" s="6">
        <f t="shared" ref="AC69:AC132" si="26">AB69*intir</f>
        <v>368.55</v>
      </c>
      <c r="AD69" s="6">
        <f t="shared" ref="AD69:AD132" si="27">AB69*itr</f>
        <v>98.28</v>
      </c>
      <c r="AE69" s="6">
        <f t="shared" ref="AE69:AE132" si="28">AA69+AC69+AD69</f>
        <v>834.32999999999993</v>
      </c>
      <c r="AF69" s="5">
        <f t="shared" ref="AF69:AF132" si="29">AE69/P69</f>
        <v>5.5621999999999998</v>
      </c>
      <c r="AG69" s="207"/>
    </row>
    <row r="70" spans="1:33" x14ac:dyDescent="0.2">
      <c r="A70" s="229">
        <v>4</v>
      </c>
      <c r="B70" s="1" t="str">
        <f t="shared" si="15"/>
        <v>0.66, Chisel Plow-Rigid 15'</v>
      </c>
      <c r="C70" s="155">
        <v>0.66</v>
      </c>
      <c r="D70" s="151" t="s">
        <v>436</v>
      </c>
      <c r="E70" s="151" t="s">
        <v>249</v>
      </c>
      <c r="F70" s="151" t="s">
        <v>10</v>
      </c>
      <c r="G70" s="151" t="str">
        <f t="shared" si="16"/>
        <v>Chisel Plow-Rigid 15'</v>
      </c>
      <c r="H70" s="235">
        <v>11400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216.17047565853335</v>
      </c>
      <c r="W70" s="9">
        <f t="shared" si="20"/>
        <v>1.4411365043902222</v>
      </c>
      <c r="X70" s="8">
        <f t="shared" si="21"/>
        <v>617.5</v>
      </c>
      <c r="Y70" s="7">
        <f t="shared" si="22"/>
        <v>4.1166666666666663</v>
      </c>
      <c r="Z70" s="2">
        <f t="shared" si="23"/>
        <v>3420</v>
      </c>
      <c r="AA70" s="2">
        <f t="shared" si="24"/>
        <v>665</v>
      </c>
      <c r="AB70" s="2">
        <f t="shared" si="25"/>
        <v>7410</v>
      </c>
      <c r="AC70" s="6">
        <f t="shared" si="26"/>
        <v>666.9</v>
      </c>
      <c r="AD70" s="6">
        <f t="shared" si="27"/>
        <v>177.84</v>
      </c>
      <c r="AE70" s="6">
        <f t="shared" si="28"/>
        <v>1509.74</v>
      </c>
      <c r="AF70" s="5">
        <f t="shared" si="29"/>
        <v>10.064933333333334</v>
      </c>
      <c r="AG70" s="207"/>
    </row>
    <row r="71" spans="1:33" x14ac:dyDescent="0.2">
      <c r="A71" s="229">
        <v>701</v>
      </c>
      <c r="B71" s="1" t="str">
        <f t="shared" si="15"/>
        <v>0.67, Chisel Plow-Rigid 20'</v>
      </c>
      <c r="C71" s="155">
        <v>0.67</v>
      </c>
      <c r="D71" s="151" t="s">
        <v>436</v>
      </c>
      <c r="E71" s="151" t="s">
        <v>249</v>
      </c>
      <c r="F71" s="151" t="s">
        <v>8</v>
      </c>
      <c r="G71" s="151" t="str">
        <f t="shared" si="16"/>
        <v>Chisel Plow-Rigid 20'</v>
      </c>
      <c r="H71" s="235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207"/>
    </row>
    <row r="72" spans="1:33" x14ac:dyDescent="0.2">
      <c r="A72" s="229">
        <v>6</v>
      </c>
      <c r="B72" s="1" t="str">
        <f t="shared" si="15"/>
        <v>0.68, Chisel Plow-Rigid 24'</v>
      </c>
      <c r="C72" s="155">
        <v>0.68</v>
      </c>
      <c r="D72" s="151" t="s">
        <v>436</v>
      </c>
      <c r="E72" s="151" t="s">
        <v>249</v>
      </c>
      <c r="F72" s="151" t="s">
        <v>65</v>
      </c>
      <c r="G72" s="151" t="str">
        <f t="shared" si="16"/>
        <v>Chisel Plow-Rigid 24'</v>
      </c>
      <c r="H72" s="235">
        <v>12100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229.44410135686434</v>
      </c>
      <c r="W72" s="9">
        <f t="shared" si="20"/>
        <v>1.5296273423790956</v>
      </c>
      <c r="X72" s="8">
        <f t="shared" si="21"/>
        <v>655.41666666666663</v>
      </c>
      <c r="Y72" s="7">
        <f t="shared" si="22"/>
        <v>4.3694444444444445</v>
      </c>
      <c r="Z72" s="2">
        <f t="shared" si="23"/>
        <v>3630</v>
      </c>
      <c r="AA72" s="2">
        <f t="shared" si="24"/>
        <v>705.83333333333337</v>
      </c>
      <c r="AB72" s="2">
        <f t="shared" si="25"/>
        <v>7865</v>
      </c>
      <c r="AC72" s="6">
        <f t="shared" si="26"/>
        <v>707.85</v>
      </c>
      <c r="AD72" s="6">
        <f t="shared" si="27"/>
        <v>188.76</v>
      </c>
      <c r="AE72" s="6">
        <f t="shared" si="28"/>
        <v>1602.4433333333334</v>
      </c>
      <c r="AF72" s="5">
        <f t="shared" si="29"/>
        <v>10.682955555555555</v>
      </c>
      <c r="AG72" s="207"/>
    </row>
    <row r="73" spans="1:33" x14ac:dyDescent="0.2">
      <c r="A73" s="229">
        <v>294</v>
      </c>
      <c r="B73" s="1" t="str">
        <f t="shared" si="15"/>
        <v>0.69, Chisel-Harrow 21 shank</v>
      </c>
      <c r="C73" s="155">
        <v>0.69</v>
      </c>
      <c r="D73" s="151" t="s">
        <v>436</v>
      </c>
      <c r="E73" s="151" t="s">
        <v>250</v>
      </c>
      <c r="F73" s="151" t="s">
        <v>94</v>
      </c>
      <c r="G73" s="151" t="str">
        <f t="shared" si="16"/>
        <v>Chisel-Harrow 21 shank</v>
      </c>
      <c r="H73" s="30">
        <v>12625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239.39932063061258</v>
      </c>
      <c r="W73" s="9">
        <f t="shared" si="20"/>
        <v>1.5959954708707504</v>
      </c>
      <c r="X73" s="8">
        <f t="shared" si="21"/>
        <v>683.85416666666663</v>
      </c>
      <c r="Y73" s="7">
        <f t="shared" si="22"/>
        <v>4.5590277777777777</v>
      </c>
      <c r="Z73" s="2">
        <f t="shared" si="23"/>
        <v>3787.5</v>
      </c>
      <c r="AA73" s="2">
        <f t="shared" si="24"/>
        <v>736.45833333333337</v>
      </c>
      <c r="AB73" s="2">
        <f t="shared" si="25"/>
        <v>8206.25</v>
      </c>
      <c r="AC73" s="6">
        <f t="shared" si="26"/>
        <v>738.5625</v>
      </c>
      <c r="AD73" s="6">
        <f t="shared" si="27"/>
        <v>196.95000000000002</v>
      </c>
      <c r="AE73" s="6">
        <f t="shared" si="28"/>
        <v>1671.9708333333335</v>
      </c>
      <c r="AF73" s="5">
        <f t="shared" si="29"/>
        <v>11.146472222222224</v>
      </c>
      <c r="AG73" s="207"/>
    </row>
    <row r="74" spans="1:33" x14ac:dyDescent="0.2">
      <c r="A74" s="229">
        <v>293</v>
      </c>
      <c r="B74" s="1" t="str">
        <f t="shared" si="15"/>
        <v>0.7, Chisel-Harrow 27 shank</v>
      </c>
      <c r="C74" s="155">
        <v>0.7</v>
      </c>
      <c r="D74" s="151" t="s">
        <v>436</v>
      </c>
      <c r="E74" s="151" t="s">
        <v>250</v>
      </c>
      <c r="F74" s="151" t="s">
        <v>93</v>
      </c>
      <c r="G74" s="151" t="str">
        <f t="shared" si="16"/>
        <v>Chisel-Harrow 27 shank</v>
      </c>
      <c r="H74" s="30">
        <v>14241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270.04243367133103</v>
      </c>
      <c r="W74" s="9">
        <f t="shared" si="20"/>
        <v>1.8002828911422069</v>
      </c>
      <c r="X74" s="8">
        <f t="shared" si="21"/>
        <v>771.38749999999993</v>
      </c>
      <c r="Y74" s="7">
        <f t="shared" si="22"/>
        <v>5.1425833333333326</v>
      </c>
      <c r="Z74" s="2">
        <f t="shared" si="23"/>
        <v>4272.3</v>
      </c>
      <c r="AA74" s="2">
        <f t="shared" si="24"/>
        <v>830.72500000000002</v>
      </c>
      <c r="AB74" s="2">
        <f t="shared" si="25"/>
        <v>9256.65</v>
      </c>
      <c r="AC74" s="6">
        <f t="shared" si="26"/>
        <v>833.09849999999994</v>
      </c>
      <c r="AD74" s="6">
        <f t="shared" si="27"/>
        <v>222.15959999999998</v>
      </c>
      <c r="AE74" s="6">
        <f t="shared" si="28"/>
        <v>1885.9830999999999</v>
      </c>
      <c r="AF74" s="5">
        <f t="shared" si="29"/>
        <v>12.573220666666666</v>
      </c>
      <c r="AG74" s="207"/>
    </row>
    <row r="75" spans="1:33" x14ac:dyDescent="0.2">
      <c r="A75" s="229">
        <v>296</v>
      </c>
      <c r="B75" s="1" t="str">
        <f t="shared" si="15"/>
        <v>0.71, Coulter-Chisel-Harrow 21 shank</v>
      </c>
      <c r="C75" s="155">
        <v>0.71</v>
      </c>
      <c r="D75" s="151" t="s">
        <v>436</v>
      </c>
      <c r="E75" s="151" t="s">
        <v>251</v>
      </c>
      <c r="F75" s="151" t="s">
        <v>94</v>
      </c>
      <c r="G75" s="151" t="str">
        <f t="shared" si="16"/>
        <v>Coulter-Chisel-Harrow 21 shank</v>
      </c>
      <c r="H75" s="30">
        <v>19392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367.71735648862091</v>
      </c>
      <c r="W75" s="9">
        <f t="shared" si="20"/>
        <v>2.4514490432574729</v>
      </c>
      <c r="X75" s="8">
        <f t="shared" si="21"/>
        <v>1050.3999999999999</v>
      </c>
      <c r="Y75" s="7">
        <f t="shared" si="22"/>
        <v>7.0026666666666655</v>
      </c>
      <c r="Z75" s="2">
        <f t="shared" si="23"/>
        <v>5817.6</v>
      </c>
      <c r="AA75" s="2">
        <f t="shared" si="24"/>
        <v>1131.2</v>
      </c>
      <c r="AB75" s="2">
        <f t="shared" si="25"/>
        <v>12604.8</v>
      </c>
      <c r="AC75" s="6">
        <f t="shared" si="26"/>
        <v>1134.4319999999998</v>
      </c>
      <c r="AD75" s="6">
        <f t="shared" si="27"/>
        <v>302.51519999999999</v>
      </c>
      <c r="AE75" s="6">
        <f t="shared" si="28"/>
        <v>2568.1471999999994</v>
      </c>
      <c r="AF75" s="5">
        <f t="shared" si="29"/>
        <v>17.120981333333329</v>
      </c>
      <c r="AG75" s="207"/>
    </row>
    <row r="76" spans="1:33" x14ac:dyDescent="0.2">
      <c r="A76" s="229">
        <v>295</v>
      </c>
      <c r="B76" s="1" t="str">
        <f t="shared" si="15"/>
        <v>0.72, Coulter-Chisel-Harrow 27 shank</v>
      </c>
      <c r="C76" s="155">
        <v>0.72</v>
      </c>
      <c r="D76" s="151" t="s">
        <v>436</v>
      </c>
      <c r="E76" s="151" t="s">
        <v>251</v>
      </c>
      <c r="F76" s="151" t="s">
        <v>93</v>
      </c>
      <c r="G76" s="151" t="str">
        <f t="shared" si="16"/>
        <v>Coulter-Chisel-Harrow 27 shank</v>
      </c>
      <c r="H76" s="30">
        <v>24240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459.64669561077619</v>
      </c>
      <c r="W76" s="9">
        <f t="shared" si="20"/>
        <v>3.0643113040718415</v>
      </c>
      <c r="X76" s="8">
        <f t="shared" si="21"/>
        <v>1313</v>
      </c>
      <c r="Y76" s="7">
        <f t="shared" si="22"/>
        <v>8.7533333333333339</v>
      </c>
      <c r="Z76" s="2">
        <f t="shared" si="23"/>
        <v>7272</v>
      </c>
      <c r="AA76" s="2">
        <f t="shared" si="24"/>
        <v>1414</v>
      </c>
      <c r="AB76" s="2">
        <f t="shared" si="25"/>
        <v>15756</v>
      </c>
      <c r="AC76" s="6">
        <f t="shared" si="26"/>
        <v>1418.04</v>
      </c>
      <c r="AD76" s="6">
        <f t="shared" si="27"/>
        <v>378.14400000000001</v>
      </c>
      <c r="AE76" s="6">
        <f t="shared" si="28"/>
        <v>3210.1840000000002</v>
      </c>
      <c r="AF76" s="5">
        <f t="shared" si="29"/>
        <v>21.40122666666667</v>
      </c>
      <c r="AG76" s="207"/>
    </row>
    <row r="77" spans="1:33" x14ac:dyDescent="0.2">
      <c r="A77" s="229">
        <v>315</v>
      </c>
      <c r="B77" s="1" t="str">
        <f t="shared" si="15"/>
        <v>0.73, Cult &amp; PD Ridge Till 8R-30</v>
      </c>
      <c r="C77" s="155">
        <v>0.73</v>
      </c>
      <c r="D77" s="151" t="s">
        <v>436</v>
      </c>
      <c r="E77" s="151" t="s">
        <v>473</v>
      </c>
      <c r="F77" s="151" t="s">
        <v>25</v>
      </c>
      <c r="G77" s="151" t="str">
        <f t="shared" si="16"/>
        <v>Cult &amp; PD Ridge Till 8R-30</v>
      </c>
      <c r="H77" s="30">
        <v>30401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862.36997524213257</v>
      </c>
      <c r="W77" s="9">
        <f t="shared" si="20"/>
        <v>4.3118498762106627</v>
      </c>
      <c r="X77" s="8">
        <f t="shared" si="21"/>
        <v>2913.4291666666668</v>
      </c>
      <c r="Y77" s="7">
        <f t="shared" si="22"/>
        <v>14.567145833333335</v>
      </c>
      <c r="Z77" s="2">
        <f t="shared" si="23"/>
        <v>7600.25</v>
      </c>
      <c r="AA77" s="2">
        <f t="shared" si="24"/>
        <v>1900.0625</v>
      </c>
      <c r="AB77" s="2">
        <f t="shared" si="25"/>
        <v>19000.625</v>
      </c>
      <c r="AC77" s="6">
        <f t="shared" si="26"/>
        <v>1710.0562499999999</v>
      </c>
      <c r="AD77" s="6">
        <f t="shared" si="27"/>
        <v>456.01499999999999</v>
      </c>
      <c r="AE77" s="6">
        <f t="shared" si="28"/>
        <v>4066.1337499999995</v>
      </c>
      <c r="AF77" s="5">
        <f t="shared" si="29"/>
        <v>20.330668749999997</v>
      </c>
      <c r="AG77" s="207"/>
    </row>
    <row r="78" spans="1:33" x14ac:dyDescent="0.2">
      <c r="A78" s="229">
        <v>314</v>
      </c>
      <c r="B78" s="1" t="str">
        <f t="shared" si="15"/>
        <v>0.74, Cult &amp; PD Ridge Till 12R-30</v>
      </c>
      <c r="C78" s="155">
        <v>0.74</v>
      </c>
      <c r="D78" s="151" t="s">
        <v>436</v>
      </c>
      <c r="E78" s="151" t="s">
        <v>475</v>
      </c>
      <c r="F78" s="151" t="s">
        <v>6</v>
      </c>
      <c r="G78" s="151" t="str">
        <f t="shared" si="16"/>
        <v>Cult &amp; PD Ridge Till 12R-30</v>
      </c>
      <c r="H78" s="30">
        <v>41713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1183.251826495019</v>
      </c>
      <c r="W78" s="9">
        <f t="shared" si="20"/>
        <v>5.9162591324750951</v>
      </c>
      <c r="X78" s="8">
        <f t="shared" si="21"/>
        <v>3997.4958333333329</v>
      </c>
      <c r="Y78" s="7">
        <f t="shared" si="22"/>
        <v>19.987479166666663</v>
      </c>
      <c r="Z78" s="2">
        <f t="shared" si="23"/>
        <v>10428.25</v>
      </c>
      <c r="AA78" s="2">
        <f t="shared" si="24"/>
        <v>2607.0625</v>
      </c>
      <c r="AB78" s="2">
        <f t="shared" si="25"/>
        <v>26070.625</v>
      </c>
      <c r="AC78" s="6">
        <f t="shared" si="26"/>
        <v>2346.3562499999998</v>
      </c>
      <c r="AD78" s="6">
        <f t="shared" si="27"/>
        <v>625.69500000000005</v>
      </c>
      <c r="AE78" s="6">
        <f t="shared" si="28"/>
        <v>5579.1137499999995</v>
      </c>
      <c r="AF78" s="5">
        <f t="shared" si="29"/>
        <v>27.895568749999999</v>
      </c>
      <c r="AG78" s="207"/>
    </row>
    <row r="79" spans="1:33" x14ac:dyDescent="0.2">
      <c r="A79" s="229">
        <v>579</v>
      </c>
      <c r="B79" s="1" t="str">
        <f t="shared" si="15"/>
        <v>0.75, Cultivate  4R-30</v>
      </c>
      <c r="C79" s="155">
        <v>0.75</v>
      </c>
      <c r="D79" s="151" t="s">
        <v>436</v>
      </c>
      <c r="E79" s="151" t="s">
        <v>252</v>
      </c>
      <c r="F79" s="151" t="s">
        <v>48</v>
      </c>
      <c r="G79" s="151" t="str">
        <f t="shared" si="16"/>
        <v>Cultivate  4R-30</v>
      </c>
      <c r="H79" s="30">
        <v>11211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212.58659671998399</v>
      </c>
      <c r="W79" s="9">
        <f t="shared" si="20"/>
        <v>1.4172439781332267</v>
      </c>
      <c r="X79" s="8">
        <f t="shared" si="21"/>
        <v>448.43999999999994</v>
      </c>
      <c r="Y79" s="7">
        <f t="shared" si="22"/>
        <v>2.9895999999999998</v>
      </c>
      <c r="Z79" s="2">
        <f t="shared" si="23"/>
        <v>3363.3</v>
      </c>
      <c r="AA79" s="2">
        <f t="shared" si="24"/>
        <v>784.77</v>
      </c>
      <c r="AB79" s="2">
        <f t="shared" si="25"/>
        <v>7287.15</v>
      </c>
      <c r="AC79" s="6">
        <f t="shared" si="26"/>
        <v>655.84349999999995</v>
      </c>
      <c r="AD79" s="6">
        <f t="shared" si="27"/>
        <v>174.89159999999998</v>
      </c>
      <c r="AE79" s="6">
        <f t="shared" si="28"/>
        <v>1615.5050999999999</v>
      </c>
      <c r="AF79" s="5">
        <f t="shared" si="29"/>
        <v>10.770033999999999</v>
      </c>
      <c r="AG79" s="207"/>
    </row>
    <row r="80" spans="1:33" x14ac:dyDescent="0.2">
      <c r="A80" s="229">
        <v>31</v>
      </c>
      <c r="B80" s="1" t="str">
        <f t="shared" si="15"/>
        <v>0.76, Cultivate  4R-36</v>
      </c>
      <c r="C80" s="155">
        <v>0.76</v>
      </c>
      <c r="D80" s="151" t="s">
        <v>436</v>
      </c>
      <c r="E80" s="151" t="s">
        <v>252</v>
      </c>
      <c r="F80" s="151" t="s">
        <v>201</v>
      </c>
      <c r="G80" s="151" t="str">
        <f t="shared" si="16"/>
        <v>Cultivate  4R-36</v>
      </c>
      <c r="H80" s="30">
        <v>12019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227.90815324034318</v>
      </c>
      <c r="W80" s="9">
        <f t="shared" si="20"/>
        <v>1.5193876882689545</v>
      </c>
      <c r="X80" s="8">
        <f t="shared" si="21"/>
        <v>480.76000000000005</v>
      </c>
      <c r="Y80" s="7">
        <f t="shared" si="22"/>
        <v>3.2050666666666672</v>
      </c>
      <c r="Z80" s="2">
        <f t="shared" si="23"/>
        <v>3605.7</v>
      </c>
      <c r="AA80" s="2">
        <f t="shared" si="24"/>
        <v>841.32999999999993</v>
      </c>
      <c r="AB80" s="2">
        <f t="shared" si="25"/>
        <v>7812.35</v>
      </c>
      <c r="AC80" s="6">
        <f t="shared" si="26"/>
        <v>703.11149999999998</v>
      </c>
      <c r="AD80" s="6">
        <f t="shared" si="27"/>
        <v>187.49640000000002</v>
      </c>
      <c r="AE80" s="6">
        <f t="shared" si="28"/>
        <v>1731.9378999999999</v>
      </c>
      <c r="AF80" s="5">
        <f t="shared" si="29"/>
        <v>11.546252666666666</v>
      </c>
      <c r="AG80" s="207"/>
    </row>
    <row r="81" spans="1:33" x14ac:dyDescent="0.2">
      <c r="A81" s="229">
        <v>32</v>
      </c>
      <c r="B81" s="1" t="str">
        <f t="shared" si="15"/>
        <v>0.77, Cultivate  6R-30</v>
      </c>
      <c r="C81" s="155">
        <v>0.77</v>
      </c>
      <c r="D81" s="151" t="s">
        <v>436</v>
      </c>
      <c r="E81" s="151" t="s">
        <v>252</v>
      </c>
      <c r="F81" s="151" t="s">
        <v>53</v>
      </c>
      <c r="G81" s="151" t="str">
        <f t="shared" si="16"/>
        <v>Cultivate  6R-30</v>
      </c>
      <c r="H81" s="30">
        <v>16059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304.51593584213924</v>
      </c>
      <c r="W81" s="9">
        <f t="shared" si="20"/>
        <v>2.030106238947595</v>
      </c>
      <c r="X81" s="8">
        <f t="shared" si="21"/>
        <v>642.36</v>
      </c>
      <c r="Y81" s="7">
        <f t="shared" si="22"/>
        <v>4.2824</v>
      </c>
      <c r="Z81" s="2">
        <f t="shared" si="23"/>
        <v>4817.7</v>
      </c>
      <c r="AA81" s="2">
        <f t="shared" si="24"/>
        <v>1124.1299999999999</v>
      </c>
      <c r="AB81" s="2">
        <f t="shared" si="25"/>
        <v>10438.35</v>
      </c>
      <c r="AC81" s="6">
        <f t="shared" si="26"/>
        <v>939.45150000000001</v>
      </c>
      <c r="AD81" s="6">
        <f t="shared" si="27"/>
        <v>250.52040000000002</v>
      </c>
      <c r="AE81" s="6">
        <f t="shared" si="28"/>
        <v>2314.1018999999997</v>
      </c>
      <c r="AF81" s="5">
        <f t="shared" si="29"/>
        <v>15.427345999999998</v>
      </c>
      <c r="AG81" s="207"/>
    </row>
    <row r="82" spans="1:33" x14ac:dyDescent="0.2">
      <c r="A82" s="229">
        <v>33</v>
      </c>
      <c r="B82" s="1" t="str">
        <f t="shared" si="15"/>
        <v>0.78, Cultivate  6R-36</v>
      </c>
      <c r="C82" s="155">
        <v>0.78</v>
      </c>
      <c r="D82" s="151" t="s">
        <v>436</v>
      </c>
      <c r="E82" s="151" t="s">
        <v>252</v>
      </c>
      <c r="F82" s="151" t="s">
        <v>202</v>
      </c>
      <c r="G82" s="151" t="str">
        <f t="shared" si="16"/>
        <v>Cultivate  6R-36</v>
      </c>
      <c r="H82" s="30">
        <v>15857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300.68554671204942</v>
      </c>
      <c r="W82" s="9">
        <f t="shared" si="20"/>
        <v>2.0045703114136626</v>
      </c>
      <c r="X82" s="8">
        <f t="shared" si="21"/>
        <v>634.28</v>
      </c>
      <c r="Y82" s="7">
        <f t="shared" si="22"/>
        <v>4.228533333333333</v>
      </c>
      <c r="Z82" s="2">
        <f t="shared" si="23"/>
        <v>4757.1000000000004</v>
      </c>
      <c r="AA82" s="2">
        <f t="shared" si="24"/>
        <v>1109.99</v>
      </c>
      <c r="AB82" s="2">
        <f t="shared" si="25"/>
        <v>10307.049999999999</v>
      </c>
      <c r="AC82" s="6">
        <f t="shared" si="26"/>
        <v>927.63449999999989</v>
      </c>
      <c r="AD82" s="6">
        <f t="shared" si="27"/>
        <v>247.36919999999998</v>
      </c>
      <c r="AE82" s="6">
        <f t="shared" si="28"/>
        <v>2284.9937</v>
      </c>
      <c r="AF82" s="5">
        <f t="shared" si="29"/>
        <v>15.233291333333334</v>
      </c>
      <c r="AG82" s="207"/>
    </row>
    <row r="83" spans="1:33" x14ac:dyDescent="0.2">
      <c r="A83" s="229">
        <v>34</v>
      </c>
      <c r="B83" s="1" t="str">
        <f t="shared" si="15"/>
        <v>0.79, Cultivate  8R-30</v>
      </c>
      <c r="C83" s="155">
        <v>0.79</v>
      </c>
      <c r="D83" s="151" t="s">
        <v>436</v>
      </c>
      <c r="E83" s="151" t="s">
        <v>252</v>
      </c>
      <c r="F83" s="151" t="s">
        <v>25</v>
      </c>
      <c r="G83" s="151" t="str">
        <f t="shared" si="16"/>
        <v>Cultivate  8R-30</v>
      </c>
      <c r="H83" s="30">
        <v>20806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394.53008039924958</v>
      </c>
      <c r="W83" s="9">
        <f t="shared" si="20"/>
        <v>2.6302005359949971</v>
      </c>
      <c r="X83" s="8">
        <f t="shared" si="21"/>
        <v>832.24</v>
      </c>
      <c r="Y83" s="7">
        <f t="shared" si="22"/>
        <v>5.5482666666666667</v>
      </c>
      <c r="Z83" s="2">
        <f t="shared" si="23"/>
        <v>6241.8</v>
      </c>
      <c r="AA83" s="2">
        <f t="shared" si="24"/>
        <v>1456.42</v>
      </c>
      <c r="AB83" s="2">
        <f t="shared" si="25"/>
        <v>13523.9</v>
      </c>
      <c r="AC83" s="6">
        <f t="shared" si="26"/>
        <v>1217.1509999999998</v>
      </c>
      <c r="AD83" s="6">
        <f t="shared" si="27"/>
        <v>324.5736</v>
      </c>
      <c r="AE83" s="6">
        <f t="shared" si="28"/>
        <v>2998.1446000000001</v>
      </c>
      <c r="AF83" s="5">
        <f t="shared" si="29"/>
        <v>19.987630666666668</v>
      </c>
      <c r="AG83" s="207"/>
    </row>
    <row r="84" spans="1:33" x14ac:dyDescent="0.2">
      <c r="A84" s="229">
        <v>35</v>
      </c>
      <c r="B84" s="1" t="str">
        <f t="shared" si="15"/>
        <v>0.8, Cultivate  8R-36</v>
      </c>
      <c r="C84" s="155">
        <v>0.8</v>
      </c>
      <c r="D84" s="151" t="s">
        <v>436</v>
      </c>
      <c r="E84" s="151" t="s">
        <v>252</v>
      </c>
      <c r="F84" s="151" t="s">
        <v>199</v>
      </c>
      <c r="G84" s="151" t="str">
        <f t="shared" si="16"/>
        <v>Cultivate  8R-36</v>
      </c>
      <c r="H84" s="30">
        <v>22018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417.51241517978838</v>
      </c>
      <c r="W84" s="9">
        <f t="shared" si="20"/>
        <v>2.7834161011985894</v>
      </c>
      <c r="X84" s="8">
        <f t="shared" si="21"/>
        <v>880.72</v>
      </c>
      <c r="Y84" s="7">
        <f t="shared" si="22"/>
        <v>5.8714666666666666</v>
      </c>
      <c r="Z84" s="2">
        <f t="shared" si="23"/>
        <v>6605.4</v>
      </c>
      <c r="AA84" s="2">
        <f t="shared" si="24"/>
        <v>1541.26</v>
      </c>
      <c r="AB84" s="2">
        <f t="shared" si="25"/>
        <v>14311.7</v>
      </c>
      <c r="AC84" s="6">
        <f t="shared" si="26"/>
        <v>1288.0530000000001</v>
      </c>
      <c r="AD84" s="6">
        <f t="shared" si="27"/>
        <v>343.48080000000004</v>
      </c>
      <c r="AE84" s="6">
        <f t="shared" si="28"/>
        <v>3172.7938000000004</v>
      </c>
      <c r="AF84" s="5">
        <f t="shared" si="29"/>
        <v>21.151958666666669</v>
      </c>
      <c r="AG84" s="207"/>
    </row>
    <row r="85" spans="1:33" x14ac:dyDescent="0.2">
      <c r="A85" s="229">
        <v>36</v>
      </c>
      <c r="B85" s="1" t="str">
        <f t="shared" si="15"/>
        <v>0.81, Cultivate 10R-30</v>
      </c>
      <c r="C85" s="155">
        <v>0.81</v>
      </c>
      <c r="D85" s="151" t="s">
        <v>436</v>
      </c>
      <c r="E85" s="151" t="s">
        <v>252</v>
      </c>
      <c r="F85" s="151" t="s">
        <v>24</v>
      </c>
      <c r="G85" s="151" t="str">
        <f t="shared" si="16"/>
        <v>Cultivate 10R-30</v>
      </c>
      <c r="H85" s="30">
        <v>28482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540.08486734266205</v>
      </c>
      <c r="W85" s="9">
        <f t="shared" si="20"/>
        <v>3.6005657822844137</v>
      </c>
      <c r="X85" s="8">
        <f t="shared" si="21"/>
        <v>1139.28</v>
      </c>
      <c r="Y85" s="7">
        <f t="shared" si="22"/>
        <v>7.5952000000000002</v>
      </c>
      <c r="Z85" s="2">
        <f t="shared" si="23"/>
        <v>8544.6</v>
      </c>
      <c r="AA85" s="2">
        <f t="shared" si="24"/>
        <v>1993.7400000000002</v>
      </c>
      <c r="AB85" s="2">
        <f t="shared" si="25"/>
        <v>18513.3</v>
      </c>
      <c r="AC85" s="6">
        <f t="shared" si="26"/>
        <v>1666.1969999999999</v>
      </c>
      <c r="AD85" s="6">
        <f t="shared" si="27"/>
        <v>444.31919999999997</v>
      </c>
      <c r="AE85" s="6">
        <f t="shared" si="28"/>
        <v>4104.2561999999998</v>
      </c>
      <c r="AF85" s="5">
        <f t="shared" si="29"/>
        <v>27.361708</v>
      </c>
      <c r="AG85" s="207"/>
    </row>
    <row r="86" spans="1:33" x14ac:dyDescent="0.2">
      <c r="A86" s="229">
        <v>508</v>
      </c>
      <c r="B86" s="1" t="str">
        <f t="shared" si="15"/>
        <v>0.82, Cultivate 12R-30</v>
      </c>
      <c r="C86" s="155">
        <v>0.82</v>
      </c>
      <c r="D86" s="151" t="s">
        <v>436</v>
      </c>
      <c r="E86" s="151" t="s">
        <v>252</v>
      </c>
      <c r="F86" s="151" t="s">
        <v>6</v>
      </c>
      <c r="G86" s="151" t="str">
        <f t="shared" si="16"/>
        <v>Cultivate 12R-30</v>
      </c>
      <c r="H86" s="30">
        <v>36663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695.215627111299</v>
      </c>
      <c r="W86" s="9">
        <f t="shared" si="20"/>
        <v>4.6347708474086602</v>
      </c>
      <c r="X86" s="8">
        <f t="shared" si="21"/>
        <v>1466.52</v>
      </c>
      <c r="Y86" s="7">
        <f t="shared" si="22"/>
        <v>9.7767999999999997</v>
      </c>
      <c r="Z86" s="2">
        <f t="shared" si="23"/>
        <v>10998.9</v>
      </c>
      <c r="AA86" s="2">
        <f t="shared" si="24"/>
        <v>2566.41</v>
      </c>
      <c r="AB86" s="2">
        <f t="shared" si="25"/>
        <v>23830.95</v>
      </c>
      <c r="AC86" s="6">
        <f t="shared" si="26"/>
        <v>2144.7855</v>
      </c>
      <c r="AD86" s="6">
        <f t="shared" si="27"/>
        <v>571.94280000000003</v>
      </c>
      <c r="AE86" s="6">
        <f t="shared" si="28"/>
        <v>5283.1382999999996</v>
      </c>
      <c r="AF86" s="5">
        <f t="shared" si="29"/>
        <v>35.220921999999995</v>
      </c>
      <c r="AG86" s="207"/>
    </row>
    <row r="87" spans="1:33" x14ac:dyDescent="0.2">
      <c r="A87" s="229">
        <v>235</v>
      </c>
      <c r="B87" s="1" t="str">
        <f t="shared" si="15"/>
        <v>0.83, Cultivate  8R-36 2x1</v>
      </c>
      <c r="C87" s="155">
        <v>0.83</v>
      </c>
      <c r="D87" s="151" t="s">
        <v>436</v>
      </c>
      <c r="E87" s="151" t="s">
        <v>252</v>
      </c>
      <c r="F87" s="151" t="s">
        <v>203</v>
      </c>
      <c r="G87" s="151" t="str">
        <f t="shared" si="16"/>
        <v>Cultivate  8R-36 2x1</v>
      </c>
      <c r="H87" s="30">
        <v>29997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568.81278581833556</v>
      </c>
      <c r="W87" s="9">
        <f t="shared" si="20"/>
        <v>3.7920852387889039</v>
      </c>
      <c r="X87" s="8">
        <f t="shared" si="21"/>
        <v>1199.8799999999999</v>
      </c>
      <c r="Y87" s="7">
        <f t="shared" si="22"/>
        <v>7.9991999999999992</v>
      </c>
      <c r="Z87" s="2">
        <f t="shared" si="23"/>
        <v>8999.1</v>
      </c>
      <c r="AA87" s="2">
        <f t="shared" si="24"/>
        <v>2099.79</v>
      </c>
      <c r="AB87" s="2">
        <f t="shared" si="25"/>
        <v>19498.05</v>
      </c>
      <c r="AC87" s="6">
        <f t="shared" si="26"/>
        <v>1754.8244999999999</v>
      </c>
      <c r="AD87" s="6">
        <f t="shared" si="27"/>
        <v>467.95319999999998</v>
      </c>
      <c r="AE87" s="6">
        <f t="shared" si="28"/>
        <v>4322.5676999999996</v>
      </c>
      <c r="AF87" s="5">
        <f t="shared" si="29"/>
        <v>28.817117999999997</v>
      </c>
      <c r="AG87" s="207"/>
    </row>
    <row r="88" spans="1:33" x14ac:dyDescent="0.2">
      <c r="A88" s="229">
        <v>236</v>
      </c>
      <c r="B88" s="1" t="str">
        <f t="shared" si="15"/>
        <v>0.84, Cultivate 12R-36</v>
      </c>
      <c r="C88" s="155">
        <v>0.84</v>
      </c>
      <c r="D88" s="151" t="s">
        <v>436</v>
      </c>
      <c r="E88" s="151" t="s">
        <v>252</v>
      </c>
      <c r="F88" s="151" t="s">
        <v>200</v>
      </c>
      <c r="G88" s="151" t="str">
        <f t="shared" si="16"/>
        <v>Cultivate 12R-36</v>
      </c>
      <c r="H88" s="30">
        <v>37774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716.28276732679296</v>
      </c>
      <c r="W88" s="9">
        <f t="shared" si="20"/>
        <v>4.775218448845286</v>
      </c>
      <c r="X88" s="8">
        <f t="shared" si="21"/>
        <v>1510.96</v>
      </c>
      <c r="Y88" s="7">
        <f t="shared" si="22"/>
        <v>10.073066666666668</v>
      </c>
      <c r="Z88" s="2">
        <f t="shared" si="23"/>
        <v>11332.2</v>
      </c>
      <c r="AA88" s="2">
        <f t="shared" si="24"/>
        <v>2644.18</v>
      </c>
      <c r="AB88" s="2">
        <f t="shared" si="25"/>
        <v>24553.1</v>
      </c>
      <c r="AC88" s="6">
        <f t="shared" si="26"/>
        <v>2209.779</v>
      </c>
      <c r="AD88" s="6">
        <f t="shared" si="27"/>
        <v>589.27440000000001</v>
      </c>
      <c r="AE88" s="6">
        <f t="shared" si="28"/>
        <v>5443.2334000000001</v>
      </c>
      <c r="AF88" s="5">
        <f t="shared" si="29"/>
        <v>36.28822266666667</v>
      </c>
      <c r="AG88" s="207"/>
    </row>
    <row r="89" spans="1:33" x14ac:dyDescent="0.2">
      <c r="A89" s="229">
        <v>580</v>
      </c>
      <c r="B89" s="1" t="str">
        <f t="shared" si="15"/>
        <v>0.85, Cultivate 16R-30</v>
      </c>
      <c r="C89" s="155">
        <v>0.85</v>
      </c>
      <c r="D89" s="151" t="s">
        <v>436</v>
      </c>
      <c r="E89" s="151" t="s">
        <v>252</v>
      </c>
      <c r="F89" s="151" t="s">
        <v>59</v>
      </c>
      <c r="G89" s="151" t="str">
        <f t="shared" si="16"/>
        <v>Cultivate 16R-30</v>
      </c>
      <c r="H89" s="30">
        <v>45652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865.66794340029514</v>
      </c>
      <c r="W89" s="9">
        <f t="shared" si="20"/>
        <v>5.7711196226686345</v>
      </c>
      <c r="X89" s="8">
        <f t="shared" si="21"/>
        <v>1826.08</v>
      </c>
      <c r="Y89" s="7">
        <f t="shared" si="22"/>
        <v>12.173866666666667</v>
      </c>
      <c r="Z89" s="2">
        <f t="shared" si="23"/>
        <v>13695.6</v>
      </c>
      <c r="AA89" s="2">
        <f t="shared" si="24"/>
        <v>3195.6400000000003</v>
      </c>
      <c r="AB89" s="2">
        <f t="shared" si="25"/>
        <v>29673.8</v>
      </c>
      <c r="AC89" s="6">
        <f t="shared" si="26"/>
        <v>2670.6419999999998</v>
      </c>
      <c r="AD89" s="6">
        <f t="shared" si="27"/>
        <v>712.1712</v>
      </c>
      <c r="AE89" s="6">
        <f t="shared" si="28"/>
        <v>6578.4531999999999</v>
      </c>
      <c r="AF89" s="5">
        <f t="shared" si="29"/>
        <v>43.856354666666668</v>
      </c>
      <c r="AG89" s="207"/>
    </row>
    <row r="90" spans="1:33" x14ac:dyDescent="0.2">
      <c r="A90" s="229">
        <v>578</v>
      </c>
      <c r="B90" s="1" t="str">
        <f t="shared" si="15"/>
        <v>0.86, Cultivate &amp; Post  4R-30</v>
      </c>
      <c r="C90" s="155">
        <v>0.86</v>
      </c>
      <c r="D90" s="151" t="s">
        <v>436</v>
      </c>
      <c r="E90" s="151" t="s">
        <v>253</v>
      </c>
      <c r="F90" s="151" t="s">
        <v>48</v>
      </c>
      <c r="G90" s="151" t="str">
        <f t="shared" si="16"/>
        <v>Cultivate &amp; Post  4R-30</v>
      </c>
      <c r="H90" s="30">
        <v>17271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327.49827062267804</v>
      </c>
      <c r="W90" s="9">
        <f t="shared" si="20"/>
        <v>2.1833218041511868</v>
      </c>
      <c r="X90" s="8">
        <f t="shared" si="21"/>
        <v>690.83999999999992</v>
      </c>
      <c r="Y90" s="7">
        <f t="shared" si="22"/>
        <v>4.605599999999999</v>
      </c>
      <c r="Z90" s="2">
        <f t="shared" si="23"/>
        <v>5181.3</v>
      </c>
      <c r="AA90" s="2">
        <f t="shared" si="24"/>
        <v>1208.97</v>
      </c>
      <c r="AB90" s="2">
        <f t="shared" si="25"/>
        <v>11226.15</v>
      </c>
      <c r="AC90" s="6">
        <f t="shared" si="26"/>
        <v>1010.3534999999999</v>
      </c>
      <c r="AD90" s="6">
        <f t="shared" si="27"/>
        <v>269.42759999999998</v>
      </c>
      <c r="AE90" s="6">
        <f t="shared" si="28"/>
        <v>2488.7511</v>
      </c>
      <c r="AF90" s="5">
        <f t="shared" si="29"/>
        <v>16.591674000000001</v>
      </c>
      <c r="AG90" s="207"/>
    </row>
    <row r="91" spans="1:33" x14ac:dyDescent="0.2">
      <c r="A91" s="229">
        <v>15</v>
      </c>
      <c r="B91" s="1" t="str">
        <f t="shared" si="15"/>
        <v>0.87, Cultivate &amp; Post  4R-36</v>
      </c>
      <c r="C91" s="155">
        <v>0.87</v>
      </c>
      <c r="D91" s="151" t="s">
        <v>436</v>
      </c>
      <c r="E91" s="151" t="s">
        <v>253</v>
      </c>
      <c r="F91" s="151" t="s">
        <v>201</v>
      </c>
      <c r="G91" s="151" t="str">
        <f t="shared" si="16"/>
        <v>Cultivate &amp; Post  4R-36</v>
      </c>
      <c r="H91" s="30">
        <v>17978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340.90463257799234</v>
      </c>
      <c r="W91" s="9">
        <f t="shared" si="20"/>
        <v>2.2726975505199492</v>
      </c>
      <c r="X91" s="8">
        <f t="shared" si="21"/>
        <v>719.12</v>
      </c>
      <c r="Y91" s="7">
        <f t="shared" si="22"/>
        <v>4.7941333333333338</v>
      </c>
      <c r="Z91" s="2">
        <f t="shared" si="23"/>
        <v>5393.4</v>
      </c>
      <c r="AA91" s="2">
        <f t="shared" si="24"/>
        <v>1258.46</v>
      </c>
      <c r="AB91" s="2">
        <f t="shared" si="25"/>
        <v>11685.7</v>
      </c>
      <c r="AC91" s="6">
        <f t="shared" si="26"/>
        <v>1051.713</v>
      </c>
      <c r="AD91" s="6">
        <f t="shared" si="27"/>
        <v>280.45680000000004</v>
      </c>
      <c r="AE91" s="6">
        <f t="shared" si="28"/>
        <v>2590.6297999999997</v>
      </c>
      <c r="AF91" s="5">
        <f t="shared" si="29"/>
        <v>17.270865333333333</v>
      </c>
      <c r="AG91" s="207"/>
    </row>
    <row r="92" spans="1:33" x14ac:dyDescent="0.2">
      <c r="A92" s="229">
        <v>16</v>
      </c>
      <c r="B92" s="1" t="str">
        <f t="shared" si="15"/>
        <v>0.88, Cultivate &amp; Post  6R-30</v>
      </c>
      <c r="C92" s="155">
        <v>0.88</v>
      </c>
      <c r="D92" s="151" t="s">
        <v>436</v>
      </c>
      <c r="E92" s="151" t="s">
        <v>253</v>
      </c>
      <c r="F92" s="151" t="s">
        <v>53</v>
      </c>
      <c r="G92" s="151" t="str">
        <f t="shared" si="16"/>
        <v>Cultivate &amp; Post  6R-30</v>
      </c>
      <c r="H92" s="30">
        <v>22119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419.42760974483326</v>
      </c>
      <c r="W92" s="9">
        <f t="shared" si="20"/>
        <v>2.7961840649655549</v>
      </c>
      <c r="X92" s="8">
        <f t="shared" si="21"/>
        <v>884.76</v>
      </c>
      <c r="Y92" s="7">
        <f t="shared" si="22"/>
        <v>5.8983999999999996</v>
      </c>
      <c r="Z92" s="2">
        <f t="shared" si="23"/>
        <v>6635.7</v>
      </c>
      <c r="AA92" s="2">
        <f t="shared" si="24"/>
        <v>1548.33</v>
      </c>
      <c r="AB92" s="2">
        <f t="shared" si="25"/>
        <v>14377.35</v>
      </c>
      <c r="AC92" s="6">
        <f t="shared" si="26"/>
        <v>1293.9614999999999</v>
      </c>
      <c r="AD92" s="6">
        <f t="shared" si="27"/>
        <v>345.0564</v>
      </c>
      <c r="AE92" s="6">
        <f t="shared" si="28"/>
        <v>3187.3478999999998</v>
      </c>
      <c r="AF92" s="5">
        <f t="shared" si="29"/>
        <v>21.248985999999999</v>
      </c>
      <c r="AG92" s="207"/>
    </row>
    <row r="93" spans="1:33" x14ac:dyDescent="0.2">
      <c r="A93" s="229">
        <v>17</v>
      </c>
      <c r="B93" s="1" t="str">
        <f t="shared" si="15"/>
        <v>0.89, Cultivate &amp; Post  6R-36</v>
      </c>
      <c r="C93" s="155">
        <v>0.89</v>
      </c>
      <c r="D93" s="151" t="s">
        <v>436</v>
      </c>
      <c r="E93" s="151" t="s">
        <v>253</v>
      </c>
      <c r="F93" s="151" t="s">
        <v>202</v>
      </c>
      <c r="G93" s="151" t="str">
        <f t="shared" si="16"/>
        <v>Cultivate &amp; Post  6R-36</v>
      </c>
      <c r="H93" s="30">
        <v>21917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415.59722061474343</v>
      </c>
      <c r="W93" s="9">
        <f t="shared" si="20"/>
        <v>2.770648137431623</v>
      </c>
      <c r="X93" s="8">
        <f t="shared" si="21"/>
        <v>876.68</v>
      </c>
      <c r="Y93" s="7">
        <f t="shared" si="22"/>
        <v>5.8445333333333327</v>
      </c>
      <c r="Z93" s="2">
        <f t="shared" si="23"/>
        <v>6575.1</v>
      </c>
      <c r="AA93" s="2">
        <f t="shared" si="24"/>
        <v>1534.19</v>
      </c>
      <c r="AB93" s="2">
        <f t="shared" si="25"/>
        <v>14246.05</v>
      </c>
      <c r="AC93" s="6">
        <f t="shared" si="26"/>
        <v>1282.1444999999999</v>
      </c>
      <c r="AD93" s="6">
        <f t="shared" si="27"/>
        <v>341.90519999999998</v>
      </c>
      <c r="AE93" s="6">
        <f t="shared" si="28"/>
        <v>3158.2397000000001</v>
      </c>
      <c r="AF93" s="5">
        <f t="shared" si="29"/>
        <v>21.054931333333332</v>
      </c>
      <c r="AG93" s="207"/>
    </row>
    <row r="94" spans="1:33" x14ac:dyDescent="0.2">
      <c r="A94" s="229">
        <v>18</v>
      </c>
      <c r="B94" s="1" t="str">
        <f t="shared" si="15"/>
        <v>0.9, Cultivate &amp; Post  8R-30</v>
      </c>
      <c r="C94" s="155">
        <v>0.9</v>
      </c>
      <c r="D94" s="151" t="s">
        <v>436</v>
      </c>
      <c r="E94" s="151" t="s">
        <v>253</v>
      </c>
      <c r="F94" s="151" t="s">
        <v>25</v>
      </c>
      <c r="G94" s="151" t="str">
        <f t="shared" si="16"/>
        <v>Cultivate &amp; Post  8R-30</v>
      </c>
      <c r="H94" s="30">
        <v>26765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507.52655973689866</v>
      </c>
      <c r="W94" s="9">
        <f t="shared" si="20"/>
        <v>3.3835103982459911</v>
      </c>
      <c r="X94" s="8">
        <f t="shared" si="21"/>
        <v>1070.5999999999999</v>
      </c>
      <c r="Y94" s="7">
        <f t="shared" si="22"/>
        <v>7.1373333333333324</v>
      </c>
      <c r="Z94" s="2">
        <f t="shared" si="23"/>
        <v>8029.5</v>
      </c>
      <c r="AA94" s="2">
        <f t="shared" si="24"/>
        <v>1873.55</v>
      </c>
      <c r="AB94" s="2">
        <f t="shared" si="25"/>
        <v>17397.25</v>
      </c>
      <c r="AC94" s="6">
        <f t="shared" si="26"/>
        <v>1565.7525000000001</v>
      </c>
      <c r="AD94" s="6">
        <f t="shared" si="27"/>
        <v>417.53399999999999</v>
      </c>
      <c r="AE94" s="6">
        <f t="shared" si="28"/>
        <v>3856.8364999999999</v>
      </c>
      <c r="AF94" s="5">
        <f t="shared" si="29"/>
        <v>25.712243333333333</v>
      </c>
      <c r="AG94" s="207"/>
    </row>
    <row r="95" spans="1:33" x14ac:dyDescent="0.2">
      <c r="A95" s="229">
        <v>19</v>
      </c>
      <c r="B95" s="1" t="str">
        <f t="shared" si="15"/>
        <v>0.91, Cultivate &amp; Post  8R-36</v>
      </c>
      <c r="C95" s="155">
        <v>0.91</v>
      </c>
      <c r="D95" s="151" t="s">
        <v>436</v>
      </c>
      <c r="E95" s="151" t="s">
        <v>253</v>
      </c>
      <c r="F95" s="151" t="s">
        <v>199</v>
      </c>
      <c r="G95" s="151" t="str">
        <f t="shared" si="16"/>
        <v>Cultivate &amp; Post  8R-36</v>
      </c>
      <c r="H95" s="30">
        <v>28078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532.4240890824824</v>
      </c>
      <c r="W95" s="9">
        <f t="shared" si="20"/>
        <v>3.5494939272165493</v>
      </c>
      <c r="X95" s="8">
        <f t="shared" si="21"/>
        <v>1123.1200000000001</v>
      </c>
      <c r="Y95" s="7">
        <f t="shared" si="22"/>
        <v>7.4874666666666672</v>
      </c>
      <c r="Z95" s="2">
        <f t="shared" si="23"/>
        <v>8423.4</v>
      </c>
      <c r="AA95" s="2">
        <f t="shared" si="24"/>
        <v>1965.4599999999998</v>
      </c>
      <c r="AB95" s="2">
        <f t="shared" si="25"/>
        <v>18250.7</v>
      </c>
      <c r="AC95" s="6">
        <f t="shared" si="26"/>
        <v>1642.5630000000001</v>
      </c>
      <c r="AD95" s="6">
        <f t="shared" si="27"/>
        <v>438.01680000000005</v>
      </c>
      <c r="AE95" s="6">
        <f t="shared" si="28"/>
        <v>4046.0398</v>
      </c>
      <c r="AF95" s="5">
        <f t="shared" si="29"/>
        <v>26.973598666666668</v>
      </c>
      <c r="AG95" s="207"/>
    </row>
    <row r="96" spans="1:33" x14ac:dyDescent="0.2">
      <c r="A96" s="229">
        <v>20</v>
      </c>
      <c r="B96" s="1" t="str">
        <f t="shared" si="15"/>
        <v>0.92, Cultivate &amp; Post 10R-30</v>
      </c>
      <c r="C96" s="155">
        <v>0.92</v>
      </c>
      <c r="D96" s="151" t="s">
        <v>436</v>
      </c>
      <c r="E96" s="151" t="s">
        <v>253</v>
      </c>
      <c r="F96" s="151" t="s">
        <v>24</v>
      </c>
      <c r="G96" s="151" t="str">
        <f t="shared" si="16"/>
        <v>Cultivate &amp; Post 10R-30</v>
      </c>
      <c r="H96" s="30">
        <v>34441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653.08134668031107</v>
      </c>
      <c r="W96" s="9">
        <f t="shared" si="20"/>
        <v>4.3538756445354068</v>
      </c>
      <c r="X96" s="8">
        <f t="shared" si="21"/>
        <v>1377.6399999999999</v>
      </c>
      <c r="Y96" s="7">
        <f t="shared" si="22"/>
        <v>9.1842666666666659</v>
      </c>
      <c r="Z96" s="2">
        <f t="shared" si="23"/>
        <v>10332.299999999999</v>
      </c>
      <c r="AA96" s="2">
        <f t="shared" si="24"/>
        <v>2410.87</v>
      </c>
      <c r="AB96" s="2">
        <f t="shared" si="25"/>
        <v>22386.65</v>
      </c>
      <c r="AC96" s="6">
        <f t="shared" si="26"/>
        <v>2014.7985000000001</v>
      </c>
      <c r="AD96" s="6">
        <f t="shared" si="27"/>
        <v>537.27960000000007</v>
      </c>
      <c r="AE96" s="6">
        <f t="shared" si="28"/>
        <v>4962.9480999999996</v>
      </c>
      <c r="AF96" s="5">
        <f t="shared" si="29"/>
        <v>33.086320666666666</v>
      </c>
      <c r="AG96" s="207"/>
    </row>
    <row r="97" spans="1:33" x14ac:dyDescent="0.2">
      <c r="A97" s="229">
        <v>310</v>
      </c>
      <c r="B97" s="1" t="str">
        <f t="shared" si="15"/>
        <v>0.93, Cultivate &amp; Post 12R-30</v>
      </c>
      <c r="C97" s="155">
        <v>0.93</v>
      </c>
      <c r="D97" s="151" t="s">
        <v>436</v>
      </c>
      <c r="E97" s="151" t="s">
        <v>253</v>
      </c>
      <c r="F97" s="151" t="s">
        <v>6</v>
      </c>
      <c r="G97" s="151" t="str">
        <f t="shared" si="16"/>
        <v>Cultivate &amp; Post 12R-30</v>
      </c>
      <c r="H97" s="30">
        <v>42622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808.21210644894813</v>
      </c>
      <c r="W97" s="9">
        <f t="shared" si="20"/>
        <v>5.3880807096596541</v>
      </c>
      <c r="X97" s="8">
        <f t="shared" si="21"/>
        <v>1704.8799999999999</v>
      </c>
      <c r="Y97" s="7">
        <f t="shared" si="22"/>
        <v>11.365866666666665</v>
      </c>
      <c r="Z97" s="2">
        <f t="shared" si="23"/>
        <v>12786.6</v>
      </c>
      <c r="AA97" s="2">
        <f t="shared" si="24"/>
        <v>2983.54</v>
      </c>
      <c r="AB97" s="2">
        <f t="shared" si="25"/>
        <v>27704.3</v>
      </c>
      <c r="AC97" s="6">
        <f t="shared" si="26"/>
        <v>2493.3869999999997</v>
      </c>
      <c r="AD97" s="6">
        <f t="shared" si="27"/>
        <v>664.90319999999997</v>
      </c>
      <c r="AE97" s="6">
        <f t="shared" si="28"/>
        <v>6141.8301999999994</v>
      </c>
      <c r="AF97" s="5">
        <f t="shared" si="29"/>
        <v>40.94553466666666</v>
      </c>
      <c r="AG97" s="207"/>
    </row>
    <row r="98" spans="1:33" x14ac:dyDescent="0.2">
      <c r="A98" s="229">
        <v>231</v>
      </c>
      <c r="B98" s="1" t="str">
        <f t="shared" si="15"/>
        <v>0.94, Cultivate &amp; Post  8R-36 2x1</v>
      </c>
      <c r="C98" s="155">
        <v>0.94</v>
      </c>
      <c r="D98" s="151" t="s">
        <v>436</v>
      </c>
      <c r="E98" s="151" t="s">
        <v>253</v>
      </c>
      <c r="F98" s="151" t="s">
        <v>203</v>
      </c>
      <c r="G98" s="151" t="str">
        <f t="shared" si="16"/>
        <v>Cultivate &amp; Post  8R-36 2x1</v>
      </c>
      <c r="H98" s="30">
        <v>37471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710.53718363165819</v>
      </c>
      <c r="W98" s="9">
        <f t="shared" si="20"/>
        <v>4.7369145575443881</v>
      </c>
      <c r="X98" s="8">
        <f t="shared" si="21"/>
        <v>1498.84</v>
      </c>
      <c r="Y98" s="7">
        <f t="shared" si="22"/>
        <v>9.9922666666666657</v>
      </c>
      <c r="Z98" s="2">
        <f t="shared" si="23"/>
        <v>11241.3</v>
      </c>
      <c r="AA98" s="2">
        <f t="shared" si="24"/>
        <v>2622.9700000000003</v>
      </c>
      <c r="AB98" s="2">
        <f t="shared" si="25"/>
        <v>24356.15</v>
      </c>
      <c r="AC98" s="6">
        <f t="shared" si="26"/>
        <v>2192.0535</v>
      </c>
      <c r="AD98" s="6">
        <f t="shared" si="27"/>
        <v>584.5476000000001</v>
      </c>
      <c r="AE98" s="6">
        <f t="shared" si="28"/>
        <v>5399.5711000000001</v>
      </c>
      <c r="AF98" s="5">
        <f t="shared" si="29"/>
        <v>35.997140666666667</v>
      </c>
      <c r="AG98" s="207"/>
    </row>
    <row r="99" spans="1:33" x14ac:dyDescent="0.2">
      <c r="A99" s="229">
        <v>232</v>
      </c>
      <c r="B99" s="1" t="str">
        <f t="shared" si="15"/>
        <v>0.95, Cultivate &amp; Post 12R-36</v>
      </c>
      <c r="C99" s="155">
        <v>0.95</v>
      </c>
      <c r="D99" s="151" t="s">
        <v>436</v>
      </c>
      <c r="E99" s="151" t="s">
        <v>253</v>
      </c>
      <c r="F99" s="151" t="s">
        <v>200</v>
      </c>
      <c r="G99" s="151" t="str">
        <f t="shared" si="16"/>
        <v>Cultivate &amp; Post 12R-36</v>
      </c>
      <c r="H99" s="30">
        <v>45147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856.0919705750706</v>
      </c>
      <c r="W99" s="9">
        <f t="shared" si="20"/>
        <v>5.7072798038338037</v>
      </c>
      <c r="X99" s="8">
        <f t="shared" si="21"/>
        <v>1805.8799999999999</v>
      </c>
      <c r="Y99" s="7">
        <f t="shared" si="22"/>
        <v>12.039199999999999</v>
      </c>
      <c r="Z99" s="2">
        <f t="shared" si="23"/>
        <v>13544.1</v>
      </c>
      <c r="AA99" s="2">
        <f t="shared" si="24"/>
        <v>3160.29</v>
      </c>
      <c r="AB99" s="2">
        <f t="shared" si="25"/>
        <v>29345.55</v>
      </c>
      <c r="AC99" s="6">
        <f t="shared" si="26"/>
        <v>2641.0994999999998</v>
      </c>
      <c r="AD99" s="6">
        <f t="shared" si="27"/>
        <v>704.29319999999996</v>
      </c>
      <c r="AE99" s="6">
        <f t="shared" si="28"/>
        <v>6505.6826999999994</v>
      </c>
      <c r="AF99" s="5">
        <f t="shared" si="29"/>
        <v>43.371217999999999</v>
      </c>
      <c r="AG99" s="207"/>
    </row>
    <row r="100" spans="1:33" x14ac:dyDescent="0.2">
      <c r="A100" s="229">
        <v>581</v>
      </c>
      <c r="B100" s="1" t="str">
        <f t="shared" si="15"/>
        <v>0.96, Cultivate &amp; Post 16R-30</v>
      </c>
      <c r="C100" s="155">
        <v>0.96</v>
      </c>
      <c r="D100" s="151" t="s">
        <v>436</v>
      </c>
      <c r="E100" s="151" t="s">
        <v>253</v>
      </c>
      <c r="F100" s="151" t="s">
        <v>59</v>
      </c>
      <c r="G100" s="151" t="str">
        <f t="shared" si="16"/>
        <v>Cultivate &amp; Post 16R-30</v>
      </c>
      <c r="H100" s="30">
        <v>53126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1007.3923412136178</v>
      </c>
      <c r="W100" s="9">
        <f t="shared" si="20"/>
        <v>6.7159489414241182</v>
      </c>
      <c r="X100" s="8">
        <f t="shared" si="21"/>
        <v>2125.04</v>
      </c>
      <c r="Y100" s="7">
        <f t="shared" si="22"/>
        <v>14.166933333333333</v>
      </c>
      <c r="Z100" s="2">
        <f t="shared" si="23"/>
        <v>15937.8</v>
      </c>
      <c r="AA100" s="2">
        <f t="shared" si="24"/>
        <v>3718.8199999999997</v>
      </c>
      <c r="AB100" s="2">
        <f t="shared" si="25"/>
        <v>34531.9</v>
      </c>
      <c r="AC100" s="6">
        <f t="shared" si="26"/>
        <v>3107.8710000000001</v>
      </c>
      <c r="AD100" s="6">
        <f t="shared" si="27"/>
        <v>828.76560000000006</v>
      </c>
      <c r="AE100" s="6">
        <f t="shared" si="28"/>
        <v>7655.4565999999995</v>
      </c>
      <c r="AF100" s="5">
        <f t="shared" si="29"/>
        <v>51.036377333333327</v>
      </c>
      <c r="AG100" s="207"/>
    </row>
    <row r="101" spans="1:33" x14ac:dyDescent="0.2">
      <c r="A101" s="229">
        <v>322</v>
      </c>
      <c r="B101" s="1" t="str">
        <f t="shared" si="15"/>
        <v>0.97, Cultivate Ridge Till 8R-30</v>
      </c>
      <c r="C101" s="155">
        <v>0.97</v>
      </c>
      <c r="D101" s="151" t="s">
        <v>436</v>
      </c>
      <c r="E101" s="151" t="s">
        <v>474</v>
      </c>
      <c r="F101" s="151" t="s">
        <v>25</v>
      </c>
      <c r="G101" s="151" t="str">
        <f t="shared" si="16"/>
        <v>Cultivate Ridge Till 8R-30</v>
      </c>
      <c r="H101" s="30">
        <v>25250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716.25413226090745</v>
      </c>
      <c r="W101" s="9">
        <f t="shared" si="20"/>
        <v>3.5812706613045373</v>
      </c>
      <c r="X101" s="8">
        <f t="shared" si="21"/>
        <v>2419.7916666666665</v>
      </c>
      <c r="Y101" s="7">
        <f t="shared" si="22"/>
        <v>12.098958333333332</v>
      </c>
      <c r="Z101" s="2">
        <f t="shared" si="23"/>
        <v>6312.5</v>
      </c>
      <c r="AA101" s="2">
        <f t="shared" si="24"/>
        <v>1578.125</v>
      </c>
      <c r="AB101" s="2">
        <f t="shared" si="25"/>
        <v>15781.25</v>
      </c>
      <c r="AC101" s="6">
        <f t="shared" si="26"/>
        <v>1420.3125</v>
      </c>
      <c r="AD101" s="6">
        <f t="shared" si="27"/>
        <v>378.75</v>
      </c>
      <c r="AE101" s="6">
        <f t="shared" si="28"/>
        <v>3377.1875</v>
      </c>
      <c r="AF101" s="5">
        <f t="shared" si="29"/>
        <v>16.885937500000001</v>
      </c>
      <c r="AG101" s="207"/>
    </row>
    <row r="102" spans="1:33" x14ac:dyDescent="0.2">
      <c r="A102" s="229">
        <v>320</v>
      </c>
      <c r="B102" s="1" t="str">
        <f t="shared" si="15"/>
        <v>0.98, Cultivate Ridge Till 12R-30</v>
      </c>
      <c r="C102" s="155">
        <v>0.98</v>
      </c>
      <c r="D102" s="151" t="s">
        <v>436</v>
      </c>
      <c r="E102" s="151" t="s">
        <v>476</v>
      </c>
      <c r="F102" s="151" t="s">
        <v>6</v>
      </c>
      <c r="G102" s="151" t="str">
        <f t="shared" si="16"/>
        <v>Cultivate Ridge Till 12R-30</v>
      </c>
      <c r="H102" s="30">
        <v>35754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1014.2158512814449</v>
      </c>
      <c r="W102" s="9">
        <f t="shared" si="20"/>
        <v>5.0710792564072245</v>
      </c>
      <c r="X102" s="8">
        <f t="shared" si="21"/>
        <v>3426.4249999999997</v>
      </c>
      <c r="Y102" s="7">
        <f t="shared" si="22"/>
        <v>17.132124999999998</v>
      </c>
      <c r="Z102" s="2">
        <f t="shared" si="23"/>
        <v>8938.5</v>
      </c>
      <c r="AA102" s="2">
        <f t="shared" si="24"/>
        <v>2234.625</v>
      </c>
      <c r="AB102" s="2">
        <f t="shared" si="25"/>
        <v>22346.25</v>
      </c>
      <c r="AC102" s="6">
        <f t="shared" si="26"/>
        <v>2011.1624999999999</v>
      </c>
      <c r="AD102" s="6">
        <f t="shared" si="27"/>
        <v>536.31000000000006</v>
      </c>
      <c r="AE102" s="6">
        <f t="shared" si="28"/>
        <v>4782.0975000000008</v>
      </c>
      <c r="AF102" s="5">
        <f t="shared" si="29"/>
        <v>23.910487500000002</v>
      </c>
      <c r="AG102" s="207"/>
    </row>
    <row r="103" spans="1:33" x14ac:dyDescent="0.2">
      <c r="A103" s="229">
        <v>47</v>
      </c>
      <c r="B103" s="1" t="str">
        <f t="shared" si="15"/>
        <v>0.99, Disk &amp; Incorporate 14'</v>
      </c>
      <c r="C103" s="155">
        <v>0.99</v>
      </c>
      <c r="D103" s="151" t="s">
        <v>436</v>
      </c>
      <c r="E103" s="151" t="s">
        <v>254</v>
      </c>
      <c r="F103" s="151" t="s">
        <v>12</v>
      </c>
      <c r="G103" s="151" t="str">
        <f t="shared" si="16"/>
        <v>Disk &amp; Incorporate 14'</v>
      </c>
      <c r="H103" s="30">
        <v>28078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796.47459507412907</v>
      </c>
      <c r="W103" s="9">
        <f t="shared" si="20"/>
        <v>3.9823729753706454</v>
      </c>
      <c r="X103" s="8">
        <f t="shared" si="21"/>
        <v>1684.6799999999998</v>
      </c>
      <c r="Y103" s="7">
        <f t="shared" si="22"/>
        <v>8.4233999999999991</v>
      </c>
      <c r="Z103" s="2">
        <f t="shared" si="23"/>
        <v>8423.4</v>
      </c>
      <c r="AA103" s="2">
        <f t="shared" si="24"/>
        <v>1965.4599999999998</v>
      </c>
      <c r="AB103" s="2">
        <f t="shared" si="25"/>
        <v>18250.7</v>
      </c>
      <c r="AC103" s="6">
        <f t="shared" si="26"/>
        <v>1642.5630000000001</v>
      </c>
      <c r="AD103" s="6">
        <f t="shared" si="27"/>
        <v>438.01680000000005</v>
      </c>
      <c r="AE103" s="6">
        <f t="shared" si="28"/>
        <v>4046.0398</v>
      </c>
      <c r="AF103" s="5">
        <f t="shared" si="29"/>
        <v>20.230198999999999</v>
      </c>
      <c r="AG103" s="207"/>
    </row>
    <row r="104" spans="1:33" x14ac:dyDescent="0.2">
      <c r="A104" s="229">
        <v>744</v>
      </c>
      <c r="B104" s="1" t="str">
        <f t="shared" si="15"/>
        <v>1, Disk &amp; Incorporate 20'</v>
      </c>
      <c r="C104" s="155">
        <v>1</v>
      </c>
      <c r="D104" s="151" t="s">
        <v>436</v>
      </c>
      <c r="E104" s="151" t="s">
        <v>254</v>
      </c>
      <c r="F104" s="151" t="s">
        <v>8</v>
      </c>
      <c r="G104" s="151" t="str">
        <f t="shared" si="16"/>
        <v>Disk &amp; Incorporate 20'</v>
      </c>
      <c r="H104" s="30">
        <v>44036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1077.8371150899129</v>
      </c>
      <c r="W104" s="9">
        <f t="shared" si="20"/>
        <v>5.9879839727217385</v>
      </c>
      <c r="X104" s="8">
        <f t="shared" si="21"/>
        <v>2642.16</v>
      </c>
      <c r="Y104" s="7">
        <f t="shared" si="22"/>
        <v>14.678666666666667</v>
      </c>
      <c r="Z104" s="2">
        <f t="shared" si="23"/>
        <v>13210.8</v>
      </c>
      <c r="AA104" s="2">
        <f t="shared" si="24"/>
        <v>3082.52</v>
      </c>
      <c r="AB104" s="2">
        <f t="shared" si="25"/>
        <v>28623.4</v>
      </c>
      <c r="AC104" s="6">
        <f t="shared" si="26"/>
        <v>2576.1060000000002</v>
      </c>
      <c r="AD104" s="6">
        <f t="shared" si="27"/>
        <v>686.96160000000009</v>
      </c>
      <c r="AE104" s="6">
        <f t="shared" si="28"/>
        <v>6345.5876000000007</v>
      </c>
      <c r="AF104" s="5">
        <f t="shared" si="29"/>
        <v>35.253264444444447</v>
      </c>
      <c r="AG104" s="207"/>
    </row>
    <row r="105" spans="1:33" x14ac:dyDescent="0.2">
      <c r="A105" s="229">
        <v>48</v>
      </c>
      <c r="B105" s="1" t="str">
        <f t="shared" si="15"/>
        <v>1.01, Disk &amp; Incorporate 24'</v>
      </c>
      <c r="C105" s="155">
        <v>1.01</v>
      </c>
      <c r="D105" s="151" t="s">
        <v>436</v>
      </c>
      <c r="E105" s="151" t="s">
        <v>254</v>
      </c>
      <c r="F105" s="151" t="s">
        <v>65</v>
      </c>
      <c r="G105" s="151" t="str">
        <f t="shared" si="16"/>
        <v>Disk &amp; Incorporate 24'</v>
      </c>
      <c r="H105" s="30">
        <v>48985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1389.5330165861606</v>
      </c>
      <c r="W105" s="9">
        <f t="shared" si="20"/>
        <v>6.9476650829308024</v>
      </c>
      <c r="X105" s="8">
        <f t="shared" si="21"/>
        <v>2939.1</v>
      </c>
      <c r="Y105" s="7">
        <f t="shared" si="22"/>
        <v>14.695499999999999</v>
      </c>
      <c r="Z105" s="2">
        <f t="shared" si="23"/>
        <v>14695.5</v>
      </c>
      <c r="AA105" s="2">
        <f t="shared" si="24"/>
        <v>3428.95</v>
      </c>
      <c r="AB105" s="2">
        <f t="shared" si="25"/>
        <v>31840.25</v>
      </c>
      <c r="AC105" s="6">
        <f t="shared" si="26"/>
        <v>2865.6224999999999</v>
      </c>
      <c r="AD105" s="6">
        <f t="shared" si="27"/>
        <v>764.16600000000005</v>
      </c>
      <c r="AE105" s="6">
        <f t="shared" si="28"/>
        <v>7058.7385000000004</v>
      </c>
      <c r="AF105" s="5">
        <f t="shared" si="29"/>
        <v>35.293692499999999</v>
      </c>
      <c r="AG105" s="207"/>
    </row>
    <row r="106" spans="1:33" x14ac:dyDescent="0.2">
      <c r="A106" s="229">
        <v>582</v>
      </c>
      <c r="B106" s="1" t="str">
        <f t="shared" si="15"/>
        <v>1.02, Disk &amp; Incorporate 28'</v>
      </c>
      <c r="C106" s="155">
        <v>1.02</v>
      </c>
      <c r="D106" s="151" t="s">
        <v>436</v>
      </c>
      <c r="E106" s="151" t="s">
        <v>254</v>
      </c>
      <c r="F106" s="151" t="s">
        <v>92</v>
      </c>
      <c r="G106" s="151" t="str">
        <f t="shared" si="16"/>
        <v>Disk &amp; Incorporate 28'</v>
      </c>
      <c r="H106" s="30">
        <v>51712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1466.8884628703386</v>
      </c>
      <c r="W106" s="9">
        <f t="shared" si="20"/>
        <v>7.3344423143516932</v>
      </c>
      <c r="X106" s="8">
        <f t="shared" si="21"/>
        <v>3102.7200000000003</v>
      </c>
      <c r="Y106" s="7">
        <f t="shared" si="22"/>
        <v>15.513600000000002</v>
      </c>
      <c r="Z106" s="2">
        <f t="shared" si="23"/>
        <v>15513.6</v>
      </c>
      <c r="AA106" s="2">
        <f t="shared" si="24"/>
        <v>3619.84</v>
      </c>
      <c r="AB106" s="2">
        <f t="shared" si="25"/>
        <v>33612.800000000003</v>
      </c>
      <c r="AC106" s="6">
        <f t="shared" si="26"/>
        <v>3025.152</v>
      </c>
      <c r="AD106" s="6">
        <f t="shared" si="27"/>
        <v>806.70720000000006</v>
      </c>
      <c r="AE106" s="6">
        <f t="shared" si="28"/>
        <v>7451.6992</v>
      </c>
      <c r="AF106" s="5">
        <f t="shared" si="29"/>
        <v>37.258496000000001</v>
      </c>
      <c r="AG106" s="207"/>
    </row>
    <row r="107" spans="1:33" x14ac:dyDescent="0.2">
      <c r="A107" s="229">
        <v>49</v>
      </c>
      <c r="B107" s="1" t="str">
        <f t="shared" si="15"/>
        <v>1.03, Disk &amp; Incorporate 32'</v>
      </c>
      <c r="C107" s="155">
        <v>1.03</v>
      </c>
      <c r="D107" s="151" t="s">
        <v>436</v>
      </c>
      <c r="E107" s="151" t="s">
        <v>254</v>
      </c>
      <c r="F107" s="151" t="s">
        <v>43</v>
      </c>
      <c r="G107" s="151" t="str">
        <f t="shared" si="16"/>
        <v>Disk &amp; Incorporate 32'</v>
      </c>
      <c r="H107" s="30">
        <v>57368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1627.3293884967818</v>
      </c>
      <c r="W107" s="9">
        <f t="shared" si="20"/>
        <v>8.1366469424839085</v>
      </c>
      <c r="X107" s="8">
        <f t="shared" si="21"/>
        <v>3442.0800000000004</v>
      </c>
      <c r="Y107" s="7">
        <f t="shared" si="22"/>
        <v>17.210400000000003</v>
      </c>
      <c r="Z107" s="2">
        <f t="shared" si="23"/>
        <v>17210.400000000001</v>
      </c>
      <c r="AA107" s="2">
        <f t="shared" si="24"/>
        <v>4015.7599999999998</v>
      </c>
      <c r="AB107" s="2">
        <f t="shared" si="25"/>
        <v>37289.199999999997</v>
      </c>
      <c r="AC107" s="6">
        <f t="shared" si="26"/>
        <v>3356.0279999999998</v>
      </c>
      <c r="AD107" s="6">
        <f t="shared" si="27"/>
        <v>894.94079999999997</v>
      </c>
      <c r="AE107" s="6">
        <f t="shared" si="28"/>
        <v>8266.728799999999</v>
      </c>
      <c r="AF107" s="5">
        <f t="shared" si="29"/>
        <v>41.333643999999993</v>
      </c>
      <c r="AG107" s="207"/>
    </row>
    <row r="108" spans="1:33" x14ac:dyDescent="0.2">
      <c r="A108" s="229">
        <v>72</v>
      </c>
      <c r="B108" s="1" t="str">
        <f t="shared" si="15"/>
        <v>1.04, Disk Harrow 14'</v>
      </c>
      <c r="C108" s="155">
        <v>1.04</v>
      </c>
      <c r="D108" s="151" t="s">
        <v>436</v>
      </c>
      <c r="E108" s="151" t="s">
        <v>255</v>
      </c>
      <c r="F108" s="151" t="s">
        <v>12</v>
      </c>
      <c r="G108" s="151" t="str">
        <f t="shared" si="16"/>
        <v>Disk Harrow 14'</v>
      </c>
      <c r="H108" s="235">
        <v>24400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597.22103751916325</v>
      </c>
      <c r="W108" s="9">
        <f t="shared" si="20"/>
        <v>3.3178946528842403</v>
      </c>
      <c r="X108" s="8">
        <f t="shared" si="21"/>
        <v>1220</v>
      </c>
      <c r="Y108" s="7">
        <f t="shared" si="22"/>
        <v>6.7777777777777777</v>
      </c>
      <c r="Z108" s="2">
        <f t="shared" si="23"/>
        <v>7320</v>
      </c>
      <c r="AA108" s="2">
        <f t="shared" si="24"/>
        <v>1708</v>
      </c>
      <c r="AB108" s="2">
        <f t="shared" si="25"/>
        <v>15860</v>
      </c>
      <c r="AC108" s="6">
        <f t="shared" si="26"/>
        <v>1427.3999999999999</v>
      </c>
      <c r="AD108" s="6">
        <f t="shared" si="27"/>
        <v>380.64</v>
      </c>
      <c r="AE108" s="6">
        <f t="shared" si="28"/>
        <v>3516.0399999999995</v>
      </c>
      <c r="AF108" s="5">
        <f t="shared" si="29"/>
        <v>19.533555555555552</v>
      </c>
      <c r="AG108" s="207"/>
    </row>
    <row r="109" spans="1:33" x14ac:dyDescent="0.2">
      <c r="A109" s="229">
        <v>743</v>
      </c>
      <c r="B109" s="1" t="str">
        <f t="shared" si="15"/>
        <v>1.05, Disk Harrow 20'</v>
      </c>
      <c r="C109" s="155">
        <v>1.05</v>
      </c>
      <c r="D109" s="151" t="s">
        <v>436</v>
      </c>
      <c r="E109" s="151" t="s">
        <v>255</v>
      </c>
      <c r="F109" s="151" t="s">
        <v>8</v>
      </c>
      <c r="G109" s="151" t="str">
        <f t="shared" si="16"/>
        <v>Disk Harrow 20'</v>
      </c>
      <c r="H109" s="235">
        <v>40600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993.73664439664049</v>
      </c>
      <c r="W109" s="9">
        <f t="shared" si="20"/>
        <v>5.5207591355368919</v>
      </c>
      <c r="X109" s="8">
        <f t="shared" si="21"/>
        <v>2030</v>
      </c>
      <c r="Y109" s="7">
        <f t="shared" si="22"/>
        <v>11.277777777777779</v>
      </c>
      <c r="Z109" s="2">
        <f t="shared" si="23"/>
        <v>12180</v>
      </c>
      <c r="AA109" s="2">
        <f t="shared" si="24"/>
        <v>2842</v>
      </c>
      <c r="AB109" s="2">
        <f t="shared" si="25"/>
        <v>26390</v>
      </c>
      <c r="AC109" s="6">
        <f t="shared" si="26"/>
        <v>2375.1</v>
      </c>
      <c r="AD109" s="6">
        <f t="shared" si="27"/>
        <v>633.36</v>
      </c>
      <c r="AE109" s="6">
        <f t="shared" si="28"/>
        <v>5850.46</v>
      </c>
      <c r="AF109" s="5">
        <f t="shared" si="29"/>
        <v>32.502555555555553</v>
      </c>
      <c r="AG109" s="207"/>
    </row>
    <row r="110" spans="1:33" x14ac:dyDescent="0.2">
      <c r="A110" s="229">
        <v>73</v>
      </c>
      <c r="B110" s="1" t="str">
        <f t="shared" si="15"/>
        <v>1.06, Disk Harrow 24'</v>
      </c>
      <c r="C110" s="155">
        <v>1.06</v>
      </c>
      <c r="D110" s="151" t="s">
        <v>436</v>
      </c>
      <c r="E110" s="151" t="s">
        <v>255</v>
      </c>
      <c r="F110" s="151" t="s">
        <v>65</v>
      </c>
      <c r="G110" s="151" t="str">
        <f t="shared" si="16"/>
        <v>Disk Harrow 24'</v>
      </c>
      <c r="H110" s="235">
        <v>42500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1040.2415612526408</v>
      </c>
      <c r="W110" s="9">
        <f t="shared" si="20"/>
        <v>5.7791197847368938</v>
      </c>
      <c r="X110" s="8">
        <f t="shared" si="21"/>
        <v>2125</v>
      </c>
      <c r="Y110" s="7">
        <f t="shared" si="22"/>
        <v>11.805555555555555</v>
      </c>
      <c r="Z110" s="2">
        <f t="shared" si="23"/>
        <v>12750</v>
      </c>
      <c r="AA110" s="2">
        <f t="shared" si="24"/>
        <v>2975</v>
      </c>
      <c r="AB110" s="2">
        <f t="shared" si="25"/>
        <v>27625</v>
      </c>
      <c r="AC110" s="6">
        <f t="shared" si="26"/>
        <v>2486.25</v>
      </c>
      <c r="AD110" s="6">
        <f t="shared" si="27"/>
        <v>663</v>
      </c>
      <c r="AE110" s="6">
        <f t="shared" si="28"/>
        <v>6124.25</v>
      </c>
      <c r="AF110" s="5">
        <f t="shared" si="29"/>
        <v>34.023611111111109</v>
      </c>
      <c r="AG110" s="207"/>
    </row>
    <row r="111" spans="1:33" x14ac:dyDescent="0.2">
      <c r="A111" s="229">
        <v>291</v>
      </c>
      <c r="B111" s="1" t="str">
        <f t="shared" si="15"/>
        <v>1.07, Disk Harrow 28'</v>
      </c>
      <c r="C111" s="155">
        <v>1.07</v>
      </c>
      <c r="D111" s="151" t="s">
        <v>436</v>
      </c>
      <c r="E111" s="151" t="s">
        <v>255</v>
      </c>
      <c r="F111" s="151" t="s">
        <v>92</v>
      </c>
      <c r="G111" s="151" t="str">
        <f t="shared" si="16"/>
        <v>Disk Harrow 28'</v>
      </c>
      <c r="H111" s="235">
        <v>50400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1233.6041102854847</v>
      </c>
      <c r="W111" s="9">
        <f t="shared" si="20"/>
        <v>6.8533561682526924</v>
      </c>
      <c r="X111" s="8">
        <f t="shared" si="21"/>
        <v>2520</v>
      </c>
      <c r="Y111" s="7">
        <f t="shared" si="22"/>
        <v>14</v>
      </c>
      <c r="Z111" s="2">
        <f t="shared" si="23"/>
        <v>15120</v>
      </c>
      <c r="AA111" s="2">
        <f t="shared" si="24"/>
        <v>3528</v>
      </c>
      <c r="AB111" s="2">
        <f t="shared" si="25"/>
        <v>32760</v>
      </c>
      <c r="AC111" s="6">
        <f t="shared" si="26"/>
        <v>2948.4</v>
      </c>
      <c r="AD111" s="6">
        <f t="shared" si="27"/>
        <v>786.24</v>
      </c>
      <c r="AE111" s="6">
        <f t="shared" si="28"/>
        <v>7262.6399999999994</v>
      </c>
      <c r="AF111" s="5">
        <f t="shared" si="29"/>
        <v>40.347999999999999</v>
      </c>
      <c r="AG111" s="207"/>
    </row>
    <row r="112" spans="1:33" x14ac:dyDescent="0.2">
      <c r="A112" s="229">
        <v>74</v>
      </c>
      <c r="B112" s="1" t="str">
        <f t="shared" si="15"/>
        <v>1.08, Disk Harrow 32'</v>
      </c>
      <c r="C112" s="155">
        <v>1.08</v>
      </c>
      <c r="D112" s="151" t="s">
        <v>436</v>
      </c>
      <c r="E112" s="151" t="s">
        <v>255</v>
      </c>
      <c r="F112" s="151" t="s">
        <v>43</v>
      </c>
      <c r="G112" s="151" t="str">
        <f t="shared" si="16"/>
        <v>Disk Harrow 32'</v>
      </c>
      <c r="H112" s="235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207"/>
    </row>
    <row r="113" spans="1:33" x14ac:dyDescent="0.2">
      <c r="A113" s="229">
        <v>721</v>
      </c>
      <c r="B113" s="1" t="str">
        <f t="shared" si="15"/>
        <v>1.09, Disk Harrow 42'</v>
      </c>
      <c r="C113" s="155">
        <v>1.0900000000000001</v>
      </c>
      <c r="D113" s="151" t="s">
        <v>436</v>
      </c>
      <c r="E113" s="151" t="s">
        <v>255</v>
      </c>
      <c r="F113" s="151" t="s">
        <v>91</v>
      </c>
      <c r="G113" s="151" t="str">
        <f t="shared" si="16"/>
        <v>Disk Harrow 42'</v>
      </c>
      <c r="H113" s="235">
        <v>94400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2310.5600795823366</v>
      </c>
      <c r="W113" s="9">
        <f t="shared" si="20"/>
        <v>12.836444886568536</v>
      </c>
      <c r="X113" s="8">
        <f t="shared" si="21"/>
        <v>4720</v>
      </c>
      <c r="Y113" s="7">
        <f t="shared" si="22"/>
        <v>26.222222222222221</v>
      </c>
      <c r="Z113" s="2">
        <f t="shared" si="23"/>
        <v>28320</v>
      </c>
      <c r="AA113" s="2">
        <f t="shared" si="24"/>
        <v>6608</v>
      </c>
      <c r="AB113" s="2">
        <f t="shared" si="25"/>
        <v>61360</v>
      </c>
      <c r="AC113" s="6">
        <f t="shared" si="26"/>
        <v>5522.4</v>
      </c>
      <c r="AD113" s="6">
        <f t="shared" si="27"/>
        <v>1472.64</v>
      </c>
      <c r="AE113" s="6">
        <f t="shared" si="28"/>
        <v>13603.039999999999</v>
      </c>
      <c r="AF113" s="5">
        <f t="shared" si="29"/>
        <v>75.572444444444443</v>
      </c>
      <c r="AG113" s="207"/>
    </row>
    <row r="114" spans="1:33" x14ac:dyDescent="0.2">
      <c r="A114" s="229">
        <v>742</v>
      </c>
      <c r="B114" s="1" t="str">
        <f t="shared" si="15"/>
        <v>1.1, Disk Harrow 40-100 hp 14'</v>
      </c>
      <c r="C114" s="155">
        <v>1.1000000000000001</v>
      </c>
      <c r="D114" s="151" t="s">
        <v>436</v>
      </c>
      <c r="E114" s="151" t="s">
        <v>256</v>
      </c>
      <c r="F114" s="151" t="s">
        <v>12</v>
      </c>
      <c r="G114" s="151" t="str">
        <f t="shared" si="16"/>
        <v>Disk Harrow 40-100 hp 14'</v>
      </c>
      <c r="H114" s="30">
        <v>14241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348.56658997173787</v>
      </c>
      <c r="W114" s="9">
        <f t="shared" si="20"/>
        <v>1.9364810553985436</v>
      </c>
      <c r="X114" s="8">
        <f t="shared" si="21"/>
        <v>712.05</v>
      </c>
      <c r="Y114" s="7">
        <f t="shared" si="22"/>
        <v>3.9558333333333331</v>
      </c>
      <c r="Z114" s="2">
        <f t="shared" si="23"/>
        <v>4272.3</v>
      </c>
      <c r="AA114" s="2">
        <f t="shared" si="24"/>
        <v>996.87000000000012</v>
      </c>
      <c r="AB114" s="2">
        <f t="shared" si="25"/>
        <v>9256.65</v>
      </c>
      <c r="AC114" s="6">
        <f t="shared" si="26"/>
        <v>833.09849999999994</v>
      </c>
      <c r="AD114" s="6">
        <f t="shared" si="27"/>
        <v>222.15959999999998</v>
      </c>
      <c r="AE114" s="6">
        <f t="shared" si="28"/>
        <v>2052.1280999999999</v>
      </c>
      <c r="AF114" s="5">
        <f t="shared" si="29"/>
        <v>11.400711666666666</v>
      </c>
      <c r="AG114" s="207"/>
    </row>
    <row r="115" spans="1:33" x14ac:dyDescent="0.2">
      <c r="A115" s="229">
        <v>722</v>
      </c>
      <c r="B115" s="1" t="str">
        <f t="shared" si="15"/>
        <v>1.11, Disk Ripper 15'</v>
      </c>
      <c r="C115" s="155">
        <v>1.1100000000000001</v>
      </c>
      <c r="D115" s="151" t="s">
        <v>436</v>
      </c>
      <c r="E115" s="151" t="s">
        <v>257</v>
      </c>
      <c r="F115" s="151" t="s">
        <v>10</v>
      </c>
      <c r="G115" s="151" t="str">
        <f t="shared" si="16"/>
        <v>Disk Ripper 15'</v>
      </c>
      <c r="H115" s="30">
        <v>40804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998.7298038906531</v>
      </c>
      <c r="W115" s="9">
        <f t="shared" si="20"/>
        <v>5.5484989105036284</v>
      </c>
      <c r="X115" s="8">
        <f t="shared" si="21"/>
        <v>2040.2</v>
      </c>
      <c r="Y115" s="7">
        <f t="shared" si="22"/>
        <v>11.334444444444445</v>
      </c>
      <c r="Z115" s="2">
        <f t="shared" si="23"/>
        <v>12241.2</v>
      </c>
      <c r="AA115" s="2">
        <f t="shared" si="24"/>
        <v>2856.2799999999997</v>
      </c>
      <c r="AB115" s="2">
        <f t="shared" si="25"/>
        <v>26522.6</v>
      </c>
      <c r="AC115" s="6">
        <f t="shared" si="26"/>
        <v>2387.0339999999997</v>
      </c>
      <c r="AD115" s="6">
        <f t="shared" si="27"/>
        <v>636.54239999999993</v>
      </c>
      <c r="AE115" s="6">
        <f t="shared" si="28"/>
        <v>5879.8563999999997</v>
      </c>
      <c r="AF115" s="5">
        <f t="shared" si="29"/>
        <v>32.665868888888888</v>
      </c>
      <c r="AG115" s="207"/>
    </row>
    <row r="116" spans="1:33" x14ac:dyDescent="0.2">
      <c r="A116" s="229">
        <v>419</v>
      </c>
      <c r="B116" s="1" t="str">
        <f t="shared" si="15"/>
        <v xml:space="preserve">1.12, Ditcher  </v>
      </c>
      <c r="C116" s="155">
        <v>1.1200000000000001</v>
      </c>
      <c r="D116" s="151" t="s">
        <v>436</v>
      </c>
      <c r="E116" s="151" t="s">
        <v>258</v>
      </c>
      <c r="F116" s="151" t="s">
        <v>63</v>
      </c>
      <c r="G116" s="151" t="str">
        <f t="shared" si="16"/>
        <v xml:space="preserve">Ditcher  </v>
      </c>
      <c r="H116" s="30">
        <v>4959.1000000000004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140.67231157604223</v>
      </c>
      <c r="W116" s="9">
        <f t="shared" si="20"/>
        <v>0.70336155788021115</v>
      </c>
      <c r="X116" s="8">
        <f t="shared" si="21"/>
        <v>396.72800000000001</v>
      </c>
      <c r="Y116" s="7">
        <f t="shared" si="22"/>
        <v>1.9836400000000001</v>
      </c>
      <c r="Z116" s="2">
        <f t="shared" si="23"/>
        <v>1487.73</v>
      </c>
      <c r="AA116" s="2">
        <f t="shared" si="24"/>
        <v>347.13700000000006</v>
      </c>
      <c r="AB116" s="2">
        <f t="shared" si="25"/>
        <v>3223.415</v>
      </c>
      <c r="AC116" s="6">
        <f t="shared" si="26"/>
        <v>290.10735</v>
      </c>
      <c r="AD116" s="6">
        <f t="shared" si="27"/>
        <v>77.361959999999996</v>
      </c>
      <c r="AE116" s="6">
        <f t="shared" si="28"/>
        <v>714.60631000000001</v>
      </c>
      <c r="AF116" s="5">
        <f t="shared" si="29"/>
        <v>3.5730315500000001</v>
      </c>
      <c r="AG116" s="207"/>
    </row>
    <row r="117" spans="1:33" x14ac:dyDescent="0.2">
      <c r="A117" s="229">
        <v>76</v>
      </c>
      <c r="B117" s="1" t="str">
        <f t="shared" si="15"/>
        <v xml:space="preserve">1.13, Ditcher (1m/160a)  </v>
      </c>
      <c r="C117" s="155">
        <v>1.1299999999999999</v>
      </c>
      <c r="D117" s="151" t="s">
        <v>436</v>
      </c>
      <c r="E117" s="151" t="s">
        <v>259</v>
      </c>
      <c r="F117" s="151" t="s">
        <v>63</v>
      </c>
      <c r="G117" s="151" t="str">
        <f t="shared" si="16"/>
        <v xml:space="preserve">Ditcher (1m/160a)  </v>
      </c>
      <c r="H117" s="30">
        <v>4959.1000000000004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140.67231157604223</v>
      </c>
      <c r="W117" s="9">
        <f t="shared" si="20"/>
        <v>0.70336155788021115</v>
      </c>
      <c r="X117" s="8">
        <f t="shared" si="21"/>
        <v>396.72800000000001</v>
      </c>
      <c r="Y117" s="7">
        <f t="shared" si="22"/>
        <v>1.9836400000000001</v>
      </c>
      <c r="Z117" s="2">
        <f t="shared" si="23"/>
        <v>1487.73</v>
      </c>
      <c r="AA117" s="2">
        <f t="shared" si="24"/>
        <v>347.13700000000006</v>
      </c>
      <c r="AB117" s="2">
        <f t="shared" si="25"/>
        <v>3223.415</v>
      </c>
      <c r="AC117" s="6">
        <f t="shared" si="26"/>
        <v>290.10735</v>
      </c>
      <c r="AD117" s="6">
        <f t="shared" si="27"/>
        <v>77.361959999999996</v>
      </c>
      <c r="AE117" s="6">
        <f t="shared" si="28"/>
        <v>714.60631000000001</v>
      </c>
      <c r="AF117" s="5">
        <f t="shared" si="29"/>
        <v>3.5730315500000001</v>
      </c>
      <c r="AG117" s="207"/>
    </row>
    <row r="118" spans="1:33" x14ac:dyDescent="0.2">
      <c r="A118" s="229">
        <v>83</v>
      </c>
      <c r="B118" s="1" t="str">
        <f t="shared" si="15"/>
        <v>1.14, Fert Appl (Liquid)  4R-36</v>
      </c>
      <c r="C118" s="155">
        <v>1.1399999999999999</v>
      </c>
      <c r="D118" s="151" t="s">
        <v>436</v>
      </c>
      <c r="E118" s="151" t="s">
        <v>260</v>
      </c>
      <c r="F118" s="151" t="s">
        <v>201</v>
      </c>
      <c r="G118" s="151" t="str">
        <f t="shared" si="16"/>
        <v>Fert Appl (Liquid)  4R-36</v>
      </c>
      <c r="H118" s="30">
        <v>13635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258.5512662810616</v>
      </c>
      <c r="W118" s="9">
        <f t="shared" si="20"/>
        <v>1.7236751085404107</v>
      </c>
      <c r="X118" s="8">
        <f t="shared" si="21"/>
        <v>1363.5</v>
      </c>
      <c r="Y118" s="7">
        <f t="shared" si="22"/>
        <v>9.09</v>
      </c>
      <c r="Z118" s="2">
        <f t="shared" si="23"/>
        <v>5454</v>
      </c>
      <c r="AA118" s="2">
        <f t="shared" si="24"/>
        <v>1022.625</v>
      </c>
      <c r="AB118" s="2">
        <f t="shared" si="25"/>
        <v>9544.5</v>
      </c>
      <c r="AC118" s="6">
        <f t="shared" si="26"/>
        <v>859.005</v>
      </c>
      <c r="AD118" s="6">
        <f t="shared" si="27"/>
        <v>229.06800000000001</v>
      </c>
      <c r="AE118" s="6">
        <f t="shared" si="28"/>
        <v>2110.6980000000003</v>
      </c>
      <c r="AF118" s="5">
        <f t="shared" si="29"/>
        <v>14.071320000000002</v>
      </c>
      <c r="AG118" s="207"/>
    </row>
    <row r="119" spans="1:33" x14ac:dyDescent="0.2">
      <c r="A119" s="229">
        <v>84</v>
      </c>
      <c r="B119" s="1" t="str">
        <f t="shared" si="15"/>
        <v>1.15, Fert Appl (Liquid)  6R-30</v>
      </c>
      <c r="C119" s="155">
        <v>1.1499999999999999</v>
      </c>
      <c r="D119" s="151" t="s">
        <v>436</v>
      </c>
      <c r="E119" s="151" t="s">
        <v>260</v>
      </c>
      <c r="F119" s="151" t="s">
        <v>53</v>
      </c>
      <c r="G119" s="151" t="str">
        <f t="shared" si="16"/>
        <v>Fert Appl (Liquid)  6R-30</v>
      </c>
      <c r="H119" s="30">
        <v>16463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312.17671410231884</v>
      </c>
      <c r="W119" s="9">
        <f t="shared" si="20"/>
        <v>2.0811780940154589</v>
      </c>
      <c r="X119" s="8">
        <f t="shared" si="21"/>
        <v>1646.3</v>
      </c>
      <c r="Y119" s="7">
        <f t="shared" si="22"/>
        <v>10.975333333333333</v>
      </c>
      <c r="Z119" s="2">
        <f t="shared" si="23"/>
        <v>6585.2</v>
      </c>
      <c r="AA119" s="2">
        <f t="shared" si="24"/>
        <v>1234.7249999999999</v>
      </c>
      <c r="AB119" s="2">
        <f t="shared" si="25"/>
        <v>11524.1</v>
      </c>
      <c r="AC119" s="6">
        <f t="shared" si="26"/>
        <v>1037.1690000000001</v>
      </c>
      <c r="AD119" s="6">
        <f t="shared" si="27"/>
        <v>276.57839999999999</v>
      </c>
      <c r="AE119" s="6">
        <f t="shared" si="28"/>
        <v>2548.4724000000001</v>
      </c>
      <c r="AF119" s="5">
        <f t="shared" si="29"/>
        <v>16.989816000000001</v>
      </c>
      <c r="AG119" s="207"/>
    </row>
    <row r="120" spans="1:33" x14ac:dyDescent="0.2">
      <c r="A120" s="229">
        <v>85</v>
      </c>
      <c r="B120" s="1" t="str">
        <f t="shared" si="15"/>
        <v>1.16, Fert Appl (Liquid)  6R-36</v>
      </c>
      <c r="C120" s="155">
        <v>1.1599999999999999</v>
      </c>
      <c r="D120" s="151" t="s">
        <v>436</v>
      </c>
      <c r="E120" s="151" t="s">
        <v>260</v>
      </c>
      <c r="F120" s="151" t="s">
        <v>202</v>
      </c>
      <c r="G120" s="151" t="str">
        <f t="shared" si="16"/>
        <v>Fert Appl (Liquid)  6R-36</v>
      </c>
      <c r="H120" s="30">
        <v>14645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277.70321193151062</v>
      </c>
      <c r="W120" s="9">
        <f t="shared" si="20"/>
        <v>1.8513547462100708</v>
      </c>
      <c r="X120" s="8">
        <f t="shared" si="21"/>
        <v>1464.5</v>
      </c>
      <c r="Y120" s="7">
        <f t="shared" si="22"/>
        <v>9.7633333333333336</v>
      </c>
      <c r="Z120" s="2">
        <f t="shared" si="23"/>
        <v>5858</v>
      </c>
      <c r="AA120" s="2">
        <f t="shared" si="24"/>
        <v>1098.375</v>
      </c>
      <c r="AB120" s="2">
        <f t="shared" si="25"/>
        <v>10251.5</v>
      </c>
      <c r="AC120" s="6">
        <f t="shared" si="26"/>
        <v>922.63499999999999</v>
      </c>
      <c r="AD120" s="6">
        <f t="shared" si="27"/>
        <v>246.036</v>
      </c>
      <c r="AE120" s="6">
        <f t="shared" si="28"/>
        <v>2267.0459999999998</v>
      </c>
      <c r="AF120" s="5">
        <f t="shared" si="29"/>
        <v>15.113639999999998</v>
      </c>
      <c r="AG120" s="207"/>
    </row>
    <row r="121" spans="1:33" x14ac:dyDescent="0.2">
      <c r="A121" s="229">
        <v>86</v>
      </c>
      <c r="B121" s="1" t="str">
        <f t="shared" si="15"/>
        <v>1.17, Fert Appl (Liquid)  8R-30</v>
      </c>
      <c r="C121" s="155">
        <v>1.17</v>
      </c>
      <c r="D121" s="151" t="s">
        <v>436</v>
      </c>
      <c r="E121" s="151" t="s">
        <v>260</v>
      </c>
      <c r="F121" s="151" t="s">
        <v>25</v>
      </c>
      <c r="G121" s="151" t="str">
        <f t="shared" si="16"/>
        <v>Fert Appl (Liquid)  8R-30</v>
      </c>
      <c r="H121" s="30">
        <v>15352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291.10957388682488</v>
      </c>
      <c r="W121" s="9">
        <f t="shared" si="20"/>
        <v>1.9407304925788325</v>
      </c>
      <c r="X121" s="8">
        <f t="shared" si="21"/>
        <v>1535.2</v>
      </c>
      <c r="Y121" s="7">
        <f t="shared" si="22"/>
        <v>10.234666666666667</v>
      </c>
      <c r="Z121" s="2">
        <f t="shared" si="23"/>
        <v>6140.8</v>
      </c>
      <c r="AA121" s="2">
        <f t="shared" si="24"/>
        <v>1151.4000000000001</v>
      </c>
      <c r="AB121" s="2">
        <f t="shared" si="25"/>
        <v>10746.4</v>
      </c>
      <c r="AC121" s="6">
        <f t="shared" si="26"/>
        <v>967.17599999999993</v>
      </c>
      <c r="AD121" s="6">
        <f t="shared" si="27"/>
        <v>257.91359999999997</v>
      </c>
      <c r="AE121" s="6">
        <f t="shared" si="28"/>
        <v>2376.4895999999999</v>
      </c>
      <c r="AF121" s="5">
        <f t="shared" si="29"/>
        <v>15.843264</v>
      </c>
      <c r="AG121" s="207"/>
    </row>
    <row r="122" spans="1:33" x14ac:dyDescent="0.2">
      <c r="A122" s="229">
        <v>87</v>
      </c>
      <c r="B122" s="1" t="str">
        <f t="shared" si="15"/>
        <v>1.18, Fert Appl (Liquid)  8R-36</v>
      </c>
      <c r="C122" s="155">
        <v>1.18</v>
      </c>
      <c r="D122" s="151" t="s">
        <v>436</v>
      </c>
      <c r="E122" s="151" t="s">
        <v>260</v>
      </c>
      <c r="F122" s="151" t="s">
        <v>199</v>
      </c>
      <c r="G122" s="151" t="str">
        <f t="shared" si="16"/>
        <v>Fert Appl (Liquid)  8R-36</v>
      </c>
      <c r="H122" s="30">
        <v>17473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331.32865975276781</v>
      </c>
      <c r="W122" s="9">
        <f t="shared" si="20"/>
        <v>2.2088577316851188</v>
      </c>
      <c r="X122" s="8">
        <f t="shared" si="21"/>
        <v>1747.3</v>
      </c>
      <c r="Y122" s="7">
        <f t="shared" si="22"/>
        <v>11.648666666666667</v>
      </c>
      <c r="Z122" s="2">
        <f t="shared" si="23"/>
        <v>6989.2</v>
      </c>
      <c r="AA122" s="2">
        <f t="shared" si="24"/>
        <v>1310.4749999999999</v>
      </c>
      <c r="AB122" s="2">
        <f t="shared" si="25"/>
        <v>12231.1</v>
      </c>
      <c r="AC122" s="6">
        <f t="shared" si="26"/>
        <v>1100.799</v>
      </c>
      <c r="AD122" s="6">
        <f t="shared" si="27"/>
        <v>293.54640000000001</v>
      </c>
      <c r="AE122" s="6">
        <f t="shared" si="28"/>
        <v>2704.8204000000001</v>
      </c>
      <c r="AF122" s="5">
        <f t="shared" si="29"/>
        <v>18.032136000000001</v>
      </c>
      <c r="AG122" s="207"/>
    </row>
    <row r="123" spans="1:33" x14ac:dyDescent="0.2">
      <c r="A123" s="229">
        <v>88</v>
      </c>
      <c r="B123" s="1" t="str">
        <f t="shared" si="15"/>
        <v>1.19, Fert Appl (Liquid) 10R-30</v>
      </c>
      <c r="C123" s="155">
        <v>1.19</v>
      </c>
      <c r="D123" s="151" t="s">
        <v>436</v>
      </c>
      <c r="E123" s="151" t="s">
        <v>260</v>
      </c>
      <c r="F123" s="151" t="s">
        <v>24</v>
      </c>
      <c r="G123" s="151" t="str">
        <f t="shared" si="16"/>
        <v>Fert Appl (Liquid) 10R-30</v>
      </c>
      <c r="H123" s="30">
        <v>18786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356.22618909835154</v>
      </c>
      <c r="W123" s="9">
        <f t="shared" si="20"/>
        <v>2.374841260655677</v>
      </c>
      <c r="X123" s="8">
        <f t="shared" si="21"/>
        <v>1878.6</v>
      </c>
      <c r="Y123" s="7">
        <f t="shared" si="22"/>
        <v>12.523999999999999</v>
      </c>
      <c r="Z123" s="2">
        <f t="shared" si="23"/>
        <v>7514.4</v>
      </c>
      <c r="AA123" s="2">
        <f t="shared" si="24"/>
        <v>1408.95</v>
      </c>
      <c r="AB123" s="2">
        <f t="shared" si="25"/>
        <v>13150.2</v>
      </c>
      <c r="AC123" s="6">
        <f t="shared" si="26"/>
        <v>1183.518</v>
      </c>
      <c r="AD123" s="6">
        <f t="shared" si="27"/>
        <v>315.60480000000001</v>
      </c>
      <c r="AE123" s="6">
        <f t="shared" si="28"/>
        <v>2908.0727999999999</v>
      </c>
      <c r="AF123" s="5">
        <f t="shared" si="29"/>
        <v>19.387152</v>
      </c>
      <c r="AG123" s="207"/>
    </row>
    <row r="124" spans="1:33" x14ac:dyDescent="0.2">
      <c r="A124" s="229">
        <v>308</v>
      </c>
      <c r="B124" s="1" t="str">
        <f t="shared" si="15"/>
        <v>1.2, Fert Appl (Liquid) 12R-30</v>
      </c>
      <c r="C124" s="155">
        <v>1.2</v>
      </c>
      <c r="D124" s="151" t="s">
        <v>436</v>
      </c>
      <c r="E124" s="151" t="s">
        <v>260</v>
      </c>
      <c r="F124" s="151" t="s">
        <v>6</v>
      </c>
      <c r="G124" s="151" t="str">
        <f t="shared" si="16"/>
        <v>Fert Appl (Liquid) 12R-30</v>
      </c>
      <c r="H124" s="30">
        <v>19594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371.54774561871074</v>
      </c>
      <c r="W124" s="9">
        <f t="shared" si="20"/>
        <v>2.4769849707914049</v>
      </c>
      <c r="X124" s="8">
        <f t="shared" si="21"/>
        <v>1959.4</v>
      </c>
      <c r="Y124" s="7">
        <f t="shared" si="22"/>
        <v>13.062666666666667</v>
      </c>
      <c r="Z124" s="2">
        <f t="shared" si="23"/>
        <v>7837.6</v>
      </c>
      <c r="AA124" s="2">
        <f t="shared" si="24"/>
        <v>1469.55</v>
      </c>
      <c r="AB124" s="2">
        <f t="shared" si="25"/>
        <v>13715.8</v>
      </c>
      <c r="AC124" s="6">
        <f t="shared" si="26"/>
        <v>1234.4219999999998</v>
      </c>
      <c r="AD124" s="6">
        <f t="shared" si="27"/>
        <v>329.17919999999998</v>
      </c>
      <c r="AE124" s="6">
        <f t="shared" si="28"/>
        <v>3033.1511999999998</v>
      </c>
      <c r="AF124" s="5">
        <f t="shared" si="29"/>
        <v>20.221007999999998</v>
      </c>
      <c r="AG124" s="207"/>
    </row>
    <row r="125" spans="1:33" x14ac:dyDescent="0.2">
      <c r="A125" s="229">
        <v>89</v>
      </c>
      <c r="B125" s="1" t="str">
        <f t="shared" si="15"/>
        <v>1.21, Fert Appl (Liquid) 10R-36</v>
      </c>
      <c r="C125" s="155">
        <v>1.21</v>
      </c>
      <c r="D125" s="151" t="s">
        <v>436</v>
      </c>
      <c r="E125" s="151" t="s">
        <v>260</v>
      </c>
      <c r="F125" s="151" t="s">
        <v>204</v>
      </c>
      <c r="G125" s="151" t="str">
        <f t="shared" si="16"/>
        <v>Fert Appl (Liquid) 10R-36</v>
      </c>
      <c r="H125" s="30">
        <v>20503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388.78449670411487</v>
      </c>
      <c r="W125" s="9">
        <f t="shared" si="20"/>
        <v>2.5918966446940992</v>
      </c>
      <c r="X125" s="8">
        <f t="shared" si="21"/>
        <v>2050.3000000000002</v>
      </c>
      <c r="Y125" s="7">
        <f t="shared" si="22"/>
        <v>13.668666666666669</v>
      </c>
      <c r="Z125" s="2">
        <f t="shared" si="23"/>
        <v>8201.2000000000007</v>
      </c>
      <c r="AA125" s="2">
        <f t="shared" si="24"/>
        <v>1537.7249999999999</v>
      </c>
      <c r="AB125" s="2">
        <f t="shared" si="25"/>
        <v>14352.1</v>
      </c>
      <c r="AC125" s="6">
        <f t="shared" si="26"/>
        <v>1291.6890000000001</v>
      </c>
      <c r="AD125" s="6">
        <f t="shared" si="27"/>
        <v>344.4504</v>
      </c>
      <c r="AE125" s="6">
        <f t="shared" si="28"/>
        <v>3173.8643999999999</v>
      </c>
      <c r="AF125" s="5">
        <f t="shared" si="29"/>
        <v>21.159095999999998</v>
      </c>
      <c r="AG125" s="207"/>
    </row>
    <row r="126" spans="1:33" x14ac:dyDescent="0.2">
      <c r="A126" s="229">
        <v>244</v>
      </c>
      <c r="B126" s="1" t="str">
        <f t="shared" si="15"/>
        <v>1.22, Fert Appl (Liquid)  8R-36 2x1</v>
      </c>
      <c r="C126" s="155">
        <v>1.22</v>
      </c>
      <c r="D126" s="151" t="s">
        <v>436</v>
      </c>
      <c r="E126" s="151" t="s">
        <v>260</v>
      </c>
      <c r="F126" s="151" t="s">
        <v>203</v>
      </c>
      <c r="G126" s="151" t="str">
        <f t="shared" si="16"/>
        <v>Fert Appl (Liquid)  8R-36 2x1</v>
      </c>
      <c r="H126" s="30">
        <v>17069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323.66788149258821</v>
      </c>
      <c r="W126" s="9">
        <f t="shared" si="20"/>
        <v>2.1577858766172548</v>
      </c>
      <c r="X126" s="8">
        <f t="shared" si="21"/>
        <v>1706.9</v>
      </c>
      <c r="Y126" s="7">
        <f t="shared" si="22"/>
        <v>11.379333333333333</v>
      </c>
      <c r="Z126" s="2">
        <f t="shared" si="23"/>
        <v>6827.6</v>
      </c>
      <c r="AA126" s="2">
        <f t="shared" si="24"/>
        <v>1280.175</v>
      </c>
      <c r="AB126" s="2">
        <f t="shared" si="25"/>
        <v>11948.3</v>
      </c>
      <c r="AC126" s="6">
        <f t="shared" si="26"/>
        <v>1075.347</v>
      </c>
      <c r="AD126" s="6">
        <f t="shared" si="27"/>
        <v>286.75919999999996</v>
      </c>
      <c r="AE126" s="6">
        <f t="shared" si="28"/>
        <v>2642.2811999999999</v>
      </c>
      <c r="AF126" s="5">
        <f t="shared" si="29"/>
        <v>17.615207999999999</v>
      </c>
      <c r="AG126" s="207"/>
    </row>
    <row r="127" spans="1:33" x14ac:dyDescent="0.2">
      <c r="A127" s="229">
        <v>245</v>
      </c>
      <c r="B127" s="1" t="str">
        <f t="shared" si="15"/>
        <v>1.23, Fert Appl (Liquid) 12R-36</v>
      </c>
      <c r="C127" s="155">
        <v>1.23</v>
      </c>
      <c r="D127" s="151" t="s">
        <v>436</v>
      </c>
      <c r="E127" s="151" t="s">
        <v>260</v>
      </c>
      <c r="F127" s="151" t="s">
        <v>200</v>
      </c>
      <c r="G127" s="151" t="str">
        <f t="shared" si="16"/>
        <v>Fert Appl (Liquid) 12R-36</v>
      </c>
      <c r="H127" s="30">
        <v>18685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354.31099453330665</v>
      </c>
      <c r="W127" s="9">
        <f t="shared" si="20"/>
        <v>2.362073296888711</v>
      </c>
      <c r="X127" s="8">
        <f t="shared" si="21"/>
        <v>1868.5</v>
      </c>
      <c r="Y127" s="7">
        <f t="shared" si="22"/>
        <v>12.456666666666667</v>
      </c>
      <c r="Z127" s="2">
        <f t="shared" si="23"/>
        <v>7474</v>
      </c>
      <c r="AA127" s="2">
        <f t="shared" si="24"/>
        <v>1401.375</v>
      </c>
      <c r="AB127" s="2">
        <f t="shared" si="25"/>
        <v>13079.5</v>
      </c>
      <c r="AC127" s="6">
        <f t="shared" si="26"/>
        <v>1177.155</v>
      </c>
      <c r="AD127" s="6">
        <f t="shared" si="27"/>
        <v>313.90800000000002</v>
      </c>
      <c r="AE127" s="6">
        <f t="shared" si="28"/>
        <v>2892.4379999999996</v>
      </c>
      <c r="AF127" s="5">
        <f t="shared" si="29"/>
        <v>19.282919999999997</v>
      </c>
      <c r="AG127" s="207"/>
    </row>
    <row r="128" spans="1:33" x14ac:dyDescent="0.2">
      <c r="A128" s="229">
        <v>100</v>
      </c>
      <c r="B128" s="1" t="str">
        <f t="shared" si="15"/>
        <v>1.24, Field Cult &amp; Inc 42'</v>
      </c>
      <c r="C128" s="155">
        <v>1.24</v>
      </c>
      <c r="D128" s="151" t="s">
        <v>436</v>
      </c>
      <c r="E128" s="151" t="s">
        <v>261</v>
      </c>
      <c r="F128" s="151" t="s">
        <v>91</v>
      </c>
      <c r="G128" s="151" t="str">
        <f t="shared" si="16"/>
        <v>Field Cult &amp; Inc 42'</v>
      </c>
      <c r="H128" s="30">
        <v>61004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655.72550547603021</v>
      </c>
      <c r="W128" s="9">
        <f t="shared" si="20"/>
        <v>6.5572550547603017</v>
      </c>
      <c r="X128" s="8">
        <f t="shared" si="21"/>
        <v>1525.1</v>
      </c>
      <c r="Y128" s="7">
        <f t="shared" si="22"/>
        <v>15.250999999999999</v>
      </c>
      <c r="Z128" s="2">
        <f t="shared" si="23"/>
        <v>18301.2</v>
      </c>
      <c r="AA128" s="2">
        <f t="shared" si="24"/>
        <v>4270.2800000000007</v>
      </c>
      <c r="AB128" s="2">
        <f t="shared" si="25"/>
        <v>39652.6</v>
      </c>
      <c r="AC128" s="6">
        <f t="shared" si="26"/>
        <v>3568.7339999999999</v>
      </c>
      <c r="AD128" s="6">
        <f t="shared" si="27"/>
        <v>951.66239999999993</v>
      </c>
      <c r="AE128" s="6">
        <f t="shared" si="28"/>
        <v>8790.6764000000003</v>
      </c>
      <c r="AF128" s="5">
        <f t="shared" si="29"/>
        <v>87.90676400000001</v>
      </c>
      <c r="AG128" s="207"/>
    </row>
    <row r="129" spans="1:33" x14ac:dyDescent="0.2">
      <c r="A129" s="229">
        <v>583</v>
      </c>
      <c r="B129" s="1" t="str">
        <f t="shared" si="15"/>
        <v>1.25, Field Cult &amp; Inc 50'</v>
      </c>
      <c r="C129" s="155">
        <v>1.25</v>
      </c>
      <c r="D129" s="151" t="s">
        <v>436</v>
      </c>
      <c r="E129" s="151" t="s">
        <v>261</v>
      </c>
      <c r="F129" s="151" t="s">
        <v>15</v>
      </c>
      <c r="G129" s="151" t="str">
        <f t="shared" si="16"/>
        <v>Field Cult &amp; Inc 50'</v>
      </c>
      <c r="H129" s="30">
        <v>71609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769.71752215646586</v>
      </c>
      <c r="W129" s="9">
        <f t="shared" si="20"/>
        <v>7.6971752215646587</v>
      </c>
      <c r="X129" s="8">
        <f t="shared" si="21"/>
        <v>1790.2249999999999</v>
      </c>
      <c r="Y129" s="7">
        <f t="shared" si="22"/>
        <v>17.902249999999999</v>
      </c>
      <c r="Z129" s="2">
        <f t="shared" si="23"/>
        <v>21482.7</v>
      </c>
      <c r="AA129" s="2">
        <f t="shared" si="24"/>
        <v>5012.63</v>
      </c>
      <c r="AB129" s="2">
        <f t="shared" si="25"/>
        <v>46545.85</v>
      </c>
      <c r="AC129" s="6">
        <f t="shared" si="26"/>
        <v>4189.1264999999994</v>
      </c>
      <c r="AD129" s="6">
        <f t="shared" si="27"/>
        <v>1117.1004</v>
      </c>
      <c r="AE129" s="6">
        <f t="shared" si="28"/>
        <v>10318.856899999999</v>
      </c>
      <c r="AF129" s="5">
        <f t="shared" si="29"/>
        <v>103.18856899999999</v>
      </c>
      <c r="AG129" s="207"/>
    </row>
    <row r="130" spans="1:33" x14ac:dyDescent="0.2">
      <c r="A130" s="229">
        <v>98</v>
      </c>
      <c r="B130" s="1" t="str">
        <f t="shared" si="15"/>
        <v>1.26, Field Cult &amp; Inc Fld 24'</v>
      </c>
      <c r="C130" s="155">
        <v>1.26</v>
      </c>
      <c r="D130" s="151" t="s">
        <v>436</v>
      </c>
      <c r="E130" s="151" t="s">
        <v>262</v>
      </c>
      <c r="F130" s="151" t="s">
        <v>65</v>
      </c>
      <c r="G130" s="151" t="str">
        <f t="shared" si="16"/>
        <v>Field Cult &amp; Inc Fld 24'</v>
      </c>
      <c r="H130" s="30">
        <v>32522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349.57551782000286</v>
      </c>
      <c r="W130" s="9">
        <f t="shared" si="20"/>
        <v>3.4957551782000285</v>
      </c>
      <c r="X130" s="8">
        <f t="shared" si="21"/>
        <v>813.05</v>
      </c>
      <c r="Y130" s="7">
        <f t="shared" si="22"/>
        <v>8.1304999999999996</v>
      </c>
      <c r="Z130" s="2">
        <f t="shared" si="23"/>
        <v>9756.6</v>
      </c>
      <c r="AA130" s="2">
        <f t="shared" si="24"/>
        <v>2276.54</v>
      </c>
      <c r="AB130" s="2">
        <f t="shared" si="25"/>
        <v>21139.3</v>
      </c>
      <c r="AC130" s="6">
        <f t="shared" si="26"/>
        <v>1902.5369999999998</v>
      </c>
      <c r="AD130" s="6">
        <f t="shared" si="27"/>
        <v>507.34319999999997</v>
      </c>
      <c r="AE130" s="6">
        <f t="shared" si="28"/>
        <v>4686.4201999999996</v>
      </c>
      <c r="AF130" s="5">
        <f t="shared" si="29"/>
        <v>46.864201999999999</v>
      </c>
      <c r="AG130" s="207"/>
    </row>
    <row r="131" spans="1:33" x14ac:dyDescent="0.2">
      <c r="A131" s="229">
        <v>99</v>
      </c>
      <c r="B131" s="1" t="str">
        <f t="shared" si="15"/>
        <v>1.27, Field Cult &amp; Inc Fld 32'</v>
      </c>
      <c r="C131" s="155">
        <v>1.27</v>
      </c>
      <c r="D131" s="151" t="s">
        <v>436</v>
      </c>
      <c r="E131" s="151" t="s">
        <v>262</v>
      </c>
      <c r="F131" s="151" t="s">
        <v>43</v>
      </c>
      <c r="G131" s="151" t="str">
        <f t="shared" si="16"/>
        <v>Field Cult &amp; Inc Fld 32'</v>
      </c>
      <c r="H131" s="30">
        <v>45147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485.28029958242627</v>
      </c>
      <c r="W131" s="9">
        <f t="shared" si="20"/>
        <v>4.8528029958242627</v>
      </c>
      <c r="X131" s="8">
        <f t="shared" si="21"/>
        <v>1128.675</v>
      </c>
      <c r="Y131" s="7">
        <f t="shared" si="22"/>
        <v>11.28675</v>
      </c>
      <c r="Z131" s="2">
        <f t="shared" si="23"/>
        <v>13544.1</v>
      </c>
      <c r="AA131" s="2">
        <f t="shared" si="24"/>
        <v>3160.29</v>
      </c>
      <c r="AB131" s="2">
        <f t="shared" si="25"/>
        <v>29345.55</v>
      </c>
      <c r="AC131" s="6">
        <f t="shared" si="26"/>
        <v>2641.0994999999998</v>
      </c>
      <c r="AD131" s="6">
        <f t="shared" si="27"/>
        <v>704.29319999999996</v>
      </c>
      <c r="AE131" s="6">
        <f t="shared" si="28"/>
        <v>6505.6826999999994</v>
      </c>
      <c r="AF131" s="5">
        <f t="shared" si="29"/>
        <v>65.056826999999998</v>
      </c>
      <c r="AG131" s="207"/>
    </row>
    <row r="132" spans="1:33" x14ac:dyDescent="0.2">
      <c r="A132" s="229">
        <v>97</v>
      </c>
      <c r="B132" s="1" t="str">
        <f t="shared" si="15"/>
        <v>1.28, Field Cult &amp; Inc Rdg 12'</v>
      </c>
      <c r="C132" s="155">
        <v>1.28</v>
      </c>
      <c r="D132" s="151" t="s">
        <v>436</v>
      </c>
      <c r="E132" s="151" t="s">
        <v>263</v>
      </c>
      <c r="F132" s="151" t="s">
        <v>11</v>
      </c>
      <c r="G132" s="151" t="str">
        <f t="shared" si="16"/>
        <v>Field Cult &amp; Inc Rdg 12'</v>
      </c>
      <c r="H132" s="30">
        <v>17675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189.98669446739282</v>
      </c>
      <c r="W132" s="9">
        <f t="shared" si="20"/>
        <v>1.8998669446739282</v>
      </c>
      <c r="X132" s="8">
        <f t="shared" si="21"/>
        <v>441.875</v>
      </c>
      <c r="Y132" s="7">
        <f t="shared" si="22"/>
        <v>4.4187500000000002</v>
      </c>
      <c r="Z132" s="2">
        <f t="shared" si="23"/>
        <v>5302.5</v>
      </c>
      <c r="AA132" s="2">
        <f t="shared" si="24"/>
        <v>1237.25</v>
      </c>
      <c r="AB132" s="2">
        <f t="shared" si="25"/>
        <v>11488.75</v>
      </c>
      <c r="AC132" s="6">
        <f t="shared" si="26"/>
        <v>1033.9875</v>
      </c>
      <c r="AD132" s="6">
        <f t="shared" si="27"/>
        <v>275.73</v>
      </c>
      <c r="AE132" s="6">
        <f t="shared" si="28"/>
        <v>2546.9675000000002</v>
      </c>
      <c r="AF132" s="5">
        <f t="shared" si="29"/>
        <v>25.469675000000002</v>
      </c>
      <c r="AG132" s="207"/>
    </row>
    <row r="133" spans="1:33" x14ac:dyDescent="0.2">
      <c r="A133" s="229">
        <v>102</v>
      </c>
      <c r="B133" s="1" t="str">
        <f t="shared" ref="B133:B196" si="30">CONCATENATE(C133,D133,E133,F133)</f>
        <v>1.29, Field Cultivate Fld 24'</v>
      </c>
      <c r="C133" s="155">
        <v>1.29</v>
      </c>
      <c r="D133" s="151" t="s">
        <v>436</v>
      </c>
      <c r="E133" s="151" t="s">
        <v>264</v>
      </c>
      <c r="F133" s="151" t="s">
        <v>65</v>
      </c>
      <c r="G133" s="151" t="str">
        <f t="shared" ref="G133:G196" si="31">CONCATENATE(E133,F133)</f>
        <v>Field Cultivate Fld 24'</v>
      </c>
      <c r="H133" s="30">
        <v>26462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284.43722257403959</v>
      </c>
      <c r="W133" s="9">
        <f t="shared" ref="W133:W196" si="35">V133/P133</f>
        <v>2.8443722257403961</v>
      </c>
      <c r="X133" s="8">
        <f t="shared" ref="X133:X196" si="36">(H133*N133/100)/O133</f>
        <v>661.55</v>
      </c>
      <c r="Y133" s="7">
        <f t="shared" ref="Y133:Y196" si="37">X133/P133</f>
        <v>6.6154999999999999</v>
      </c>
      <c r="Z133" s="2">
        <f t="shared" ref="Z133:Z196" si="38">H133*M133/100</f>
        <v>7938.6</v>
      </c>
      <c r="AA133" s="2">
        <f t="shared" ref="AA133:AA196" si="39">(H133-Z133)/O133</f>
        <v>1852.3400000000001</v>
      </c>
      <c r="AB133" s="2">
        <f t="shared" ref="AB133:AB196" si="40">(Z133+H133)/2</f>
        <v>17200.3</v>
      </c>
      <c r="AC133" s="6">
        <f t="shared" ref="AC133:AC196" si="41">AB133*intir</f>
        <v>1548.0269999999998</v>
      </c>
      <c r="AD133" s="6">
        <f t="shared" ref="AD133:AD196" si="42">AB133*itr</f>
        <v>412.80719999999997</v>
      </c>
      <c r="AE133" s="6">
        <f t="shared" ref="AE133:AE196" si="43">AA133+AC133+AD133</f>
        <v>3813.1742000000004</v>
      </c>
      <c r="AF133" s="5">
        <f t="shared" ref="AF133:AF196" si="44">AE133/P133</f>
        <v>38.131742000000003</v>
      </c>
      <c r="AG133" s="207"/>
    </row>
    <row r="134" spans="1:33" x14ac:dyDescent="0.2">
      <c r="A134" s="229">
        <v>103</v>
      </c>
      <c r="B134" s="1" t="str">
        <f t="shared" si="30"/>
        <v>1.3, Field Cultivate Fld 32'</v>
      </c>
      <c r="C134" s="155">
        <v>1.3</v>
      </c>
      <c r="D134" s="151" t="s">
        <v>436</v>
      </c>
      <c r="E134" s="151" t="s">
        <v>264</v>
      </c>
      <c r="F134" s="151" t="s">
        <v>43</v>
      </c>
      <c r="G134" s="151" t="str">
        <f t="shared" si="31"/>
        <v>Field Cultivate Fld 32'</v>
      </c>
      <c r="H134" s="30">
        <v>37673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404.94306877907161</v>
      </c>
      <c r="W134" s="9">
        <f t="shared" si="35"/>
        <v>4.049430687790716</v>
      </c>
      <c r="X134" s="8">
        <f t="shared" si="36"/>
        <v>941.82500000000005</v>
      </c>
      <c r="Y134" s="7">
        <f t="shared" si="37"/>
        <v>9.4182500000000005</v>
      </c>
      <c r="Z134" s="2">
        <f t="shared" si="38"/>
        <v>11301.9</v>
      </c>
      <c r="AA134" s="2">
        <f t="shared" si="39"/>
        <v>2637.1099999999997</v>
      </c>
      <c r="AB134" s="2">
        <f t="shared" si="40"/>
        <v>24487.45</v>
      </c>
      <c r="AC134" s="6">
        <f t="shared" si="41"/>
        <v>2203.8705</v>
      </c>
      <c r="AD134" s="6">
        <f t="shared" si="42"/>
        <v>587.69880000000001</v>
      </c>
      <c r="AE134" s="6">
        <f t="shared" si="43"/>
        <v>5428.6792999999998</v>
      </c>
      <c r="AF134" s="5">
        <f t="shared" si="44"/>
        <v>54.286792999999996</v>
      </c>
      <c r="AG134" s="207"/>
    </row>
    <row r="135" spans="1:33" x14ac:dyDescent="0.2">
      <c r="A135" s="229">
        <v>104</v>
      </c>
      <c r="B135" s="1" t="str">
        <f t="shared" si="30"/>
        <v>1.31, Field Cultivate Fld 42'</v>
      </c>
      <c r="C135" s="155">
        <v>1.31</v>
      </c>
      <c r="D135" s="151" t="s">
        <v>436</v>
      </c>
      <c r="E135" s="151" t="s">
        <v>264</v>
      </c>
      <c r="F135" s="151" t="s">
        <v>91</v>
      </c>
      <c r="G135" s="151" t="str">
        <f t="shared" si="31"/>
        <v>Field Cultivate Fld 42'</v>
      </c>
      <c r="H135" s="30">
        <v>53530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575.38827467267549</v>
      </c>
      <c r="W135" s="9">
        <f t="shared" si="35"/>
        <v>5.753882746726755</v>
      </c>
      <c r="X135" s="8">
        <f t="shared" si="36"/>
        <v>1338.25</v>
      </c>
      <c r="Y135" s="7">
        <f t="shared" si="37"/>
        <v>13.3825</v>
      </c>
      <c r="Z135" s="2">
        <f t="shared" si="38"/>
        <v>16059</v>
      </c>
      <c r="AA135" s="2">
        <f t="shared" si="39"/>
        <v>3747.1</v>
      </c>
      <c r="AB135" s="2">
        <f t="shared" si="40"/>
        <v>34794.5</v>
      </c>
      <c r="AC135" s="6">
        <f t="shared" si="41"/>
        <v>3131.5050000000001</v>
      </c>
      <c r="AD135" s="6">
        <f t="shared" si="42"/>
        <v>835.06799999999998</v>
      </c>
      <c r="AE135" s="6">
        <f t="shared" si="43"/>
        <v>7713.6729999999998</v>
      </c>
      <c r="AF135" s="5">
        <f t="shared" si="44"/>
        <v>77.13673</v>
      </c>
      <c r="AG135" s="207"/>
    </row>
    <row r="136" spans="1:33" x14ac:dyDescent="0.2">
      <c r="A136" s="229">
        <v>215</v>
      </c>
      <c r="B136" s="1" t="str">
        <f t="shared" si="30"/>
        <v>1.32, Field Cultivate Fld 50'</v>
      </c>
      <c r="C136" s="155">
        <v>1.32</v>
      </c>
      <c r="D136" s="151" t="s">
        <v>436</v>
      </c>
      <c r="E136" s="151" t="s">
        <v>264</v>
      </c>
      <c r="F136" s="151" t="s">
        <v>15</v>
      </c>
      <c r="G136" s="151" t="str">
        <f t="shared" si="31"/>
        <v>Field Cultivate Fld 50'</v>
      </c>
      <c r="H136" s="30">
        <v>63933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687.20901484491242</v>
      </c>
      <c r="W136" s="9">
        <f t="shared" si="35"/>
        <v>6.8720901484491241</v>
      </c>
      <c r="X136" s="8">
        <f t="shared" si="36"/>
        <v>1598.325</v>
      </c>
      <c r="Y136" s="7">
        <f t="shared" si="37"/>
        <v>15.98325</v>
      </c>
      <c r="Z136" s="2">
        <f t="shared" si="38"/>
        <v>19179.900000000001</v>
      </c>
      <c r="AA136" s="2">
        <f t="shared" si="39"/>
        <v>4475.3099999999995</v>
      </c>
      <c r="AB136" s="2">
        <f t="shared" si="40"/>
        <v>41556.449999999997</v>
      </c>
      <c r="AC136" s="6">
        <f t="shared" si="41"/>
        <v>3740.0804999999996</v>
      </c>
      <c r="AD136" s="6">
        <f t="shared" si="42"/>
        <v>997.35479999999995</v>
      </c>
      <c r="AE136" s="6">
        <f t="shared" si="43"/>
        <v>9212.7452999999987</v>
      </c>
      <c r="AF136" s="5">
        <f t="shared" si="44"/>
        <v>92.127452999999988</v>
      </c>
      <c r="AG136" s="207"/>
    </row>
    <row r="137" spans="1:33" x14ac:dyDescent="0.2">
      <c r="A137" s="229">
        <v>101</v>
      </c>
      <c r="B137" s="1" t="str">
        <f t="shared" si="30"/>
        <v>1.33, Field Cultivate Rdg 12'</v>
      </c>
      <c r="C137" s="155">
        <v>1.33</v>
      </c>
      <c r="D137" s="151" t="s">
        <v>436</v>
      </c>
      <c r="E137" s="151" t="s">
        <v>265</v>
      </c>
      <c r="F137" s="151" t="s">
        <v>11</v>
      </c>
      <c r="G137" s="151" t="str">
        <f t="shared" si="31"/>
        <v>Field Cultivate Rdg 12'</v>
      </c>
      <c r="H137" s="30">
        <v>11615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124.84839922142959</v>
      </c>
      <c r="W137" s="9">
        <f t="shared" si="35"/>
        <v>1.2484839922142958</v>
      </c>
      <c r="X137" s="8">
        <f t="shared" si="36"/>
        <v>290.375</v>
      </c>
      <c r="Y137" s="7">
        <f t="shared" si="37"/>
        <v>2.9037500000000001</v>
      </c>
      <c r="Z137" s="2">
        <f t="shared" si="38"/>
        <v>3484.5</v>
      </c>
      <c r="AA137" s="2">
        <f t="shared" si="39"/>
        <v>813.05</v>
      </c>
      <c r="AB137" s="2">
        <f t="shared" si="40"/>
        <v>7549.75</v>
      </c>
      <c r="AC137" s="6">
        <f t="shared" si="41"/>
        <v>679.47749999999996</v>
      </c>
      <c r="AD137" s="6">
        <f t="shared" si="42"/>
        <v>181.19400000000002</v>
      </c>
      <c r="AE137" s="6">
        <f t="shared" si="43"/>
        <v>1673.7214999999999</v>
      </c>
      <c r="AF137" s="5">
        <f t="shared" si="44"/>
        <v>16.737214999999999</v>
      </c>
      <c r="AG137" s="207"/>
    </row>
    <row r="138" spans="1:33" x14ac:dyDescent="0.2">
      <c r="A138" s="229">
        <v>556</v>
      </c>
      <c r="B138" s="1" t="str">
        <f t="shared" si="30"/>
        <v>1.34, Grain Drill  8'</v>
      </c>
      <c r="C138" s="155">
        <v>1.34</v>
      </c>
      <c r="D138" s="151" t="s">
        <v>436</v>
      </c>
      <c r="E138" s="151" t="s">
        <v>266</v>
      </c>
      <c r="F138" s="151" t="s">
        <v>87</v>
      </c>
      <c r="G138" s="151" t="str">
        <f t="shared" si="31"/>
        <v>Grain Drill  8'</v>
      </c>
      <c r="H138" s="30">
        <v>22600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428.54848683182928</v>
      </c>
      <c r="W138" s="9">
        <f t="shared" si="35"/>
        <v>2.8569899122121951</v>
      </c>
      <c r="X138" s="8">
        <f t="shared" si="36"/>
        <v>1271.25</v>
      </c>
      <c r="Y138" s="7">
        <f t="shared" si="37"/>
        <v>8.4749999999999996</v>
      </c>
      <c r="Z138" s="2">
        <f t="shared" si="38"/>
        <v>10170</v>
      </c>
      <c r="AA138" s="2">
        <f t="shared" si="39"/>
        <v>1553.75</v>
      </c>
      <c r="AB138" s="2">
        <f t="shared" si="40"/>
        <v>16385</v>
      </c>
      <c r="AC138" s="6">
        <f t="shared" si="41"/>
        <v>1474.6499999999999</v>
      </c>
      <c r="AD138" s="6">
        <f t="shared" si="42"/>
        <v>393.24</v>
      </c>
      <c r="AE138" s="6">
        <f t="shared" si="43"/>
        <v>3421.6399999999994</v>
      </c>
      <c r="AF138" s="5">
        <f t="shared" si="44"/>
        <v>22.810933333333331</v>
      </c>
      <c r="AG138" s="207"/>
    </row>
    <row r="139" spans="1:33" x14ac:dyDescent="0.2">
      <c r="A139" s="229">
        <v>558</v>
      </c>
      <c r="B139" s="1" t="str">
        <f t="shared" si="30"/>
        <v>1.35, Grain Drill 10'</v>
      </c>
      <c r="C139" s="155">
        <v>1.35</v>
      </c>
      <c r="D139" s="151" t="s">
        <v>436</v>
      </c>
      <c r="E139" s="151" t="s">
        <v>266</v>
      </c>
      <c r="F139" s="151" t="s">
        <v>66</v>
      </c>
      <c r="G139" s="151" t="str">
        <f t="shared" si="31"/>
        <v>Grain Drill 10'</v>
      </c>
      <c r="H139" s="235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07"/>
    </row>
    <row r="140" spans="1:33" x14ac:dyDescent="0.2">
      <c r="A140" s="229">
        <v>106</v>
      </c>
      <c r="B140" s="1" t="str">
        <f t="shared" si="30"/>
        <v>1.36, Grain Drill 12'</v>
      </c>
      <c r="C140" s="155">
        <v>1.36</v>
      </c>
      <c r="D140" s="151" t="s">
        <v>436</v>
      </c>
      <c r="E140" s="151" t="s">
        <v>266</v>
      </c>
      <c r="F140" s="151" t="s">
        <v>11</v>
      </c>
      <c r="G140" s="151" t="str">
        <f t="shared" si="31"/>
        <v>Grain Drill 12'</v>
      </c>
      <c r="H140" s="235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07"/>
    </row>
    <row r="141" spans="1:33" x14ac:dyDescent="0.2">
      <c r="A141" s="229">
        <v>208</v>
      </c>
      <c r="B141" s="1" t="str">
        <f t="shared" si="30"/>
        <v>1.37, Grain Drill 15'</v>
      </c>
      <c r="C141" s="155">
        <v>1.37</v>
      </c>
      <c r="D141" s="151" t="s">
        <v>436</v>
      </c>
      <c r="E141" s="151" t="s">
        <v>266</v>
      </c>
      <c r="F141" s="151" t="s">
        <v>10</v>
      </c>
      <c r="G141" s="151" t="str">
        <f t="shared" si="31"/>
        <v>Grain Drill 15'</v>
      </c>
      <c r="H141" s="235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  <c r="AG141" s="207"/>
    </row>
    <row r="142" spans="1:33" x14ac:dyDescent="0.2">
      <c r="A142" s="229">
        <v>107</v>
      </c>
      <c r="B142" s="1" t="str">
        <f t="shared" si="30"/>
        <v>1.38, Grain Drill 20'</v>
      </c>
      <c r="C142" s="155">
        <v>1.38</v>
      </c>
      <c r="D142" s="151" t="s">
        <v>436</v>
      </c>
      <c r="E142" s="151" t="s">
        <v>266</v>
      </c>
      <c r="F142" s="151" t="s">
        <v>8</v>
      </c>
      <c r="G142" s="151" t="str">
        <f t="shared" si="31"/>
        <v>Grain Drill 20'</v>
      </c>
      <c r="H142" s="235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07"/>
    </row>
    <row r="143" spans="1:33" x14ac:dyDescent="0.2">
      <c r="A143" s="229">
        <v>209</v>
      </c>
      <c r="B143" s="1" t="str">
        <f t="shared" si="30"/>
        <v>1.39, Grain Drill 24'</v>
      </c>
      <c r="C143" s="155">
        <v>1.39</v>
      </c>
      <c r="D143" s="151" t="s">
        <v>436</v>
      </c>
      <c r="E143" s="151" t="s">
        <v>266</v>
      </c>
      <c r="F143" s="151" t="s">
        <v>65</v>
      </c>
      <c r="G143" s="151" t="str">
        <f t="shared" si="31"/>
        <v>Grain Drill 24'</v>
      </c>
      <c r="H143" s="235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  <c r="AG143" s="207"/>
    </row>
    <row r="144" spans="1:33" x14ac:dyDescent="0.2">
      <c r="A144" s="229">
        <v>108</v>
      </c>
      <c r="B144" s="1" t="str">
        <f t="shared" si="30"/>
        <v>1.4, Grain Drill 30'</v>
      </c>
      <c r="C144" s="155">
        <v>1.4</v>
      </c>
      <c r="D144" s="151" t="s">
        <v>436</v>
      </c>
      <c r="E144" s="151" t="s">
        <v>266</v>
      </c>
      <c r="F144" s="151" t="s">
        <v>44</v>
      </c>
      <c r="G144" s="151" t="str">
        <f t="shared" si="31"/>
        <v>Grain Drill 30'</v>
      </c>
      <c r="H144" s="235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  <c r="AG144" s="207"/>
    </row>
    <row r="145" spans="1:33" x14ac:dyDescent="0.2">
      <c r="A145" s="229">
        <v>560</v>
      </c>
      <c r="B145" s="1" t="str">
        <f t="shared" si="30"/>
        <v>1.41, Grain Drill 35'</v>
      </c>
      <c r="C145" s="155">
        <v>1.41</v>
      </c>
      <c r="D145" s="151" t="s">
        <v>436</v>
      </c>
      <c r="E145" s="151" t="s">
        <v>266</v>
      </c>
      <c r="F145" s="151" t="s">
        <v>86</v>
      </c>
      <c r="G145" s="151" t="str">
        <f t="shared" si="31"/>
        <v>Grain Drill 35'</v>
      </c>
      <c r="H145" s="235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07"/>
    </row>
    <row r="146" spans="1:33" x14ac:dyDescent="0.2">
      <c r="A146" s="229">
        <v>557</v>
      </c>
      <c r="B146" s="1" t="str">
        <f t="shared" si="30"/>
        <v>1.42, Grain Drill &amp; Pre  8'</v>
      </c>
      <c r="C146" s="155">
        <v>1.42</v>
      </c>
      <c r="D146" s="151" t="s">
        <v>436</v>
      </c>
      <c r="E146" s="151" t="s">
        <v>267</v>
      </c>
      <c r="F146" s="151" t="s">
        <v>87</v>
      </c>
      <c r="G146" s="151" t="str">
        <f t="shared" si="31"/>
        <v>Grain Drill &amp; Pre  8'</v>
      </c>
      <c r="H146" s="235">
        <v>26800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508.19024102181527</v>
      </c>
      <c r="W146" s="9">
        <f t="shared" si="35"/>
        <v>3.3879349401454353</v>
      </c>
      <c r="X146" s="8">
        <f t="shared" si="36"/>
        <v>1507.5</v>
      </c>
      <c r="Y146" s="7">
        <f t="shared" si="37"/>
        <v>10.050000000000001</v>
      </c>
      <c r="Z146" s="2">
        <f t="shared" si="38"/>
        <v>12060</v>
      </c>
      <c r="AA146" s="2">
        <f t="shared" si="39"/>
        <v>1842.5</v>
      </c>
      <c r="AB146" s="2">
        <f t="shared" si="40"/>
        <v>19430</v>
      </c>
      <c r="AC146" s="6">
        <f t="shared" si="41"/>
        <v>1748.7</v>
      </c>
      <c r="AD146" s="6">
        <f t="shared" si="42"/>
        <v>466.32</v>
      </c>
      <c r="AE146" s="6">
        <f t="shared" si="43"/>
        <v>4057.52</v>
      </c>
      <c r="AF146" s="5">
        <f t="shared" si="44"/>
        <v>27.050133333333335</v>
      </c>
      <c r="AG146" s="207"/>
    </row>
    <row r="147" spans="1:33" x14ac:dyDescent="0.2">
      <c r="A147" s="229">
        <v>559</v>
      </c>
      <c r="B147" s="1" t="str">
        <f t="shared" si="30"/>
        <v>1.43, Grain Drill &amp; Pre 10'</v>
      </c>
      <c r="C147" s="155">
        <v>1.43</v>
      </c>
      <c r="D147" s="151" t="s">
        <v>436</v>
      </c>
      <c r="E147" s="151" t="s">
        <v>267</v>
      </c>
      <c r="F147" s="151" t="s">
        <v>66</v>
      </c>
      <c r="G147" s="151" t="str">
        <f t="shared" si="31"/>
        <v>Grain Drill &amp; Pre 10'</v>
      </c>
      <c r="H147" s="235">
        <v>32200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610.5867821232257</v>
      </c>
      <c r="W147" s="9">
        <f t="shared" si="35"/>
        <v>4.0705785474881715</v>
      </c>
      <c r="X147" s="8">
        <f t="shared" si="36"/>
        <v>1811.25</v>
      </c>
      <c r="Y147" s="7">
        <f t="shared" si="37"/>
        <v>12.074999999999999</v>
      </c>
      <c r="Z147" s="2">
        <f t="shared" si="38"/>
        <v>14490</v>
      </c>
      <c r="AA147" s="2">
        <f t="shared" si="39"/>
        <v>2213.75</v>
      </c>
      <c r="AB147" s="2">
        <f t="shared" si="40"/>
        <v>23345</v>
      </c>
      <c r="AC147" s="6">
        <f t="shared" si="41"/>
        <v>2101.0499999999997</v>
      </c>
      <c r="AD147" s="6">
        <f t="shared" si="42"/>
        <v>560.28</v>
      </c>
      <c r="AE147" s="6">
        <f t="shared" si="43"/>
        <v>4875.079999999999</v>
      </c>
      <c r="AF147" s="5">
        <f t="shared" si="44"/>
        <v>32.50053333333333</v>
      </c>
      <c r="AG147" s="207"/>
    </row>
    <row r="148" spans="1:33" x14ac:dyDescent="0.2">
      <c r="A148" s="229">
        <v>396</v>
      </c>
      <c r="B148" s="1" t="str">
        <f t="shared" si="30"/>
        <v>1.44, Grain Drill &amp; Pre 12'</v>
      </c>
      <c r="C148" s="155">
        <v>1.44</v>
      </c>
      <c r="D148" s="151" t="s">
        <v>436</v>
      </c>
      <c r="E148" s="151" t="s">
        <v>267</v>
      </c>
      <c r="F148" s="151" t="s">
        <v>11</v>
      </c>
      <c r="G148" s="151" t="str">
        <f t="shared" si="31"/>
        <v>Grain Drill &amp; Pre 12'</v>
      </c>
      <c r="H148" s="235">
        <v>29600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561.28474381513922</v>
      </c>
      <c r="W148" s="9">
        <f t="shared" si="35"/>
        <v>3.7418982921009283</v>
      </c>
      <c r="X148" s="8">
        <f t="shared" si="36"/>
        <v>1665</v>
      </c>
      <c r="Y148" s="7">
        <f t="shared" si="37"/>
        <v>11.1</v>
      </c>
      <c r="Z148" s="2">
        <f t="shared" si="38"/>
        <v>13320</v>
      </c>
      <c r="AA148" s="2">
        <f t="shared" si="39"/>
        <v>2035</v>
      </c>
      <c r="AB148" s="2">
        <f t="shared" si="40"/>
        <v>21460</v>
      </c>
      <c r="AC148" s="6">
        <f t="shared" si="41"/>
        <v>1931.3999999999999</v>
      </c>
      <c r="AD148" s="6">
        <f t="shared" si="42"/>
        <v>515.04</v>
      </c>
      <c r="AE148" s="6">
        <f t="shared" si="43"/>
        <v>4481.4399999999996</v>
      </c>
      <c r="AF148" s="5">
        <f t="shared" si="44"/>
        <v>29.876266666666663</v>
      </c>
      <c r="AG148" s="207"/>
    </row>
    <row r="149" spans="1:33" x14ac:dyDescent="0.2">
      <c r="A149" s="229">
        <v>397</v>
      </c>
      <c r="B149" s="1" t="str">
        <f t="shared" si="30"/>
        <v>1.45, Grain Drill &amp; Pre 15'</v>
      </c>
      <c r="C149" s="155">
        <v>1.45</v>
      </c>
      <c r="D149" s="151" t="s">
        <v>436</v>
      </c>
      <c r="E149" s="151" t="s">
        <v>267</v>
      </c>
      <c r="F149" s="151" t="s">
        <v>10</v>
      </c>
      <c r="G149" s="151" t="str">
        <f t="shared" si="31"/>
        <v>Grain Drill &amp; Pre 15'</v>
      </c>
      <c r="H149" s="235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  <c r="AG149" s="207"/>
    </row>
    <row r="150" spans="1:33" x14ac:dyDescent="0.2">
      <c r="A150" s="229">
        <v>398</v>
      </c>
      <c r="B150" s="1" t="str">
        <f t="shared" si="30"/>
        <v>1.46, Grain Drill &amp; Pre 20'</v>
      </c>
      <c r="C150" s="155">
        <v>1.46</v>
      </c>
      <c r="D150" s="151" t="s">
        <v>436</v>
      </c>
      <c r="E150" s="151" t="s">
        <v>267</v>
      </c>
      <c r="F150" s="151" t="s">
        <v>8</v>
      </c>
      <c r="G150" s="151" t="str">
        <f t="shared" si="31"/>
        <v>Grain Drill &amp; Pre 20'</v>
      </c>
      <c r="H150" s="235">
        <v>44300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840.0308834800901</v>
      </c>
      <c r="W150" s="9">
        <f t="shared" si="35"/>
        <v>5.6002058898672678</v>
      </c>
      <c r="X150" s="8">
        <f t="shared" si="36"/>
        <v>2491.875</v>
      </c>
      <c r="Y150" s="7">
        <f t="shared" si="37"/>
        <v>16.612500000000001</v>
      </c>
      <c r="Z150" s="2">
        <f t="shared" si="38"/>
        <v>19935</v>
      </c>
      <c r="AA150" s="2">
        <f t="shared" si="39"/>
        <v>3045.625</v>
      </c>
      <c r="AB150" s="2">
        <f t="shared" si="40"/>
        <v>32117.5</v>
      </c>
      <c r="AC150" s="6">
        <f t="shared" si="41"/>
        <v>2890.5749999999998</v>
      </c>
      <c r="AD150" s="6">
        <f t="shared" si="42"/>
        <v>770.82</v>
      </c>
      <c r="AE150" s="6">
        <f t="shared" si="43"/>
        <v>6707.0199999999995</v>
      </c>
      <c r="AF150" s="5">
        <f t="shared" si="44"/>
        <v>44.713466666666662</v>
      </c>
      <c r="AG150" s="207"/>
    </row>
    <row r="151" spans="1:33" x14ac:dyDescent="0.2">
      <c r="A151" s="229">
        <v>399</v>
      </c>
      <c r="B151" s="1" t="str">
        <f t="shared" si="30"/>
        <v>1.47, Grain Drill &amp; Pre 24'</v>
      </c>
      <c r="C151" s="155">
        <v>1.47</v>
      </c>
      <c r="D151" s="151" t="s">
        <v>436</v>
      </c>
      <c r="E151" s="151" t="s">
        <v>267</v>
      </c>
      <c r="F151" s="151" t="s">
        <v>65</v>
      </c>
      <c r="G151" s="151" t="str">
        <f t="shared" si="31"/>
        <v>Grain Drill &amp; Pre 24'</v>
      </c>
      <c r="H151" s="235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  <c r="AG151" s="207"/>
    </row>
    <row r="152" spans="1:33" x14ac:dyDescent="0.2">
      <c r="A152" s="229">
        <v>400</v>
      </c>
      <c r="B152" s="1" t="str">
        <f t="shared" si="30"/>
        <v>1.48, Grain Drill &amp; Pre 30'</v>
      </c>
      <c r="C152" s="155">
        <v>1.48</v>
      </c>
      <c r="D152" s="151" t="s">
        <v>436</v>
      </c>
      <c r="E152" s="151" t="s">
        <v>267</v>
      </c>
      <c r="F152" s="151" t="s">
        <v>44</v>
      </c>
      <c r="G152" s="151" t="str">
        <f t="shared" si="31"/>
        <v>Grain Drill &amp; Pre 30'</v>
      </c>
      <c r="H152" s="235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  <c r="AG152" s="207"/>
    </row>
    <row r="153" spans="1:33" x14ac:dyDescent="0.2">
      <c r="A153" s="229">
        <v>561</v>
      </c>
      <c r="B153" s="1" t="str">
        <f t="shared" si="30"/>
        <v>1.49, Grain Drill &amp; Pre 35'</v>
      </c>
      <c r="C153" s="155">
        <v>1.49</v>
      </c>
      <c r="D153" s="151" t="s">
        <v>436</v>
      </c>
      <c r="E153" s="151" t="s">
        <v>267</v>
      </c>
      <c r="F153" s="151" t="s">
        <v>86</v>
      </c>
      <c r="G153" s="151" t="str">
        <f t="shared" si="31"/>
        <v>Grain Drill &amp; Pre 35'</v>
      </c>
      <c r="H153" s="235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07"/>
    </row>
    <row r="154" spans="1:33" x14ac:dyDescent="0.2">
      <c r="A154" s="229">
        <v>711</v>
      </c>
      <c r="B154" s="1" t="str">
        <f t="shared" si="30"/>
        <v>1.5, Grain Drill &amp; Pre T 8R-36</v>
      </c>
      <c r="C154" s="155">
        <v>1.5</v>
      </c>
      <c r="D154" s="151" t="s">
        <v>436</v>
      </c>
      <c r="E154" s="151" t="s">
        <v>268</v>
      </c>
      <c r="F154" s="151" t="s">
        <v>205</v>
      </c>
      <c r="G154" s="151" t="str">
        <f t="shared" si="31"/>
        <v>Grain Drill &amp; Pre T 8R-36</v>
      </c>
      <c r="H154" s="235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  <c r="AG154" s="207"/>
    </row>
    <row r="155" spans="1:33" x14ac:dyDescent="0.2">
      <c r="A155" s="229">
        <v>186</v>
      </c>
      <c r="B155" s="1" t="str">
        <f t="shared" si="30"/>
        <v>1.51, Harrow -  Rigid 21'</v>
      </c>
      <c r="C155" s="155">
        <v>1.51</v>
      </c>
      <c r="D155" s="151" t="s">
        <v>436</v>
      </c>
      <c r="E155" s="151" t="s">
        <v>269</v>
      </c>
      <c r="F155" s="151" t="s">
        <v>39</v>
      </c>
      <c r="G155" s="151" t="str">
        <f t="shared" si="31"/>
        <v>Harrow -  Rigid 21'</v>
      </c>
      <c r="H155" s="30">
        <v>6393.3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181.3555462884618</v>
      </c>
      <c r="W155" s="9">
        <f t="shared" si="35"/>
        <v>0.906777731442309</v>
      </c>
      <c r="X155" s="8">
        <f t="shared" si="36"/>
        <v>447.53100000000006</v>
      </c>
      <c r="Y155" s="7">
        <f t="shared" si="37"/>
        <v>2.2376550000000002</v>
      </c>
      <c r="Z155" s="2">
        <f t="shared" si="38"/>
        <v>1917.99</v>
      </c>
      <c r="AA155" s="2">
        <f t="shared" si="39"/>
        <v>447.53100000000006</v>
      </c>
      <c r="AB155" s="2">
        <f t="shared" si="40"/>
        <v>4155.6450000000004</v>
      </c>
      <c r="AC155" s="6">
        <f t="shared" si="41"/>
        <v>374.00805000000003</v>
      </c>
      <c r="AD155" s="6">
        <f t="shared" si="42"/>
        <v>99.73548000000001</v>
      </c>
      <c r="AE155" s="6">
        <f t="shared" si="43"/>
        <v>921.27453000000014</v>
      </c>
      <c r="AF155" s="5">
        <f t="shared" si="44"/>
        <v>4.6063726500000008</v>
      </c>
      <c r="AG155" s="207"/>
    </row>
    <row r="156" spans="1:33" x14ac:dyDescent="0.2">
      <c r="A156" s="229">
        <v>739</v>
      </c>
      <c r="B156" s="1" t="str">
        <f t="shared" si="30"/>
        <v>1.52, Harrow - Folding 16'</v>
      </c>
      <c r="C156" s="155">
        <v>1.52</v>
      </c>
      <c r="D156" s="151" t="s">
        <v>436</v>
      </c>
      <c r="E156" s="151" t="s">
        <v>270</v>
      </c>
      <c r="F156" s="151" t="s">
        <v>85</v>
      </c>
      <c r="G156" s="151" t="str">
        <f t="shared" si="31"/>
        <v>Harrow - Folding 16'</v>
      </c>
      <c r="H156" s="30">
        <v>5201.5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147.54835124574694</v>
      </c>
      <c r="W156" s="9">
        <f t="shared" si="35"/>
        <v>0.73774175622873472</v>
      </c>
      <c r="X156" s="8">
        <f t="shared" si="36"/>
        <v>364.10500000000002</v>
      </c>
      <c r="Y156" s="7">
        <f t="shared" si="37"/>
        <v>1.8205250000000002</v>
      </c>
      <c r="Z156" s="2">
        <f t="shared" si="38"/>
        <v>1560.45</v>
      </c>
      <c r="AA156" s="2">
        <f t="shared" si="39"/>
        <v>364.10500000000002</v>
      </c>
      <c r="AB156" s="2">
        <f t="shared" si="40"/>
        <v>3380.9749999999999</v>
      </c>
      <c r="AC156" s="6">
        <f t="shared" si="41"/>
        <v>304.28774999999996</v>
      </c>
      <c r="AD156" s="6">
        <f t="shared" si="42"/>
        <v>81.1434</v>
      </c>
      <c r="AE156" s="6">
        <f t="shared" si="43"/>
        <v>749.53615000000002</v>
      </c>
      <c r="AF156" s="5">
        <f t="shared" si="44"/>
        <v>3.7476807500000002</v>
      </c>
      <c r="AG156" s="207"/>
    </row>
    <row r="157" spans="1:33" x14ac:dyDescent="0.2">
      <c r="A157" s="229">
        <v>740</v>
      </c>
      <c r="B157" s="1" t="str">
        <f t="shared" si="30"/>
        <v>1.53, Harrow - Folding 24'</v>
      </c>
      <c r="C157" s="155">
        <v>1.53</v>
      </c>
      <c r="D157" s="151" t="s">
        <v>436</v>
      </c>
      <c r="E157" s="151" t="s">
        <v>270</v>
      </c>
      <c r="F157" s="151" t="s">
        <v>65</v>
      </c>
      <c r="G157" s="151" t="str">
        <f t="shared" si="31"/>
        <v>Harrow - Folding 24'</v>
      </c>
      <c r="H157" s="30">
        <v>12120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343.80198348523555</v>
      </c>
      <c r="W157" s="9">
        <f t="shared" si="35"/>
        <v>1.7190099174261777</v>
      </c>
      <c r="X157" s="8">
        <f t="shared" si="36"/>
        <v>848.4</v>
      </c>
      <c r="Y157" s="7">
        <f t="shared" si="37"/>
        <v>4.242</v>
      </c>
      <c r="Z157" s="2">
        <f t="shared" si="38"/>
        <v>3636</v>
      </c>
      <c r="AA157" s="2">
        <f t="shared" si="39"/>
        <v>848.4</v>
      </c>
      <c r="AB157" s="2">
        <f t="shared" si="40"/>
        <v>7878</v>
      </c>
      <c r="AC157" s="6">
        <f t="shared" si="41"/>
        <v>709.02</v>
      </c>
      <c r="AD157" s="6">
        <f t="shared" si="42"/>
        <v>189.072</v>
      </c>
      <c r="AE157" s="6">
        <f t="shared" si="43"/>
        <v>1746.4920000000002</v>
      </c>
      <c r="AF157" s="5">
        <f t="shared" si="44"/>
        <v>8.7324600000000014</v>
      </c>
      <c r="AG157" s="207"/>
    </row>
    <row r="158" spans="1:33" x14ac:dyDescent="0.2">
      <c r="A158" s="229">
        <v>566</v>
      </c>
      <c r="B158" s="1" t="str">
        <f t="shared" si="30"/>
        <v>1.54, Harrow - Folding 30'</v>
      </c>
      <c r="C158" s="155">
        <v>1.54</v>
      </c>
      <c r="D158" s="151" t="s">
        <v>436</v>
      </c>
      <c r="E158" s="151" t="s">
        <v>270</v>
      </c>
      <c r="F158" s="151" t="s">
        <v>44</v>
      </c>
      <c r="G158" s="151" t="str">
        <f t="shared" si="31"/>
        <v>Harrow - Folding 30'</v>
      </c>
      <c r="H158" s="30">
        <v>14645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415.42739671132631</v>
      </c>
      <c r="W158" s="9">
        <f t="shared" si="35"/>
        <v>2.0771369835566316</v>
      </c>
      <c r="X158" s="8">
        <f t="shared" si="36"/>
        <v>1025.1500000000001</v>
      </c>
      <c r="Y158" s="7">
        <f t="shared" si="37"/>
        <v>5.12575</v>
      </c>
      <c r="Z158" s="2">
        <f t="shared" si="38"/>
        <v>4393.5</v>
      </c>
      <c r="AA158" s="2">
        <f t="shared" si="39"/>
        <v>1025.1500000000001</v>
      </c>
      <c r="AB158" s="2">
        <f t="shared" si="40"/>
        <v>9519.25</v>
      </c>
      <c r="AC158" s="6">
        <f t="shared" si="41"/>
        <v>856.73249999999996</v>
      </c>
      <c r="AD158" s="6">
        <f t="shared" si="42"/>
        <v>228.46200000000002</v>
      </c>
      <c r="AE158" s="6">
        <f t="shared" si="43"/>
        <v>2110.3445000000002</v>
      </c>
      <c r="AF158" s="5">
        <f t="shared" si="44"/>
        <v>10.5517225</v>
      </c>
      <c r="AG158" s="207"/>
    </row>
    <row r="159" spans="1:33" x14ac:dyDescent="0.2">
      <c r="A159" s="229">
        <v>210</v>
      </c>
      <c r="B159" s="1" t="str">
        <f t="shared" si="30"/>
        <v>1.55, Harrow - Folding 40'</v>
      </c>
      <c r="C159" s="155">
        <v>1.55</v>
      </c>
      <c r="D159" s="151" t="s">
        <v>436</v>
      </c>
      <c r="E159" s="151" t="s">
        <v>270</v>
      </c>
      <c r="F159" s="151" t="s">
        <v>16</v>
      </c>
      <c r="G159" s="151" t="str">
        <f t="shared" si="31"/>
        <v>Harrow - Folding 40'</v>
      </c>
      <c r="H159" s="30">
        <v>17978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509.9729421697661</v>
      </c>
      <c r="W159" s="9">
        <f t="shared" si="35"/>
        <v>2.5498647108488304</v>
      </c>
      <c r="X159" s="8">
        <f t="shared" si="36"/>
        <v>1258.46</v>
      </c>
      <c r="Y159" s="7">
        <f t="shared" si="37"/>
        <v>6.2923</v>
      </c>
      <c r="Z159" s="2">
        <f t="shared" si="38"/>
        <v>5393.4</v>
      </c>
      <c r="AA159" s="2">
        <f t="shared" si="39"/>
        <v>1258.46</v>
      </c>
      <c r="AB159" s="2">
        <f t="shared" si="40"/>
        <v>11685.7</v>
      </c>
      <c r="AC159" s="6">
        <f t="shared" si="41"/>
        <v>1051.713</v>
      </c>
      <c r="AD159" s="6">
        <f t="shared" si="42"/>
        <v>280.45680000000004</v>
      </c>
      <c r="AE159" s="6">
        <f t="shared" si="43"/>
        <v>2590.6297999999997</v>
      </c>
      <c r="AF159" s="5">
        <f t="shared" si="44"/>
        <v>12.953148999999998</v>
      </c>
      <c r="AG159" s="207"/>
    </row>
    <row r="160" spans="1:33" x14ac:dyDescent="0.2">
      <c r="A160" s="229">
        <v>741</v>
      </c>
      <c r="B160" s="1" t="str">
        <f t="shared" si="30"/>
        <v>1.56, Harrow - Folding 48'</v>
      </c>
      <c r="C160" s="155">
        <v>1.56</v>
      </c>
      <c r="D160" s="151" t="s">
        <v>436</v>
      </c>
      <c r="E160" s="151" t="s">
        <v>270</v>
      </c>
      <c r="F160" s="151" t="s">
        <v>84</v>
      </c>
      <c r="G160" s="151" t="str">
        <f t="shared" si="31"/>
        <v>Harrow - Folding 48'</v>
      </c>
      <c r="H160" s="30">
        <v>21715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615.97855374438041</v>
      </c>
      <c r="W160" s="9">
        <f t="shared" si="35"/>
        <v>3.0798927687219022</v>
      </c>
      <c r="X160" s="8">
        <f t="shared" si="36"/>
        <v>1520.05</v>
      </c>
      <c r="Y160" s="7">
        <f t="shared" si="37"/>
        <v>7.60025</v>
      </c>
      <c r="Z160" s="2">
        <f t="shared" si="38"/>
        <v>6514.5</v>
      </c>
      <c r="AA160" s="2">
        <f t="shared" si="39"/>
        <v>1520.05</v>
      </c>
      <c r="AB160" s="2">
        <f t="shared" si="40"/>
        <v>14114.75</v>
      </c>
      <c r="AC160" s="6">
        <f t="shared" si="41"/>
        <v>1270.3274999999999</v>
      </c>
      <c r="AD160" s="6">
        <f t="shared" si="42"/>
        <v>338.75400000000002</v>
      </c>
      <c r="AE160" s="6">
        <f t="shared" si="43"/>
        <v>3129.1314999999995</v>
      </c>
      <c r="AF160" s="5">
        <f t="shared" si="44"/>
        <v>15.645657499999997</v>
      </c>
      <c r="AG160" s="207"/>
    </row>
    <row r="161" spans="1:33" x14ac:dyDescent="0.2">
      <c r="A161" s="229">
        <v>185</v>
      </c>
      <c r="B161" s="1" t="str">
        <f t="shared" si="30"/>
        <v>1.57, Harrow - Rigid 13'</v>
      </c>
      <c r="C161" s="155">
        <v>1.57</v>
      </c>
      <c r="D161" s="151" t="s">
        <v>436</v>
      </c>
      <c r="E161" s="151" t="s">
        <v>271</v>
      </c>
      <c r="F161" s="151" t="s">
        <v>40</v>
      </c>
      <c r="G161" s="151" t="str">
        <f t="shared" si="31"/>
        <v>Harrow - Rigid 13'</v>
      </c>
      <c r="H161" s="30">
        <v>4403.6000000000004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124.91472066630227</v>
      </c>
      <c r="W161" s="9">
        <f t="shared" si="35"/>
        <v>0.62457360333151135</v>
      </c>
      <c r="X161" s="8">
        <f t="shared" si="36"/>
        <v>308.25200000000001</v>
      </c>
      <c r="Y161" s="7">
        <f t="shared" si="37"/>
        <v>1.5412600000000001</v>
      </c>
      <c r="Z161" s="2">
        <f t="shared" si="38"/>
        <v>1321.08</v>
      </c>
      <c r="AA161" s="2">
        <f t="shared" si="39"/>
        <v>308.25200000000007</v>
      </c>
      <c r="AB161" s="2">
        <f t="shared" si="40"/>
        <v>2862.34</v>
      </c>
      <c r="AC161" s="6">
        <f t="shared" si="41"/>
        <v>257.61059999999998</v>
      </c>
      <c r="AD161" s="6">
        <f t="shared" si="42"/>
        <v>68.696160000000006</v>
      </c>
      <c r="AE161" s="6">
        <f t="shared" si="43"/>
        <v>634.55876000000001</v>
      </c>
      <c r="AF161" s="5">
        <f t="shared" si="44"/>
        <v>3.1727938</v>
      </c>
      <c r="AG161" s="207"/>
    </row>
    <row r="162" spans="1:33" x14ac:dyDescent="0.2">
      <c r="A162" s="229"/>
      <c r="B162" s="1" t="str">
        <f t="shared" si="30"/>
        <v>1.58, Heavy Disk 14'</v>
      </c>
      <c r="C162" s="155">
        <v>1.58</v>
      </c>
      <c r="D162" s="151" t="s">
        <v>436</v>
      </c>
      <c r="E162" s="151" t="s">
        <v>420</v>
      </c>
      <c r="F162" s="151" t="s">
        <v>12</v>
      </c>
      <c r="G162" s="151" t="str">
        <f t="shared" si="31"/>
        <v>Heavy Disk 14'</v>
      </c>
      <c r="H162" s="235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207"/>
    </row>
    <row r="163" spans="1:33" x14ac:dyDescent="0.2">
      <c r="A163" s="229"/>
      <c r="B163" s="1" t="str">
        <f t="shared" si="30"/>
        <v>1.59, Heavy Disk 21'</v>
      </c>
      <c r="C163" s="155">
        <v>1.59</v>
      </c>
      <c r="D163" s="151" t="s">
        <v>436</v>
      </c>
      <c r="E163" s="151" t="s">
        <v>420</v>
      </c>
      <c r="F163" s="151" t="s">
        <v>39</v>
      </c>
      <c r="G163" s="151" t="str">
        <f t="shared" si="31"/>
        <v>Heavy Disk 21'</v>
      </c>
      <c r="H163" s="235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207"/>
    </row>
    <row r="164" spans="1:33" x14ac:dyDescent="0.2">
      <c r="A164" s="229"/>
      <c r="B164" s="1" t="str">
        <f t="shared" si="30"/>
        <v>1.6, Heavy Disk 27'</v>
      </c>
      <c r="C164" s="155">
        <v>1.6</v>
      </c>
      <c r="D164" s="151" t="s">
        <v>436</v>
      </c>
      <c r="E164" s="151" t="s">
        <v>420</v>
      </c>
      <c r="F164" s="151" t="s">
        <v>17</v>
      </c>
      <c r="G164" s="151" t="str">
        <f t="shared" si="31"/>
        <v>Heavy Disk 27'</v>
      </c>
      <c r="H164" s="235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207"/>
    </row>
    <row r="165" spans="1:33" x14ac:dyDescent="0.2">
      <c r="A165" s="229">
        <v>113</v>
      </c>
      <c r="B165" s="1" t="str">
        <f t="shared" si="30"/>
        <v>1.61, Land Plane 50'x16'</v>
      </c>
      <c r="C165" s="155">
        <v>1.61</v>
      </c>
      <c r="D165" s="151" t="s">
        <v>436</v>
      </c>
      <c r="E165" s="151" t="s">
        <v>272</v>
      </c>
      <c r="F165" s="151" t="s">
        <v>76</v>
      </c>
      <c r="G165" s="151" t="str">
        <f t="shared" si="31"/>
        <v>Land Plane 50'x16'</v>
      </c>
      <c r="H165" s="30">
        <v>12423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352.39703307236647</v>
      </c>
      <c r="W165" s="9">
        <f t="shared" si="35"/>
        <v>1.7619851653618324</v>
      </c>
      <c r="X165" s="8">
        <f t="shared" si="36"/>
        <v>496.91999999999996</v>
      </c>
      <c r="Y165" s="7">
        <f t="shared" si="37"/>
        <v>2.4845999999999999</v>
      </c>
      <c r="Z165" s="2">
        <f t="shared" si="38"/>
        <v>3726.9</v>
      </c>
      <c r="AA165" s="2">
        <f t="shared" si="39"/>
        <v>869.61</v>
      </c>
      <c r="AB165" s="2">
        <f t="shared" si="40"/>
        <v>8074.95</v>
      </c>
      <c r="AC165" s="6">
        <f t="shared" si="41"/>
        <v>726.74549999999999</v>
      </c>
      <c r="AD165" s="6">
        <f t="shared" si="42"/>
        <v>193.7988</v>
      </c>
      <c r="AE165" s="6">
        <f t="shared" si="43"/>
        <v>1790.1543000000001</v>
      </c>
      <c r="AF165" s="5">
        <f t="shared" si="44"/>
        <v>8.9507715000000001</v>
      </c>
      <c r="AG165" s="207"/>
    </row>
    <row r="166" spans="1:33" x14ac:dyDescent="0.2">
      <c r="A166" s="229">
        <v>720</v>
      </c>
      <c r="B166" s="1" t="str">
        <f t="shared" si="30"/>
        <v>1.62, Levee Pull &amp; Seed 8 Blade</v>
      </c>
      <c r="C166" s="155">
        <v>1.62</v>
      </c>
      <c r="D166" s="151" t="s">
        <v>436</v>
      </c>
      <c r="E166" s="151" t="s">
        <v>273</v>
      </c>
      <c r="F166" s="151" t="s">
        <v>75</v>
      </c>
      <c r="G166" s="151" t="str">
        <f t="shared" si="31"/>
        <v>Levee Pull &amp; Seed 8 Blade</v>
      </c>
      <c r="H166" s="30">
        <v>10302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110.73510191813753</v>
      </c>
      <c r="W166" s="9">
        <f t="shared" si="35"/>
        <v>1.1073510191813754</v>
      </c>
      <c r="X166" s="8">
        <f t="shared" si="36"/>
        <v>206.04000000000002</v>
      </c>
      <c r="Y166" s="7">
        <f t="shared" si="37"/>
        <v>2.0604</v>
      </c>
      <c r="Z166" s="2">
        <f t="shared" si="38"/>
        <v>3090.6</v>
      </c>
      <c r="AA166" s="2">
        <f t="shared" si="39"/>
        <v>721.14</v>
      </c>
      <c r="AB166" s="2">
        <f t="shared" si="40"/>
        <v>6696.3</v>
      </c>
      <c r="AC166" s="6">
        <f t="shared" si="41"/>
        <v>602.66700000000003</v>
      </c>
      <c r="AD166" s="6">
        <f t="shared" si="42"/>
        <v>160.71120000000002</v>
      </c>
      <c r="AE166" s="6">
        <f t="shared" si="43"/>
        <v>1484.5182</v>
      </c>
      <c r="AF166" s="5">
        <f t="shared" si="44"/>
        <v>14.845181999999999</v>
      </c>
      <c r="AG166" s="207"/>
    </row>
    <row r="167" spans="1:33" x14ac:dyDescent="0.2">
      <c r="A167" s="229">
        <v>528</v>
      </c>
      <c r="B167" s="1" t="str">
        <f t="shared" si="30"/>
        <v>1.63, Levee Pull (1m/80a) 8 blade</v>
      </c>
      <c r="C167" s="155">
        <v>1.63</v>
      </c>
      <c r="D167" s="151" t="s">
        <v>436</v>
      </c>
      <c r="E167" s="151" t="s">
        <v>274</v>
      </c>
      <c r="F167" s="151" t="s">
        <v>74</v>
      </c>
      <c r="G167" s="151" t="str">
        <f t="shared" si="31"/>
        <v>Levee Pull (1m/80a) 8 blade</v>
      </c>
      <c r="H167" s="30">
        <v>7191.2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77.297443691876396</v>
      </c>
      <c r="W167" s="9">
        <f t="shared" si="35"/>
        <v>0.772974436918764</v>
      </c>
      <c r="X167" s="8">
        <f t="shared" si="36"/>
        <v>143.82400000000001</v>
      </c>
      <c r="Y167" s="7">
        <f t="shared" si="37"/>
        <v>1.4382400000000002</v>
      </c>
      <c r="Z167" s="2">
        <f t="shared" si="38"/>
        <v>2157.36</v>
      </c>
      <c r="AA167" s="2">
        <f t="shared" si="39"/>
        <v>503.38400000000001</v>
      </c>
      <c r="AB167" s="2">
        <f t="shared" si="40"/>
        <v>4674.28</v>
      </c>
      <c r="AC167" s="6">
        <f t="shared" si="41"/>
        <v>420.68519999999995</v>
      </c>
      <c r="AD167" s="6">
        <f t="shared" si="42"/>
        <v>112.18272</v>
      </c>
      <c r="AE167" s="6">
        <f t="shared" si="43"/>
        <v>1036.2519199999999</v>
      </c>
      <c r="AF167" s="5">
        <f t="shared" si="44"/>
        <v>10.362519199999999</v>
      </c>
      <c r="AG167" s="207"/>
    </row>
    <row r="168" spans="1:33" x14ac:dyDescent="0.2">
      <c r="A168" s="229">
        <v>117</v>
      </c>
      <c r="B168" s="1" t="str">
        <f t="shared" si="30"/>
        <v>1.64, Levee Splitter (1/80a) 8 blade</v>
      </c>
      <c r="C168" s="155">
        <v>1.64</v>
      </c>
      <c r="D168" s="151" t="s">
        <v>436</v>
      </c>
      <c r="E168" s="151" t="s">
        <v>275</v>
      </c>
      <c r="F168" s="151" t="s">
        <v>74</v>
      </c>
      <c r="G168" s="151" t="str">
        <f t="shared" si="31"/>
        <v>Levee Splitter (1/80a) 8 blade</v>
      </c>
      <c r="H168" s="30">
        <v>7191.2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77.297443691876396</v>
      </c>
      <c r="W168" s="9">
        <f t="shared" si="35"/>
        <v>0.772974436918764</v>
      </c>
      <c r="X168" s="8">
        <f t="shared" si="36"/>
        <v>143.82400000000001</v>
      </c>
      <c r="Y168" s="7">
        <f t="shared" si="37"/>
        <v>1.4382400000000002</v>
      </c>
      <c r="Z168" s="2">
        <f t="shared" si="38"/>
        <v>2157.36</v>
      </c>
      <c r="AA168" s="2">
        <f t="shared" si="39"/>
        <v>503.38400000000001</v>
      </c>
      <c r="AB168" s="2">
        <f t="shared" si="40"/>
        <v>4674.28</v>
      </c>
      <c r="AC168" s="6">
        <f t="shared" si="41"/>
        <v>420.68519999999995</v>
      </c>
      <c r="AD168" s="6">
        <f t="shared" si="42"/>
        <v>112.18272</v>
      </c>
      <c r="AE168" s="6">
        <f t="shared" si="43"/>
        <v>1036.2519199999999</v>
      </c>
      <c r="AF168" s="5">
        <f t="shared" si="44"/>
        <v>10.362519199999999</v>
      </c>
      <c r="AG168" s="207"/>
    </row>
    <row r="169" spans="1:33" x14ac:dyDescent="0.2">
      <c r="A169" s="229">
        <v>723</v>
      </c>
      <c r="B169" s="1" t="str">
        <f t="shared" si="30"/>
        <v>1.65, NT Grain Drill  6'</v>
      </c>
      <c r="C169" s="155">
        <v>1.65</v>
      </c>
      <c r="D169" s="151" t="s">
        <v>436</v>
      </c>
      <c r="E169" s="151" t="s">
        <v>276</v>
      </c>
      <c r="F169" s="151" t="s">
        <v>67</v>
      </c>
      <c r="G169" s="151" t="str">
        <f t="shared" si="31"/>
        <v>NT Grain Drill  6'</v>
      </c>
      <c r="H169" s="30">
        <v>24341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461.56189017582108</v>
      </c>
      <c r="W169" s="9">
        <f t="shared" si="35"/>
        <v>3.077079267838807</v>
      </c>
      <c r="X169" s="8">
        <f t="shared" si="36"/>
        <v>1369.1812500000001</v>
      </c>
      <c r="Y169" s="7">
        <f t="shared" si="37"/>
        <v>9.1278750000000013</v>
      </c>
      <c r="Z169" s="2">
        <f t="shared" si="38"/>
        <v>10953.45</v>
      </c>
      <c r="AA169" s="2">
        <f t="shared" si="39"/>
        <v>1673.4437499999999</v>
      </c>
      <c r="AB169" s="2">
        <f t="shared" si="40"/>
        <v>17647.224999999999</v>
      </c>
      <c r="AC169" s="6">
        <f t="shared" si="41"/>
        <v>1588.2502499999998</v>
      </c>
      <c r="AD169" s="6">
        <f t="shared" si="42"/>
        <v>423.53339999999997</v>
      </c>
      <c r="AE169" s="6">
        <f t="shared" si="43"/>
        <v>3685.2273999999993</v>
      </c>
      <c r="AF169" s="5">
        <f t="shared" si="44"/>
        <v>24.568182666666662</v>
      </c>
      <c r="AG169" s="207"/>
    </row>
    <row r="170" spans="1:33" x14ac:dyDescent="0.2">
      <c r="A170" s="229">
        <v>554</v>
      </c>
      <c r="B170" s="1" t="str">
        <f t="shared" si="30"/>
        <v>1.66, NT Grain Drill 10'</v>
      </c>
      <c r="C170" s="155">
        <v>1.66</v>
      </c>
      <c r="D170" s="151" t="s">
        <v>436</v>
      </c>
      <c r="E170" s="151" t="s">
        <v>276</v>
      </c>
      <c r="F170" s="151" t="s">
        <v>66</v>
      </c>
      <c r="G170" s="151" t="str">
        <f t="shared" si="31"/>
        <v>NT Grain Drill 10'</v>
      </c>
      <c r="H170" s="30">
        <v>36057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683.72445972102958</v>
      </c>
      <c r="W170" s="9">
        <f t="shared" si="35"/>
        <v>4.5581630648068634</v>
      </c>
      <c r="X170" s="8">
        <f t="shared" si="36"/>
        <v>2028.20625</v>
      </c>
      <c r="Y170" s="7">
        <f t="shared" si="37"/>
        <v>13.521374999999999</v>
      </c>
      <c r="Z170" s="2">
        <f t="shared" si="38"/>
        <v>16225.65</v>
      </c>
      <c r="AA170" s="2">
        <f t="shared" si="39"/>
        <v>2478.9187499999998</v>
      </c>
      <c r="AB170" s="2">
        <f t="shared" si="40"/>
        <v>26141.325000000001</v>
      </c>
      <c r="AC170" s="6">
        <f t="shared" si="41"/>
        <v>2352.7192500000001</v>
      </c>
      <c r="AD170" s="6">
        <f t="shared" si="42"/>
        <v>627.39179999999999</v>
      </c>
      <c r="AE170" s="6">
        <f t="shared" si="43"/>
        <v>5459.0298000000003</v>
      </c>
      <c r="AF170" s="5">
        <f t="shared" si="44"/>
        <v>36.393532</v>
      </c>
      <c r="AG170" s="207"/>
    </row>
    <row r="171" spans="1:33" x14ac:dyDescent="0.2">
      <c r="A171" s="229">
        <v>127</v>
      </c>
      <c r="B171" s="1" t="str">
        <f t="shared" si="30"/>
        <v>1.67, NT Grain Drill 12'</v>
      </c>
      <c r="C171" s="155">
        <v>1.67</v>
      </c>
      <c r="D171" s="151" t="s">
        <v>436</v>
      </c>
      <c r="E171" s="151" t="s">
        <v>276</v>
      </c>
      <c r="F171" s="151" t="s">
        <v>11</v>
      </c>
      <c r="G171" s="151" t="str">
        <f t="shared" si="31"/>
        <v>NT Grain Drill 12'</v>
      </c>
      <c r="H171" s="30">
        <v>42420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804.38171731885836</v>
      </c>
      <c r="W171" s="9">
        <f t="shared" si="35"/>
        <v>5.3625447821257222</v>
      </c>
      <c r="X171" s="8">
        <f t="shared" si="36"/>
        <v>2386.125</v>
      </c>
      <c r="Y171" s="7">
        <f t="shared" si="37"/>
        <v>15.907500000000001</v>
      </c>
      <c r="Z171" s="2">
        <f t="shared" si="38"/>
        <v>19089</v>
      </c>
      <c r="AA171" s="2">
        <f t="shared" si="39"/>
        <v>2916.375</v>
      </c>
      <c r="AB171" s="2">
        <f t="shared" si="40"/>
        <v>30754.5</v>
      </c>
      <c r="AC171" s="6">
        <f t="shared" si="41"/>
        <v>2767.9049999999997</v>
      </c>
      <c r="AD171" s="6">
        <f t="shared" si="42"/>
        <v>738.10800000000006</v>
      </c>
      <c r="AE171" s="6">
        <f t="shared" si="43"/>
        <v>6422.3879999999999</v>
      </c>
      <c r="AF171" s="5">
        <f t="shared" si="44"/>
        <v>42.815919999999998</v>
      </c>
      <c r="AG171" s="207"/>
    </row>
    <row r="172" spans="1:33" x14ac:dyDescent="0.2">
      <c r="A172" s="229">
        <v>328</v>
      </c>
      <c r="B172" s="1" t="str">
        <f t="shared" si="30"/>
        <v>1.68, NT Grain Drill 15'</v>
      </c>
      <c r="C172" s="155">
        <v>1.68</v>
      </c>
      <c r="D172" s="151" t="s">
        <v>436</v>
      </c>
      <c r="E172" s="151" t="s">
        <v>276</v>
      </c>
      <c r="F172" s="151" t="s">
        <v>10</v>
      </c>
      <c r="G172" s="151" t="str">
        <f t="shared" si="31"/>
        <v>NT Grain Drill 15'</v>
      </c>
      <c r="H172" s="30">
        <v>49288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934.61494774191158</v>
      </c>
      <c r="W172" s="9">
        <f t="shared" si="35"/>
        <v>6.2307663182794109</v>
      </c>
      <c r="X172" s="8">
        <f t="shared" si="36"/>
        <v>2772.45</v>
      </c>
      <c r="Y172" s="7">
        <f t="shared" si="37"/>
        <v>18.483000000000001</v>
      </c>
      <c r="Z172" s="2">
        <f t="shared" si="38"/>
        <v>22179.599999999999</v>
      </c>
      <c r="AA172" s="2">
        <f t="shared" si="39"/>
        <v>3388.55</v>
      </c>
      <c r="AB172" s="2">
        <f t="shared" si="40"/>
        <v>35733.800000000003</v>
      </c>
      <c r="AC172" s="6">
        <f t="shared" si="41"/>
        <v>3216.0419999999999</v>
      </c>
      <c r="AD172" s="6">
        <f t="shared" si="42"/>
        <v>857.61120000000005</v>
      </c>
      <c r="AE172" s="6">
        <f t="shared" si="43"/>
        <v>7462.2032000000008</v>
      </c>
      <c r="AF172" s="5">
        <f t="shared" si="44"/>
        <v>49.748021333333341</v>
      </c>
      <c r="AG172" s="207"/>
    </row>
    <row r="173" spans="1:33" x14ac:dyDescent="0.2">
      <c r="A173" s="229">
        <v>128</v>
      </c>
      <c r="B173" s="1" t="str">
        <f t="shared" si="30"/>
        <v>1.69, NT Grain Drill 20'</v>
      </c>
      <c r="C173" s="155">
        <v>1.69</v>
      </c>
      <c r="D173" s="151" t="s">
        <v>436</v>
      </c>
      <c r="E173" s="151" t="s">
        <v>276</v>
      </c>
      <c r="F173" s="151" t="s">
        <v>8</v>
      </c>
      <c r="G173" s="151" t="str">
        <f t="shared" si="31"/>
        <v>NT Grain Drill 20'</v>
      </c>
      <c r="H173" s="30">
        <v>65044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1233.3852998889161</v>
      </c>
      <c r="W173" s="9">
        <f t="shared" si="35"/>
        <v>8.2225686659261061</v>
      </c>
      <c r="X173" s="8">
        <f t="shared" si="36"/>
        <v>3658.7249999999999</v>
      </c>
      <c r="Y173" s="7">
        <f t="shared" si="37"/>
        <v>24.391500000000001</v>
      </c>
      <c r="Z173" s="2">
        <f t="shared" si="38"/>
        <v>29269.8</v>
      </c>
      <c r="AA173" s="2">
        <f t="shared" si="39"/>
        <v>4471.7749999999996</v>
      </c>
      <c r="AB173" s="2">
        <f t="shared" si="40"/>
        <v>47156.9</v>
      </c>
      <c r="AC173" s="6">
        <f t="shared" si="41"/>
        <v>4244.1210000000001</v>
      </c>
      <c r="AD173" s="6">
        <f t="shared" si="42"/>
        <v>1131.7655999999999</v>
      </c>
      <c r="AE173" s="6">
        <f t="shared" si="43"/>
        <v>9847.6616000000013</v>
      </c>
      <c r="AF173" s="5">
        <f t="shared" si="44"/>
        <v>65.651077333333347</v>
      </c>
      <c r="AG173" s="207"/>
    </row>
    <row r="174" spans="1:33" x14ac:dyDescent="0.2">
      <c r="A174" s="229">
        <v>329</v>
      </c>
      <c r="B174" s="1" t="str">
        <f t="shared" si="30"/>
        <v>1.7, NT Grain Drill 24'</v>
      </c>
      <c r="C174" s="155">
        <v>1.7</v>
      </c>
      <c r="D174" s="151" t="s">
        <v>436</v>
      </c>
      <c r="E174" s="151" t="s">
        <v>276</v>
      </c>
      <c r="F174" s="151" t="s">
        <v>65</v>
      </c>
      <c r="G174" s="151" t="str">
        <f t="shared" si="31"/>
        <v>NT Grain Drill 24'</v>
      </c>
      <c r="H174" s="30">
        <v>79992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1516.8340955155613</v>
      </c>
      <c r="W174" s="9">
        <f t="shared" si="35"/>
        <v>10.112227303437075</v>
      </c>
      <c r="X174" s="8">
        <f t="shared" si="36"/>
        <v>4499.55</v>
      </c>
      <c r="Y174" s="7">
        <f t="shared" si="37"/>
        <v>29.997</v>
      </c>
      <c r="Z174" s="2">
        <f t="shared" si="38"/>
        <v>35996.400000000001</v>
      </c>
      <c r="AA174" s="2">
        <f t="shared" si="39"/>
        <v>5499.45</v>
      </c>
      <c r="AB174" s="2">
        <f t="shared" si="40"/>
        <v>57994.2</v>
      </c>
      <c r="AC174" s="6">
        <f t="shared" si="41"/>
        <v>5219.4779999999992</v>
      </c>
      <c r="AD174" s="6">
        <f t="shared" si="42"/>
        <v>1391.8607999999999</v>
      </c>
      <c r="AE174" s="6">
        <f t="shared" si="43"/>
        <v>12110.7888</v>
      </c>
      <c r="AF174" s="5">
        <f t="shared" si="44"/>
        <v>80.738591999999997</v>
      </c>
      <c r="AG174" s="207"/>
    </row>
    <row r="175" spans="1:33" x14ac:dyDescent="0.2">
      <c r="A175" s="229">
        <v>129</v>
      </c>
      <c r="B175" s="1" t="str">
        <f t="shared" si="30"/>
        <v>1.71, NT Grain Drill 30'</v>
      </c>
      <c r="C175" s="155">
        <v>1.71</v>
      </c>
      <c r="D175" s="151" t="s">
        <v>436</v>
      </c>
      <c r="E175" s="151" t="s">
        <v>276</v>
      </c>
      <c r="F175" s="151" t="s">
        <v>44</v>
      </c>
      <c r="G175" s="151" t="str">
        <f t="shared" si="31"/>
        <v>NT Grain Drill 30'</v>
      </c>
      <c r="H175" s="30">
        <v>91506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1735.1662759306801</v>
      </c>
      <c r="W175" s="9">
        <f t="shared" si="35"/>
        <v>11.567775172871201</v>
      </c>
      <c r="X175" s="8">
        <f t="shared" si="36"/>
        <v>5147.2124999999996</v>
      </c>
      <c r="Y175" s="7">
        <f t="shared" si="37"/>
        <v>34.314749999999997</v>
      </c>
      <c r="Z175" s="2">
        <f t="shared" si="38"/>
        <v>41177.699999999997</v>
      </c>
      <c r="AA175" s="2">
        <f t="shared" si="39"/>
        <v>6291.0375000000004</v>
      </c>
      <c r="AB175" s="2">
        <f t="shared" si="40"/>
        <v>66341.850000000006</v>
      </c>
      <c r="AC175" s="6">
        <f t="shared" si="41"/>
        <v>5970.7665000000006</v>
      </c>
      <c r="AD175" s="6">
        <f t="shared" si="42"/>
        <v>1592.2044000000001</v>
      </c>
      <c r="AE175" s="6">
        <f t="shared" si="43"/>
        <v>13854.008400000001</v>
      </c>
      <c r="AF175" s="5">
        <f t="shared" si="44"/>
        <v>92.360056</v>
      </c>
      <c r="AG175" s="207"/>
    </row>
    <row r="176" spans="1:33" x14ac:dyDescent="0.2">
      <c r="A176" s="229">
        <v>724</v>
      </c>
      <c r="B176" s="1" t="str">
        <f t="shared" si="30"/>
        <v>1.72, NT Grain Drill &amp; Pre  6'</v>
      </c>
      <c r="C176" s="155">
        <v>1.72</v>
      </c>
      <c r="D176" s="151" t="s">
        <v>436</v>
      </c>
      <c r="E176" s="151" t="s">
        <v>277</v>
      </c>
      <c r="F176" s="151" t="s">
        <v>67</v>
      </c>
      <c r="G176" s="151" t="str">
        <f t="shared" si="31"/>
        <v>NT Grain Drill &amp; Pre  6'</v>
      </c>
      <c r="H176" s="30">
        <v>30300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574.55836951347021</v>
      </c>
      <c r="W176" s="9">
        <f t="shared" si="35"/>
        <v>3.8303891300898014</v>
      </c>
      <c r="X176" s="8">
        <f t="shared" si="36"/>
        <v>1704.375</v>
      </c>
      <c r="Y176" s="7">
        <f t="shared" si="37"/>
        <v>11.362500000000001</v>
      </c>
      <c r="Z176" s="2">
        <f t="shared" si="38"/>
        <v>13635</v>
      </c>
      <c r="AA176" s="2">
        <f t="shared" si="39"/>
        <v>2083.125</v>
      </c>
      <c r="AB176" s="2">
        <f t="shared" si="40"/>
        <v>21967.5</v>
      </c>
      <c r="AC176" s="6">
        <f t="shared" si="41"/>
        <v>1977.0749999999998</v>
      </c>
      <c r="AD176" s="6">
        <f t="shared" si="42"/>
        <v>527.22</v>
      </c>
      <c r="AE176" s="6">
        <f t="shared" si="43"/>
        <v>4587.42</v>
      </c>
      <c r="AF176" s="5">
        <f t="shared" si="44"/>
        <v>30.582799999999999</v>
      </c>
      <c r="AG176" s="207"/>
    </row>
    <row r="177" spans="1:33" x14ac:dyDescent="0.2">
      <c r="A177" s="229">
        <v>555</v>
      </c>
      <c r="B177" s="1" t="str">
        <f t="shared" si="30"/>
        <v>1.73, NT Grain Drill &amp; Pre 10'</v>
      </c>
      <c r="C177" s="155">
        <v>1.73</v>
      </c>
      <c r="D177" s="151" t="s">
        <v>436</v>
      </c>
      <c r="E177" s="151" t="s">
        <v>277</v>
      </c>
      <c r="F177" s="151" t="s">
        <v>66</v>
      </c>
      <c r="G177" s="151" t="str">
        <f t="shared" si="31"/>
        <v>NT Grain Drill &amp; Pre 10'</v>
      </c>
      <c r="H177" s="30">
        <v>42016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796.72093905867882</v>
      </c>
      <c r="W177" s="9">
        <f t="shared" si="35"/>
        <v>5.3114729270578591</v>
      </c>
      <c r="X177" s="8">
        <f t="shared" si="36"/>
        <v>2363.4</v>
      </c>
      <c r="Y177" s="7">
        <f t="shared" si="37"/>
        <v>15.756</v>
      </c>
      <c r="Z177" s="2">
        <f t="shared" si="38"/>
        <v>18907.2</v>
      </c>
      <c r="AA177" s="2">
        <f t="shared" si="39"/>
        <v>2888.6</v>
      </c>
      <c r="AB177" s="2">
        <f t="shared" si="40"/>
        <v>30461.599999999999</v>
      </c>
      <c r="AC177" s="6">
        <f t="shared" si="41"/>
        <v>2741.5439999999999</v>
      </c>
      <c r="AD177" s="6">
        <f t="shared" si="42"/>
        <v>731.07839999999999</v>
      </c>
      <c r="AE177" s="6">
        <f t="shared" si="43"/>
        <v>6361.2224000000006</v>
      </c>
      <c r="AF177" s="5">
        <f t="shared" si="44"/>
        <v>42.408149333333334</v>
      </c>
      <c r="AG177" s="207"/>
    </row>
    <row r="178" spans="1:33" x14ac:dyDescent="0.2">
      <c r="A178" s="229">
        <v>403</v>
      </c>
      <c r="B178" s="1" t="str">
        <f t="shared" si="30"/>
        <v>1.74, NT Grain Drill &amp; Pre 12'</v>
      </c>
      <c r="C178" s="155">
        <v>1.74</v>
      </c>
      <c r="D178" s="151" t="s">
        <v>436</v>
      </c>
      <c r="E178" s="151" t="s">
        <v>277</v>
      </c>
      <c r="F178" s="151" t="s">
        <v>11</v>
      </c>
      <c r="G178" s="151" t="str">
        <f t="shared" si="31"/>
        <v>NT Grain Drill &amp; Pre 12'</v>
      </c>
      <c r="H178" s="30">
        <v>48379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917.3781966565075</v>
      </c>
      <c r="W178" s="9">
        <f t="shared" si="35"/>
        <v>6.115854644376717</v>
      </c>
      <c r="X178" s="8">
        <f t="shared" si="36"/>
        <v>2721.3187499999999</v>
      </c>
      <c r="Y178" s="7">
        <f t="shared" si="37"/>
        <v>18.142125</v>
      </c>
      <c r="Z178" s="2">
        <f t="shared" si="38"/>
        <v>21770.55</v>
      </c>
      <c r="AA178" s="2">
        <f t="shared" si="39"/>
        <v>3326.0562500000001</v>
      </c>
      <c r="AB178" s="2">
        <f t="shared" si="40"/>
        <v>35074.775000000001</v>
      </c>
      <c r="AC178" s="6">
        <f t="shared" si="41"/>
        <v>3156.72975</v>
      </c>
      <c r="AD178" s="6">
        <f t="shared" si="42"/>
        <v>841.79460000000006</v>
      </c>
      <c r="AE178" s="6">
        <f t="shared" si="43"/>
        <v>7324.5806000000002</v>
      </c>
      <c r="AF178" s="5">
        <f t="shared" si="44"/>
        <v>48.830537333333332</v>
      </c>
      <c r="AG178" s="207"/>
    </row>
    <row r="179" spans="1:33" x14ac:dyDescent="0.2">
      <c r="A179" s="229">
        <v>404</v>
      </c>
      <c r="B179" s="1" t="str">
        <f t="shared" si="30"/>
        <v>1.75, NT Grain Drill &amp; Pre 15'</v>
      </c>
      <c r="C179" s="155">
        <v>1.75</v>
      </c>
      <c r="D179" s="151" t="s">
        <v>436</v>
      </c>
      <c r="E179" s="151" t="s">
        <v>277</v>
      </c>
      <c r="F179" s="151" t="s">
        <v>10</v>
      </c>
      <c r="G179" s="151" t="str">
        <f t="shared" si="31"/>
        <v>NT Grain Drill &amp; Pre 15'</v>
      </c>
      <c r="H179" s="30">
        <v>55348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1049.5266216446057</v>
      </c>
      <c r="W179" s="9">
        <f t="shared" si="35"/>
        <v>6.9968441442973717</v>
      </c>
      <c r="X179" s="8">
        <f t="shared" si="36"/>
        <v>3113.3249999999998</v>
      </c>
      <c r="Y179" s="7">
        <f t="shared" si="37"/>
        <v>20.755499999999998</v>
      </c>
      <c r="Z179" s="2">
        <f t="shared" si="38"/>
        <v>24906.6</v>
      </c>
      <c r="AA179" s="2">
        <f t="shared" si="39"/>
        <v>3805.1750000000002</v>
      </c>
      <c r="AB179" s="2">
        <f t="shared" si="40"/>
        <v>40127.300000000003</v>
      </c>
      <c r="AC179" s="6">
        <f t="shared" si="41"/>
        <v>3611.4570000000003</v>
      </c>
      <c r="AD179" s="6">
        <f t="shared" si="42"/>
        <v>963.05520000000013</v>
      </c>
      <c r="AE179" s="6">
        <f t="shared" si="43"/>
        <v>8379.6872000000003</v>
      </c>
      <c r="AF179" s="5">
        <f t="shared" si="44"/>
        <v>55.864581333333334</v>
      </c>
      <c r="AG179" s="207"/>
    </row>
    <row r="180" spans="1:33" x14ac:dyDescent="0.2">
      <c r="A180" s="229">
        <v>405</v>
      </c>
      <c r="B180" s="1" t="str">
        <f t="shared" si="30"/>
        <v>1.76, NT Grain Drill &amp; Pre 20'</v>
      </c>
      <c r="C180" s="155">
        <v>1.76</v>
      </c>
      <c r="D180" s="151" t="s">
        <v>436</v>
      </c>
      <c r="E180" s="151" t="s">
        <v>277</v>
      </c>
      <c r="F180" s="151" t="s">
        <v>8</v>
      </c>
      <c r="G180" s="151" t="str">
        <f t="shared" si="31"/>
        <v>NT Grain Drill &amp; Pre 20'</v>
      </c>
      <c r="H180" s="30">
        <v>71104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1348.2969737916101</v>
      </c>
      <c r="W180" s="9">
        <f t="shared" si="35"/>
        <v>8.988646491944067</v>
      </c>
      <c r="X180" s="8">
        <f t="shared" si="36"/>
        <v>3999.6</v>
      </c>
      <c r="Y180" s="7">
        <f t="shared" si="37"/>
        <v>26.663999999999998</v>
      </c>
      <c r="Z180" s="2">
        <f t="shared" si="38"/>
        <v>31996.799999999999</v>
      </c>
      <c r="AA180" s="2">
        <f t="shared" si="39"/>
        <v>4888.3999999999996</v>
      </c>
      <c r="AB180" s="2">
        <f t="shared" si="40"/>
        <v>51550.400000000001</v>
      </c>
      <c r="AC180" s="6">
        <f t="shared" si="41"/>
        <v>4639.5360000000001</v>
      </c>
      <c r="AD180" s="6">
        <f t="shared" si="42"/>
        <v>1237.2096000000001</v>
      </c>
      <c r="AE180" s="6">
        <f t="shared" si="43"/>
        <v>10765.1456</v>
      </c>
      <c r="AF180" s="5">
        <f t="shared" si="44"/>
        <v>71.767637333333326</v>
      </c>
      <c r="AG180" s="207"/>
    </row>
    <row r="181" spans="1:33" x14ac:dyDescent="0.2">
      <c r="A181" s="229">
        <v>406</v>
      </c>
      <c r="B181" s="1" t="str">
        <f t="shared" si="30"/>
        <v>1.77, NT Grain Drill &amp; Pre 24'</v>
      </c>
      <c r="C181" s="155">
        <v>1.77</v>
      </c>
      <c r="D181" s="151" t="s">
        <v>436</v>
      </c>
      <c r="E181" s="151" t="s">
        <v>277</v>
      </c>
      <c r="F181" s="151" t="s">
        <v>65</v>
      </c>
      <c r="G181" s="151" t="str">
        <f t="shared" si="31"/>
        <v>NT Grain Drill &amp; Pre 24'</v>
      </c>
      <c r="H181" s="30">
        <v>86052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1631.7457694182553</v>
      </c>
      <c r="W181" s="9">
        <f t="shared" si="35"/>
        <v>10.878305129455036</v>
      </c>
      <c r="X181" s="8">
        <f t="shared" si="36"/>
        <v>4840.4250000000002</v>
      </c>
      <c r="Y181" s="7">
        <f t="shared" si="37"/>
        <v>32.269500000000001</v>
      </c>
      <c r="Z181" s="2">
        <f t="shared" si="38"/>
        <v>38723.4</v>
      </c>
      <c r="AA181" s="2">
        <f t="shared" si="39"/>
        <v>5916.0749999999998</v>
      </c>
      <c r="AB181" s="2">
        <f t="shared" si="40"/>
        <v>62387.7</v>
      </c>
      <c r="AC181" s="6">
        <f t="shared" si="41"/>
        <v>5614.8929999999991</v>
      </c>
      <c r="AD181" s="6">
        <f t="shared" si="42"/>
        <v>1497.3047999999999</v>
      </c>
      <c r="AE181" s="6">
        <f t="shared" si="43"/>
        <v>13028.272799999999</v>
      </c>
      <c r="AF181" s="5">
        <f t="shared" si="44"/>
        <v>86.85515199999999</v>
      </c>
      <c r="AG181" s="207"/>
    </row>
    <row r="182" spans="1:33" x14ac:dyDescent="0.2">
      <c r="A182" s="229">
        <v>407</v>
      </c>
      <c r="B182" s="1" t="str">
        <f t="shared" si="30"/>
        <v>1.78, NT Grain Drill &amp; Pre 30'</v>
      </c>
      <c r="C182" s="155">
        <v>1.78</v>
      </c>
      <c r="D182" s="151" t="s">
        <v>436</v>
      </c>
      <c r="E182" s="151" t="s">
        <v>277</v>
      </c>
      <c r="F182" s="151" t="s">
        <v>44</v>
      </c>
      <c r="G182" s="151" t="str">
        <f t="shared" si="31"/>
        <v>NT Grain Drill &amp; Pre 30'</v>
      </c>
      <c r="H182" s="30">
        <v>98980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1876.8906737440027</v>
      </c>
      <c r="W182" s="9">
        <f t="shared" si="35"/>
        <v>12.512604491626684</v>
      </c>
      <c r="X182" s="8">
        <f t="shared" si="36"/>
        <v>5567.625</v>
      </c>
      <c r="Y182" s="7">
        <f t="shared" si="37"/>
        <v>37.1175</v>
      </c>
      <c r="Z182" s="2">
        <f t="shared" si="38"/>
        <v>44541</v>
      </c>
      <c r="AA182" s="2">
        <f t="shared" si="39"/>
        <v>6804.875</v>
      </c>
      <c r="AB182" s="2">
        <f t="shared" si="40"/>
        <v>71760.5</v>
      </c>
      <c r="AC182" s="6">
        <f t="shared" si="41"/>
        <v>6458.4449999999997</v>
      </c>
      <c r="AD182" s="6">
        <f t="shared" si="42"/>
        <v>1722.252</v>
      </c>
      <c r="AE182" s="6">
        <f t="shared" si="43"/>
        <v>14985.572</v>
      </c>
      <c r="AF182" s="5">
        <f t="shared" si="44"/>
        <v>99.903813333333332</v>
      </c>
      <c r="AG182" s="207"/>
    </row>
    <row r="183" spans="1:33" x14ac:dyDescent="0.2">
      <c r="A183" s="229">
        <v>389</v>
      </c>
      <c r="B183" s="1" t="str">
        <f t="shared" si="30"/>
        <v>1.79, NT Plant &amp; Pre-Folding 12R-20</v>
      </c>
      <c r="C183" s="155">
        <v>1.79</v>
      </c>
      <c r="D183" s="151" t="s">
        <v>436</v>
      </c>
      <c r="E183" s="151" t="s">
        <v>278</v>
      </c>
      <c r="F183" s="151" t="s">
        <v>50</v>
      </c>
      <c r="G183" s="151" t="str">
        <f t="shared" si="31"/>
        <v>NT Plant &amp; Pre-Folding 12R-20</v>
      </c>
      <c r="H183" s="30">
        <v>70902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1344.4665846615203</v>
      </c>
      <c r="W183" s="9">
        <f t="shared" si="35"/>
        <v>8.963110564410135</v>
      </c>
      <c r="X183" s="8">
        <f t="shared" si="36"/>
        <v>3988.2375000000002</v>
      </c>
      <c r="Y183" s="7">
        <f t="shared" si="37"/>
        <v>26.588250000000002</v>
      </c>
      <c r="Z183" s="2">
        <f t="shared" si="38"/>
        <v>31905.9</v>
      </c>
      <c r="AA183" s="2">
        <f t="shared" si="39"/>
        <v>4874.5124999999998</v>
      </c>
      <c r="AB183" s="2">
        <f t="shared" si="40"/>
        <v>51403.95</v>
      </c>
      <c r="AC183" s="6">
        <f t="shared" si="41"/>
        <v>4626.3554999999997</v>
      </c>
      <c r="AD183" s="6">
        <f t="shared" si="42"/>
        <v>1233.6948</v>
      </c>
      <c r="AE183" s="6">
        <f t="shared" si="43"/>
        <v>10734.562799999998</v>
      </c>
      <c r="AF183" s="5">
        <f t="shared" si="44"/>
        <v>71.56375199999998</v>
      </c>
      <c r="AG183" s="207"/>
    </row>
    <row r="184" spans="1:33" x14ac:dyDescent="0.2">
      <c r="A184" s="229">
        <v>395</v>
      </c>
      <c r="B184" s="1" t="str">
        <f t="shared" si="30"/>
        <v>1.8, NT Plant &amp; Pre-Folding  8R-36</v>
      </c>
      <c r="C184" s="155">
        <v>1.8</v>
      </c>
      <c r="D184" s="151" t="s">
        <v>436</v>
      </c>
      <c r="E184" s="151" t="s">
        <v>278</v>
      </c>
      <c r="F184" s="151" t="s">
        <v>199</v>
      </c>
      <c r="G184" s="151" t="str">
        <f t="shared" si="31"/>
        <v>NT Plant &amp; Pre-Folding  8R-36</v>
      </c>
      <c r="H184" s="30">
        <v>48480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919.29339122155238</v>
      </c>
      <c r="W184" s="9">
        <f t="shared" si="35"/>
        <v>6.128622608143683</v>
      </c>
      <c r="X184" s="8">
        <f t="shared" si="36"/>
        <v>2727</v>
      </c>
      <c r="Y184" s="7">
        <f t="shared" si="37"/>
        <v>18.18</v>
      </c>
      <c r="Z184" s="2">
        <f t="shared" si="38"/>
        <v>21816</v>
      </c>
      <c r="AA184" s="2">
        <f t="shared" si="39"/>
        <v>3333</v>
      </c>
      <c r="AB184" s="2">
        <f t="shared" si="40"/>
        <v>35148</v>
      </c>
      <c r="AC184" s="6">
        <f t="shared" si="41"/>
        <v>3163.3199999999997</v>
      </c>
      <c r="AD184" s="6">
        <f t="shared" si="42"/>
        <v>843.55200000000002</v>
      </c>
      <c r="AE184" s="6">
        <f t="shared" si="43"/>
        <v>7339.8719999999994</v>
      </c>
      <c r="AF184" s="5">
        <f t="shared" si="44"/>
        <v>48.932479999999998</v>
      </c>
      <c r="AG184" s="207"/>
    </row>
    <row r="185" spans="1:33" x14ac:dyDescent="0.2">
      <c r="A185" s="229">
        <v>392</v>
      </c>
      <c r="B185" s="1" t="str">
        <f t="shared" si="30"/>
        <v>1.81, NT Plant &amp; Pre-Folding 23R-15</v>
      </c>
      <c r="C185" s="155">
        <v>1.81</v>
      </c>
      <c r="D185" s="151" t="s">
        <v>436</v>
      </c>
      <c r="E185" s="151" t="s">
        <v>278</v>
      </c>
      <c r="F185" s="151" t="s">
        <v>62</v>
      </c>
      <c r="G185" s="151" t="str">
        <f t="shared" si="31"/>
        <v>NT Plant &amp; Pre-Folding 23R-15</v>
      </c>
      <c r="H185" s="30">
        <v>130290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2470.6009889079219</v>
      </c>
      <c r="W185" s="9">
        <f t="shared" si="35"/>
        <v>16.470673259386146</v>
      </c>
      <c r="X185" s="8">
        <f t="shared" si="36"/>
        <v>7328.8125</v>
      </c>
      <c r="Y185" s="7">
        <f t="shared" si="37"/>
        <v>48.858750000000001</v>
      </c>
      <c r="Z185" s="2">
        <f t="shared" si="38"/>
        <v>58630.5</v>
      </c>
      <c r="AA185" s="2">
        <f t="shared" si="39"/>
        <v>8957.4375</v>
      </c>
      <c r="AB185" s="2">
        <f t="shared" si="40"/>
        <v>94460.25</v>
      </c>
      <c r="AC185" s="6">
        <f t="shared" si="41"/>
        <v>8501.4225000000006</v>
      </c>
      <c r="AD185" s="6">
        <f t="shared" si="42"/>
        <v>2267.0459999999998</v>
      </c>
      <c r="AE185" s="6">
        <f t="shared" si="43"/>
        <v>19725.905999999999</v>
      </c>
      <c r="AF185" s="5">
        <f t="shared" si="44"/>
        <v>131.50603999999998</v>
      </c>
      <c r="AG185" s="207"/>
    </row>
    <row r="186" spans="1:33" x14ac:dyDescent="0.2">
      <c r="A186" s="229">
        <v>390</v>
      </c>
      <c r="B186" s="1" t="str">
        <f t="shared" si="30"/>
        <v>1.82, NT Plant &amp; Pre-Folding 12R-30</v>
      </c>
      <c r="C186" s="155">
        <v>1.82</v>
      </c>
      <c r="D186" s="151" t="s">
        <v>436</v>
      </c>
      <c r="E186" s="151" t="s">
        <v>278</v>
      </c>
      <c r="F186" s="151" t="s">
        <v>6</v>
      </c>
      <c r="G186" s="151" t="str">
        <f t="shared" si="31"/>
        <v>NT Plant &amp; Pre-Folding 12R-30</v>
      </c>
      <c r="H186" s="30">
        <v>72720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1378.9400868323285</v>
      </c>
      <c r="W186" s="9">
        <f t="shared" si="35"/>
        <v>9.1929339122155227</v>
      </c>
      <c r="X186" s="8">
        <f t="shared" si="36"/>
        <v>4090.5</v>
      </c>
      <c r="Y186" s="7">
        <f t="shared" si="37"/>
        <v>27.27</v>
      </c>
      <c r="Z186" s="2">
        <f t="shared" si="38"/>
        <v>32724</v>
      </c>
      <c r="AA186" s="2">
        <f t="shared" si="39"/>
        <v>4999.5</v>
      </c>
      <c r="AB186" s="2">
        <f t="shared" si="40"/>
        <v>52722</v>
      </c>
      <c r="AC186" s="6">
        <f t="shared" si="41"/>
        <v>4744.9799999999996</v>
      </c>
      <c r="AD186" s="6">
        <f t="shared" si="42"/>
        <v>1265.328</v>
      </c>
      <c r="AE186" s="6">
        <f t="shared" si="43"/>
        <v>11009.807999999999</v>
      </c>
      <c r="AF186" s="5">
        <f t="shared" si="44"/>
        <v>73.398719999999997</v>
      </c>
      <c r="AG186" s="207"/>
    </row>
    <row r="187" spans="1:33" x14ac:dyDescent="0.2">
      <c r="A187" s="229">
        <v>549</v>
      </c>
      <c r="B187" s="1" t="str">
        <f t="shared" si="30"/>
        <v>1.83, NT Plant &amp; Pre-Folding 24R-15</v>
      </c>
      <c r="C187" s="155">
        <v>1.83</v>
      </c>
      <c r="D187" s="151" t="s">
        <v>436</v>
      </c>
      <c r="E187" s="151" t="s">
        <v>278</v>
      </c>
      <c r="F187" s="151" t="s">
        <v>61</v>
      </c>
      <c r="G187" s="151" t="str">
        <f t="shared" si="31"/>
        <v>NT Plant &amp; Pre-Folding 24R-15</v>
      </c>
      <c r="H187" s="30">
        <v>134330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2547.2087715097182</v>
      </c>
      <c r="W187" s="9">
        <f t="shared" si="35"/>
        <v>16.981391810064789</v>
      </c>
      <c r="X187" s="8">
        <f t="shared" si="36"/>
        <v>7556.0625</v>
      </c>
      <c r="Y187" s="7">
        <f t="shared" si="37"/>
        <v>50.373750000000001</v>
      </c>
      <c r="Z187" s="2">
        <f t="shared" si="38"/>
        <v>60448.5</v>
      </c>
      <c r="AA187" s="2">
        <f t="shared" si="39"/>
        <v>9235.1875</v>
      </c>
      <c r="AB187" s="2">
        <f t="shared" si="40"/>
        <v>97389.25</v>
      </c>
      <c r="AC187" s="6">
        <f t="shared" si="41"/>
        <v>8765.0324999999993</v>
      </c>
      <c r="AD187" s="6">
        <f t="shared" si="42"/>
        <v>2337.3420000000001</v>
      </c>
      <c r="AE187" s="6">
        <f t="shared" si="43"/>
        <v>20337.562000000002</v>
      </c>
      <c r="AF187" s="5">
        <f t="shared" si="44"/>
        <v>135.58374666666668</v>
      </c>
      <c r="AG187" s="207"/>
    </row>
    <row r="188" spans="1:33" x14ac:dyDescent="0.2">
      <c r="A188" s="229">
        <v>386</v>
      </c>
      <c r="B188" s="1" t="str">
        <f t="shared" si="30"/>
        <v>1.84, NT Plant &amp; Pre-Folding  8R-36 2x1</v>
      </c>
      <c r="C188" s="155">
        <v>1.84</v>
      </c>
      <c r="D188" s="151" t="s">
        <v>436</v>
      </c>
      <c r="E188" s="151" t="s">
        <v>278</v>
      </c>
      <c r="F188" s="151" t="s">
        <v>203</v>
      </c>
      <c r="G188" s="151" t="str">
        <f t="shared" si="31"/>
        <v>NT Plant &amp; Pre-Folding  8R-36 2x1</v>
      </c>
      <c r="H188" s="30">
        <v>81608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1547.4772085562797</v>
      </c>
      <c r="W188" s="9">
        <f t="shared" si="35"/>
        <v>10.316514723708531</v>
      </c>
      <c r="X188" s="8">
        <f t="shared" si="36"/>
        <v>4590.45</v>
      </c>
      <c r="Y188" s="7">
        <f t="shared" si="37"/>
        <v>30.602999999999998</v>
      </c>
      <c r="Z188" s="2">
        <f t="shared" si="38"/>
        <v>36723.599999999999</v>
      </c>
      <c r="AA188" s="2">
        <f t="shared" si="39"/>
        <v>5610.55</v>
      </c>
      <c r="AB188" s="2">
        <f t="shared" si="40"/>
        <v>59165.8</v>
      </c>
      <c r="AC188" s="6">
        <f t="shared" si="41"/>
        <v>5324.9220000000005</v>
      </c>
      <c r="AD188" s="6">
        <f t="shared" si="42"/>
        <v>1419.9792</v>
      </c>
      <c r="AE188" s="6">
        <f t="shared" si="43"/>
        <v>12355.451200000001</v>
      </c>
      <c r="AF188" s="5">
        <f t="shared" si="44"/>
        <v>82.369674666666683</v>
      </c>
      <c r="AG188" s="207"/>
    </row>
    <row r="189" spans="1:33" x14ac:dyDescent="0.2">
      <c r="A189" s="229">
        <v>257</v>
      </c>
      <c r="B189" s="1" t="str">
        <f t="shared" si="30"/>
        <v>1.85, NT Plant &amp; Pre-Folding 12R-36</v>
      </c>
      <c r="C189" s="155">
        <v>1.85</v>
      </c>
      <c r="D189" s="151" t="s">
        <v>436</v>
      </c>
      <c r="E189" s="151" t="s">
        <v>278</v>
      </c>
      <c r="F189" s="151" t="s">
        <v>200</v>
      </c>
      <c r="G189" s="151" t="str">
        <f t="shared" si="31"/>
        <v>NT Plant &amp; Pre-Folding 12R-36</v>
      </c>
      <c r="H189" s="30">
        <v>81608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1547.4772085562797</v>
      </c>
      <c r="W189" s="9">
        <f t="shared" si="35"/>
        <v>10.316514723708531</v>
      </c>
      <c r="X189" s="8">
        <f t="shared" si="36"/>
        <v>4590.45</v>
      </c>
      <c r="Y189" s="7">
        <f t="shared" si="37"/>
        <v>30.602999999999998</v>
      </c>
      <c r="Z189" s="2">
        <f t="shared" si="38"/>
        <v>36723.599999999999</v>
      </c>
      <c r="AA189" s="2">
        <f t="shared" si="39"/>
        <v>5610.55</v>
      </c>
      <c r="AB189" s="2">
        <f t="shared" si="40"/>
        <v>59165.8</v>
      </c>
      <c r="AC189" s="6">
        <f t="shared" si="41"/>
        <v>5324.9220000000005</v>
      </c>
      <c r="AD189" s="6">
        <f t="shared" si="42"/>
        <v>1419.9792</v>
      </c>
      <c r="AE189" s="6">
        <f t="shared" si="43"/>
        <v>12355.451200000001</v>
      </c>
      <c r="AF189" s="5">
        <f t="shared" si="44"/>
        <v>82.369674666666683</v>
      </c>
      <c r="AG189" s="207"/>
    </row>
    <row r="190" spans="1:33" x14ac:dyDescent="0.2">
      <c r="A190" s="229">
        <v>553</v>
      </c>
      <c r="B190" s="1" t="str">
        <f t="shared" si="30"/>
        <v>1.86, NT Plant &amp; Pre-Folding 31R-15</v>
      </c>
      <c r="C190" s="155">
        <v>1.86</v>
      </c>
      <c r="D190" s="151" t="s">
        <v>436</v>
      </c>
      <c r="E190" s="151" t="s">
        <v>278</v>
      </c>
      <c r="F190" s="151" t="s">
        <v>60</v>
      </c>
      <c r="G190" s="151" t="str">
        <f t="shared" si="31"/>
        <v>NT Plant &amp; Pre-Folding 31R-15</v>
      </c>
      <c r="H190" s="30">
        <v>148470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2815.3360106160039</v>
      </c>
      <c r="W190" s="9">
        <f t="shared" si="35"/>
        <v>18.768906737440027</v>
      </c>
      <c r="X190" s="8">
        <f t="shared" si="36"/>
        <v>8351.4375</v>
      </c>
      <c r="Y190" s="7">
        <f t="shared" si="37"/>
        <v>55.676250000000003</v>
      </c>
      <c r="Z190" s="2">
        <f t="shared" si="38"/>
        <v>66811.5</v>
      </c>
      <c r="AA190" s="2">
        <f t="shared" si="39"/>
        <v>10207.3125</v>
      </c>
      <c r="AB190" s="2">
        <f t="shared" si="40"/>
        <v>107640.75</v>
      </c>
      <c r="AC190" s="6">
        <f t="shared" si="41"/>
        <v>9687.6674999999996</v>
      </c>
      <c r="AD190" s="6">
        <f t="shared" si="42"/>
        <v>2583.3780000000002</v>
      </c>
      <c r="AE190" s="6">
        <f t="shared" si="43"/>
        <v>22478.358</v>
      </c>
      <c r="AF190" s="5">
        <f t="shared" si="44"/>
        <v>149.85571999999999</v>
      </c>
      <c r="AG190" s="207"/>
    </row>
    <row r="191" spans="1:33" x14ac:dyDescent="0.2">
      <c r="A191" s="229">
        <v>391</v>
      </c>
      <c r="B191" s="1" t="str">
        <f t="shared" si="30"/>
        <v>1.87, NT Plant &amp; Pre-Folding 16R-30</v>
      </c>
      <c r="C191" s="155">
        <v>1.87</v>
      </c>
      <c r="D191" s="151" t="s">
        <v>436</v>
      </c>
      <c r="E191" s="151" t="s">
        <v>278</v>
      </c>
      <c r="F191" s="151" t="s">
        <v>59</v>
      </c>
      <c r="G191" s="151" t="str">
        <f t="shared" si="31"/>
        <v>NT Plant &amp; Pre-Folding 16R-30</v>
      </c>
      <c r="H191" s="30">
        <v>102010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1934.3465106953497</v>
      </c>
      <c r="W191" s="9">
        <f t="shared" si="35"/>
        <v>12.895643404635665</v>
      </c>
      <c r="X191" s="8">
        <f t="shared" si="36"/>
        <v>5738.0625</v>
      </c>
      <c r="Y191" s="7">
        <f t="shared" si="37"/>
        <v>38.253749999999997</v>
      </c>
      <c r="Z191" s="2">
        <f t="shared" si="38"/>
        <v>45904.5</v>
      </c>
      <c r="AA191" s="2">
        <f t="shared" si="39"/>
        <v>7013.1875</v>
      </c>
      <c r="AB191" s="2">
        <f t="shared" si="40"/>
        <v>73957.25</v>
      </c>
      <c r="AC191" s="6">
        <f t="shared" si="41"/>
        <v>6656.1525000000001</v>
      </c>
      <c r="AD191" s="6">
        <f t="shared" si="42"/>
        <v>1774.9739999999999</v>
      </c>
      <c r="AE191" s="6">
        <f t="shared" si="43"/>
        <v>15444.314</v>
      </c>
      <c r="AF191" s="5">
        <f t="shared" si="44"/>
        <v>102.96209333333333</v>
      </c>
      <c r="AG191" s="207"/>
    </row>
    <row r="192" spans="1:33" x14ac:dyDescent="0.2">
      <c r="A192" s="229">
        <v>393</v>
      </c>
      <c r="B192" s="1" t="str">
        <f t="shared" si="30"/>
        <v>1.88, NT Plant &amp; Pre-Folding 24R-20</v>
      </c>
      <c r="C192" s="155">
        <v>1.88</v>
      </c>
      <c r="D192" s="151" t="s">
        <v>436</v>
      </c>
      <c r="E192" s="151" t="s">
        <v>278</v>
      </c>
      <c r="F192" s="151" t="s">
        <v>58</v>
      </c>
      <c r="G192" s="151" t="str">
        <f t="shared" si="31"/>
        <v>NT Plant &amp; Pre-Folding 24R-20</v>
      </c>
      <c r="H192" s="30">
        <v>144430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2738.7282280142085</v>
      </c>
      <c r="W192" s="9">
        <f t="shared" si="35"/>
        <v>18.258188186761391</v>
      </c>
      <c r="X192" s="8">
        <f t="shared" si="36"/>
        <v>8124.1875</v>
      </c>
      <c r="Y192" s="7">
        <f t="shared" si="37"/>
        <v>54.161250000000003</v>
      </c>
      <c r="Z192" s="2">
        <f t="shared" si="38"/>
        <v>64993.5</v>
      </c>
      <c r="AA192" s="2">
        <f t="shared" si="39"/>
        <v>9929.5625</v>
      </c>
      <c r="AB192" s="2">
        <f t="shared" si="40"/>
        <v>104711.75</v>
      </c>
      <c r="AC192" s="6">
        <f t="shared" si="41"/>
        <v>9424.057499999999</v>
      </c>
      <c r="AD192" s="6">
        <f t="shared" si="42"/>
        <v>2513.0819999999999</v>
      </c>
      <c r="AE192" s="6">
        <f t="shared" si="43"/>
        <v>21866.701999999997</v>
      </c>
      <c r="AF192" s="5">
        <f t="shared" si="44"/>
        <v>145.77801333333332</v>
      </c>
      <c r="AG192" s="207"/>
    </row>
    <row r="193" spans="1:33" x14ac:dyDescent="0.2">
      <c r="A193" s="229">
        <v>597</v>
      </c>
      <c r="B193" s="1" t="str">
        <f t="shared" si="30"/>
        <v>1.89, NT Plant &amp; Pre-Folding 32R-15</v>
      </c>
      <c r="C193" s="155">
        <v>1.89</v>
      </c>
      <c r="D193" s="151" t="s">
        <v>436</v>
      </c>
      <c r="E193" s="151" t="s">
        <v>278</v>
      </c>
      <c r="F193" s="151" t="s">
        <v>57</v>
      </c>
      <c r="G193" s="151" t="str">
        <f t="shared" si="31"/>
        <v>NT Plant &amp; Pre-Folding 32R-15</v>
      </c>
      <c r="H193" s="30">
        <v>164630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3121.7671410231883</v>
      </c>
      <c r="W193" s="9">
        <f t="shared" si="35"/>
        <v>20.811780940154588</v>
      </c>
      <c r="X193" s="8">
        <f t="shared" si="36"/>
        <v>9260.4375</v>
      </c>
      <c r="Y193" s="7">
        <f t="shared" si="37"/>
        <v>61.736249999999998</v>
      </c>
      <c r="Z193" s="2">
        <f t="shared" si="38"/>
        <v>74083.5</v>
      </c>
      <c r="AA193" s="2">
        <f t="shared" si="39"/>
        <v>11318.3125</v>
      </c>
      <c r="AB193" s="2">
        <f t="shared" si="40"/>
        <v>119356.75</v>
      </c>
      <c r="AC193" s="6">
        <f t="shared" si="41"/>
        <v>10742.1075</v>
      </c>
      <c r="AD193" s="6">
        <f t="shared" si="42"/>
        <v>2864.5619999999999</v>
      </c>
      <c r="AE193" s="6">
        <f t="shared" si="43"/>
        <v>24924.981999999996</v>
      </c>
      <c r="AF193" s="5">
        <f t="shared" si="44"/>
        <v>166.16654666666665</v>
      </c>
      <c r="AG193" s="207"/>
    </row>
    <row r="194" spans="1:33" x14ac:dyDescent="0.2">
      <c r="A194" s="229">
        <v>394</v>
      </c>
      <c r="B194" s="1" t="str">
        <f t="shared" si="30"/>
        <v>1.9, NT Plant &amp; Pre-Folding 24R-30</v>
      </c>
      <c r="C194" s="155">
        <v>1.9</v>
      </c>
      <c r="D194" s="151" t="s">
        <v>436</v>
      </c>
      <c r="E194" s="151" t="s">
        <v>278</v>
      </c>
      <c r="F194" s="151" t="s">
        <v>56</v>
      </c>
      <c r="G194" s="151" t="str">
        <f t="shared" si="31"/>
        <v>NT Plant &amp; Pre-Folding 24R-30</v>
      </c>
      <c r="H194" s="30">
        <v>189880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3600.5657822844137</v>
      </c>
      <c r="W194" s="9">
        <f t="shared" si="35"/>
        <v>24.003771881896093</v>
      </c>
      <c r="X194" s="8">
        <f t="shared" si="36"/>
        <v>10680.75</v>
      </c>
      <c r="Y194" s="7">
        <f t="shared" si="37"/>
        <v>71.204999999999998</v>
      </c>
      <c r="Z194" s="2">
        <f t="shared" si="38"/>
        <v>85446</v>
      </c>
      <c r="AA194" s="2">
        <f t="shared" si="39"/>
        <v>13054.25</v>
      </c>
      <c r="AB194" s="2">
        <f t="shared" si="40"/>
        <v>137663</v>
      </c>
      <c r="AC194" s="6">
        <f t="shared" si="41"/>
        <v>12389.67</v>
      </c>
      <c r="AD194" s="6">
        <f t="shared" si="42"/>
        <v>3303.9120000000003</v>
      </c>
      <c r="AE194" s="6">
        <f t="shared" si="43"/>
        <v>28747.831999999999</v>
      </c>
      <c r="AF194" s="5">
        <f t="shared" si="44"/>
        <v>191.65221333333332</v>
      </c>
      <c r="AG194" s="207"/>
    </row>
    <row r="195" spans="1:33" x14ac:dyDescent="0.2">
      <c r="A195" s="229">
        <v>629</v>
      </c>
      <c r="B195" s="1" t="str">
        <f t="shared" si="30"/>
        <v>1.91, NT Plant &amp; Pre-Folding 36R-20</v>
      </c>
      <c r="C195" s="155">
        <v>1.91</v>
      </c>
      <c r="D195" s="151" t="s">
        <v>436</v>
      </c>
      <c r="E195" s="151" t="s">
        <v>278</v>
      </c>
      <c r="F195" s="151" t="s">
        <v>55</v>
      </c>
      <c r="G195" s="151" t="str">
        <f t="shared" si="31"/>
        <v>NT Plant &amp; Pre-Folding 36R-20</v>
      </c>
      <c r="H195" s="30">
        <v>196950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3734.6294018375561</v>
      </c>
      <c r="W195" s="9">
        <f t="shared" si="35"/>
        <v>24.897529345583706</v>
      </c>
      <c r="X195" s="8">
        <f t="shared" si="36"/>
        <v>11078.4375</v>
      </c>
      <c r="Y195" s="7">
        <f t="shared" si="37"/>
        <v>73.856250000000003</v>
      </c>
      <c r="Z195" s="2">
        <f t="shared" si="38"/>
        <v>88627.5</v>
      </c>
      <c r="AA195" s="2">
        <f t="shared" si="39"/>
        <v>13540.3125</v>
      </c>
      <c r="AB195" s="2">
        <f t="shared" si="40"/>
        <v>142788.75</v>
      </c>
      <c r="AC195" s="6">
        <f t="shared" si="41"/>
        <v>12850.987499999999</v>
      </c>
      <c r="AD195" s="6">
        <f t="shared" si="42"/>
        <v>3426.9300000000003</v>
      </c>
      <c r="AE195" s="6">
        <f t="shared" si="43"/>
        <v>29818.23</v>
      </c>
      <c r="AF195" s="5">
        <f t="shared" si="44"/>
        <v>198.78819999999999</v>
      </c>
      <c r="AG195" s="207"/>
    </row>
    <row r="196" spans="1:33" x14ac:dyDescent="0.2">
      <c r="A196" s="229">
        <v>381</v>
      </c>
      <c r="B196" s="1" t="str">
        <f t="shared" si="30"/>
        <v>1.92, NT Plant &amp; Pre-Rigid  4R-30</v>
      </c>
      <c r="C196" s="155">
        <v>1.92</v>
      </c>
      <c r="D196" s="151" t="s">
        <v>436</v>
      </c>
      <c r="E196" s="151" t="s">
        <v>279</v>
      </c>
      <c r="F196" s="151" t="s">
        <v>48</v>
      </c>
      <c r="G196" s="151" t="str">
        <f t="shared" si="31"/>
        <v>NT Plant &amp; Pre-Rigid  4R-30</v>
      </c>
      <c r="H196" s="30">
        <v>26866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509.4417543019436</v>
      </c>
      <c r="W196" s="9">
        <f t="shared" si="35"/>
        <v>3.3962783620129575</v>
      </c>
      <c r="X196" s="8">
        <f t="shared" si="36"/>
        <v>1511.2125000000001</v>
      </c>
      <c r="Y196" s="7">
        <f t="shared" si="37"/>
        <v>10.07475</v>
      </c>
      <c r="Z196" s="2">
        <f t="shared" si="38"/>
        <v>12089.7</v>
      </c>
      <c r="AA196" s="2">
        <f t="shared" si="39"/>
        <v>1847.0374999999999</v>
      </c>
      <c r="AB196" s="2">
        <f t="shared" si="40"/>
        <v>19477.849999999999</v>
      </c>
      <c r="AC196" s="6">
        <f t="shared" si="41"/>
        <v>1753.0064999999997</v>
      </c>
      <c r="AD196" s="6">
        <f t="shared" si="42"/>
        <v>467.46839999999997</v>
      </c>
      <c r="AE196" s="6">
        <f t="shared" si="43"/>
        <v>4067.5123999999996</v>
      </c>
      <c r="AF196" s="5">
        <f t="shared" si="44"/>
        <v>27.116749333333331</v>
      </c>
      <c r="AG196" s="207"/>
    </row>
    <row r="197" spans="1:33" x14ac:dyDescent="0.2">
      <c r="A197" s="229">
        <v>136</v>
      </c>
      <c r="B197" s="1" t="str">
        <f t="shared" ref="B197:B260" si="45">CONCATENATE(C197,D197,E197,F197)</f>
        <v>1.93, NT Plant &amp; Pre-Rigid  4R-36</v>
      </c>
      <c r="C197" s="155">
        <v>1.93</v>
      </c>
      <c r="D197" s="151" t="s">
        <v>436</v>
      </c>
      <c r="E197" s="151" t="s">
        <v>279</v>
      </c>
      <c r="F197" s="151" t="s">
        <v>201</v>
      </c>
      <c r="G197" s="151" t="str">
        <f t="shared" ref="G197:G260" si="46">CONCATENATE(E197,F197)</f>
        <v>NT Plant &amp; Pre-Rigid  4R-36</v>
      </c>
      <c r="H197" s="30">
        <v>29088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551.57603473293136</v>
      </c>
      <c r="W197" s="9">
        <f t="shared" ref="W197:W260" si="50">V197/P197</f>
        <v>3.6771735648862092</v>
      </c>
      <c r="X197" s="8">
        <f t="shared" ref="X197:X260" si="51">(H197*N197/100)/O197</f>
        <v>1636.2</v>
      </c>
      <c r="Y197" s="7">
        <f t="shared" ref="Y197:Y260" si="52">X197/P197</f>
        <v>10.907999999999999</v>
      </c>
      <c r="Z197" s="2">
        <f t="shared" ref="Z197:Z260" si="53">H197*M197/100</f>
        <v>13089.6</v>
      </c>
      <c r="AA197" s="2">
        <f t="shared" ref="AA197:AA260" si="54">(H197-Z197)/O197</f>
        <v>1999.8</v>
      </c>
      <c r="AB197" s="2">
        <f t="shared" ref="AB197:AB260" si="55">(Z197+H197)/2</f>
        <v>21088.799999999999</v>
      </c>
      <c r="AC197" s="6">
        <f t="shared" ref="AC197:AC260" si="56">AB197*intir</f>
        <v>1897.992</v>
      </c>
      <c r="AD197" s="6">
        <f t="shared" ref="AD197:AD260" si="57">AB197*itr</f>
        <v>506.13119999999998</v>
      </c>
      <c r="AE197" s="6">
        <f t="shared" ref="AE197:AE260" si="58">AA197+AC197+AD197</f>
        <v>4403.9232000000002</v>
      </c>
      <c r="AF197" s="5">
        <f t="shared" ref="AF197:AF260" si="59">AE197/P197</f>
        <v>29.359488000000002</v>
      </c>
      <c r="AG197" s="207"/>
    </row>
    <row r="198" spans="1:33" x14ac:dyDescent="0.2">
      <c r="A198" s="229">
        <v>533</v>
      </c>
      <c r="B198" s="1" t="str">
        <f t="shared" si="45"/>
        <v>1.94, NT Plant &amp; Pre-Rigid 11R-15</v>
      </c>
      <c r="C198" s="155">
        <v>1.94</v>
      </c>
      <c r="D198" s="151" t="s">
        <v>436</v>
      </c>
      <c r="E198" s="151" t="s">
        <v>279</v>
      </c>
      <c r="F198" s="151" t="s">
        <v>54</v>
      </c>
      <c r="G198" s="151" t="str">
        <f t="shared" si="46"/>
        <v>NT Plant &amp; Pre-Rigid 11R-15</v>
      </c>
      <c r="H198" s="30">
        <v>50399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955.68208795740554</v>
      </c>
      <c r="W198" s="9">
        <f t="shared" si="50"/>
        <v>6.3712139197160367</v>
      </c>
      <c r="X198" s="8">
        <f t="shared" si="51"/>
        <v>2834.9437499999999</v>
      </c>
      <c r="Y198" s="7">
        <f t="shared" si="52"/>
        <v>18.899625</v>
      </c>
      <c r="Z198" s="2">
        <f t="shared" si="53"/>
        <v>22679.55</v>
      </c>
      <c r="AA198" s="2">
        <f t="shared" si="54"/>
        <v>3464.9312500000001</v>
      </c>
      <c r="AB198" s="2">
        <f t="shared" si="55"/>
        <v>36539.275000000001</v>
      </c>
      <c r="AC198" s="6">
        <f t="shared" si="56"/>
        <v>3288.5347499999998</v>
      </c>
      <c r="AD198" s="6">
        <f t="shared" si="57"/>
        <v>876.94260000000008</v>
      </c>
      <c r="AE198" s="6">
        <f t="shared" si="58"/>
        <v>7630.4086000000007</v>
      </c>
      <c r="AF198" s="5">
        <f t="shared" si="59"/>
        <v>50.869390666666668</v>
      </c>
      <c r="AG198" s="207"/>
    </row>
    <row r="199" spans="1:33" x14ac:dyDescent="0.2">
      <c r="A199" s="229">
        <v>137</v>
      </c>
      <c r="B199" s="1" t="str">
        <f t="shared" si="45"/>
        <v>1.95, NT Plant &amp; Pre-Rigid  6R-30</v>
      </c>
      <c r="C199" s="155">
        <v>1.95</v>
      </c>
      <c r="D199" s="151" t="s">
        <v>436</v>
      </c>
      <c r="E199" s="151" t="s">
        <v>279</v>
      </c>
      <c r="F199" s="151" t="s">
        <v>53</v>
      </c>
      <c r="G199" s="151" t="str">
        <f t="shared" si="46"/>
        <v>NT Plant &amp; Pre-Rigid  6R-30</v>
      </c>
      <c r="H199" s="30">
        <v>37269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706.70679450156842</v>
      </c>
      <c r="W199" s="9">
        <f t="shared" si="50"/>
        <v>4.7113786300104561</v>
      </c>
      <c r="X199" s="8">
        <f t="shared" si="51"/>
        <v>2096.3812499999999</v>
      </c>
      <c r="Y199" s="7">
        <f t="shared" si="52"/>
        <v>13.975875</v>
      </c>
      <c r="Z199" s="2">
        <f t="shared" si="53"/>
        <v>16771.05</v>
      </c>
      <c r="AA199" s="2">
        <f t="shared" si="54"/>
        <v>2562.2437500000001</v>
      </c>
      <c r="AB199" s="2">
        <f t="shared" si="55"/>
        <v>27020.025000000001</v>
      </c>
      <c r="AC199" s="6">
        <f t="shared" si="56"/>
        <v>2431.8022500000002</v>
      </c>
      <c r="AD199" s="6">
        <f t="shared" si="57"/>
        <v>648.48060000000009</v>
      </c>
      <c r="AE199" s="6">
        <f t="shared" si="58"/>
        <v>5642.5266000000001</v>
      </c>
      <c r="AF199" s="5">
        <f t="shared" si="59"/>
        <v>37.616844</v>
      </c>
      <c r="AG199" s="207"/>
    </row>
    <row r="200" spans="1:33" x14ac:dyDescent="0.2">
      <c r="A200" s="229">
        <v>138</v>
      </c>
      <c r="B200" s="1" t="str">
        <f t="shared" si="45"/>
        <v>1.96, NT Plant &amp; Pre-Rigid  6R-36</v>
      </c>
      <c r="C200" s="155">
        <v>1.96</v>
      </c>
      <c r="D200" s="151" t="s">
        <v>436</v>
      </c>
      <c r="E200" s="151" t="s">
        <v>279</v>
      </c>
      <c r="F200" s="151" t="s">
        <v>202</v>
      </c>
      <c r="G200" s="151" t="str">
        <f t="shared" si="46"/>
        <v>NT Plant &amp; Pre-Rigid  6R-36</v>
      </c>
      <c r="H200" s="30">
        <v>33431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633.92940102986222</v>
      </c>
      <c r="W200" s="9">
        <f t="shared" si="50"/>
        <v>4.2261960068657478</v>
      </c>
      <c r="X200" s="8">
        <f t="shared" si="51"/>
        <v>1880.4937500000001</v>
      </c>
      <c r="Y200" s="7">
        <f t="shared" si="52"/>
        <v>12.536625000000001</v>
      </c>
      <c r="Z200" s="2">
        <f t="shared" si="53"/>
        <v>15043.95</v>
      </c>
      <c r="AA200" s="2">
        <f t="shared" si="54"/>
        <v>2298.3812499999999</v>
      </c>
      <c r="AB200" s="2">
        <f t="shared" si="55"/>
        <v>24237.474999999999</v>
      </c>
      <c r="AC200" s="6">
        <f t="shared" si="56"/>
        <v>2181.37275</v>
      </c>
      <c r="AD200" s="6">
        <f t="shared" si="57"/>
        <v>581.69939999999997</v>
      </c>
      <c r="AE200" s="6">
        <f t="shared" si="58"/>
        <v>5061.4534000000003</v>
      </c>
      <c r="AF200" s="5">
        <f t="shared" si="59"/>
        <v>33.743022666666668</v>
      </c>
      <c r="AG200" s="207"/>
    </row>
    <row r="201" spans="1:33" x14ac:dyDescent="0.2">
      <c r="A201" s="229">
        <v>537</v>
      </c>
      <c r="B201" s="1" t="str">
        <f t="shared" si="45"/>
        <v>1.97, NT Plant &amp; Pre-Rigid 11R-20</v>
      </c>
      <c r="C201" s="155">
        <v>1.97</v>
      </c>
      <c r="D201" s="151" t="s">
        <v>436</v>
      </c>
      <c r="E201" s="151" t="s">
        <v>279</v>
      </c>
      <c r="F201" s="151" t="s">
        <v>52</v>
      </c>
      <c r="G201" s="151" t="str">
        <f t="shared" si="46"/>
        <v>NT Plant &amp; Pre-Rigid 11R-20</v>
      </c>
      <c r="H201" s="30">
        <v>45955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871.4135270954298</v>
      </c>
      <c r="W201" s="9">
        <f t="shared" si="50"/>
        <v>5.8094235139695316</v>
      </c>
      <c r="X201" s="8">
        <f t="shared" si="51"/>
        <v>2584.96875</v>
      </c>
      <c r="Y201" s="7">
        <f t="shared" si="52"/>
        <v>17.233125000000001</v>
      </c>
      <c r="Z201" s="2">
        <f t="shared" si="53"/>
        <v>20679.75</v>
      </c>
      <c r="AA201" s="2">
        <f t="shared" si="54"/>
        <v>3159.40625</v>
      </c>
      <c r="AB201" s="2">
        <f t="shared" si="55"/>
        <v>33317.375</v>
      </c>
      <c r="AC201" s="6">
        <f t="shared" si="56"/>
        <v>2998.5637499999998</v>
      </c>
      <c r="AD201" s="6">
        <f t="shared" si="57"/>
        <v>799.61699999999996</v>
      </c>
      <c r="AE201" s="6">
        <f t="shared" si="58"/>
        <v>6957.5869999999995</v>
      </c>
      <c r="AF201" s="5">
        <f t="shared" si="59"/>
        <v>46.383913333333332</v>
      </c>
      <c r="AG201" s="207"/>
    </row>
    <row r="202" spans="1:33" x14ac:dyDescent="0.2">
      <c r="A202" s="229">
        <v>598</v>
      </c>
      <c r="B202" s="1" t="str">
        <f t="shared" si="45"/>
        <v>1.98, NT Plant &amp; Pre-Rigid 15R-15</v>
      </c>
      <c r="C202" s="155">
        <v>1.98</v>
      </c>
      <c r="D202" s="151" t="s">
        <v>436</v>
      </c>
      <c r="E202" s="151" t="s">
        <v>279</v>
      </c>
      <c r="F202" s="151" t="s">
        <v>51</v>
      </c>
      <c r="G202" s="151" t="str">
        <f t="shared" si="46"/>
        <v>NT Plant &amp; Pre-Rigid 15R-15</v>
      </c>
      <c r="H202" s="30">
        <v>62014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1175.9294629375693</v>
      </c>
      <c r="W202" s="9">
        <f t="shared" si="50"/>
        <v>7.8395297529171284</v>
      </c>
      <c r="X202" s="8">
        <f t="shared" si="51"/>
        <v>3488.2874999999999</v>
      </c>
      <c r="Y202" s="7">
        <f t="shared" si="52"/>
        <v>23.25525</v>
      </c>
      <c r="Z202" s="2">
        <f t="shared" si="53"/>
        <v>27906.3</v>
      </c>
      <c r="AA202" s="2">
        <f t="shared" si="54"/>
        <v>4263.4624999999996</v>
      </c>
      <c r="AB202" s="2">
        <f t="shared" si="55"/>
        <v>44960.15</v>
      </c>
      <c r="AC202" s="6">
        <f t="shared" si="56"/>
        <v>4046.4135000000001</v>
      </c>
      <c r="AD202" s="6">
        <f t="shared" si="57"/>
        <v>1079.0436</v>
      </c>
      <c r="AE202" s="6">
        <f t="shared" si="58"/>
        <v>9388.9196000000011</v>
      </c>
      <c r="AF202" s="5">
        <f t="shared" si="59"/>
        <v>62.592797333333344</v>
      </c>
      <c r="AG202" s="207"/>
    </row>
    <row r="203" spans="1:33" x14ac:dyDescent="0.2">
      <c r="A203" s="229">
        <v>139</v>
      </c>
      <c r="B203" s="1" t="str">
        <f t="shared" si="45"/>
        <v>1.99, NT Plant &amp; Pre-Rigid  8R-30</v>
      </c>
      <c r="C203" s="155">
        <v>1.99</v>
      </c>
      <c r="D203" s="151" t="s">
        <v>436</v>
      </c>
      <c r="E203" s="151" t="s">
        <v>279</v>
      </c>
      <c r="F203" s="151" t="s">
        <v>25</v>
      </c>
      <c r="G203" s="151" t="str">
        <f t="shared" si="46"/>
        <v>NT Plant &amp; Pre-Rigid  8R-30</v>
      </c>
      <c r="H203" s="30">
        <v>42622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808.21210644894813</v>
      </c>
      <c r="W203" s="9">
        <f t="shared" si="50"/>
        <v>5.3880807096596541</v>
      </c>
      <c r="X203" s="8">
        <f t="shared" si="51"/>
        <v>2397.4875000000002</v>
      </c>
      <c r="Y203" s="7">
        <f t="shared" si="52"/>
        <v>15.983250000000002</v>
      </c>
      <c r="Z203" s="2">
        <f t="shared" si="53"/>
        <v>19179.900000000001</v>
      </c>
      <c r="AA203" s="2">
        <f t="shared" si="54"/>
        <v>2930.2624999999998</v>
      </c>
      <c r="AB203" s="2">
        <f t="shared" si="55"/>
        <v>30900.95</v>
      </c>
      <c r="AC203" s="6">
        <f t="shared" si="56"/>
        <v>2781.0855000000001</v>
      </c>
      <c r="AD203" s="6">
        <f t="shared" si="57"/>
        <v>741.62279999999998</v>
      </c>
      <c r="AE203" s="6">
        <f t="shared" si="58"/>
        <v>6452.9708000000001</v>
      </c>
      <c r="AF203" s="5">
        <f t="shared" si="59"/>
        <v>43.019805333333331</v>
      </c>
      <c r="AG203" s="207"/>
    </row>
    <row r="204" spans="1:33" x14ac:dyDescent="0.2">
      <c r="A204" s="229">
        <v>384</v>
      </c>
      <c r="B204" s="1" t="str">
        <f t="shared" si="45"/>
        <v>2, NT Plant &amp; Pre-Rigid 12R-20</v>
      </c>
      <c r="C204" s="155">
        <v>2</v>
      </c>
      <c r="D204" s="151" t="s">
        <v>436</v>
      </c>
      <c r="E204" s="151" t="s">
        <v>279</v>
      </c>
      <c r="F204" s="151" t="s">
        <v>50</v>
      </c>
      <c r="G204" s="151" t="str">
        <f t="shared" si="46"/>
        <v>NT Plant &amp; Pre-Rigid 12R-20</v>
      </c>
      <c r="H204" s="30">
        <v>52621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997.81636838839324</v>
      </c>
      <c r="W204" s="9">
        <f t="shared" si="50"/>
        <v>6.6521091225892883</v>
      </c>
      <c r="X204" s="8">
        <f t="shared" si="51"/>
        <v>2959.9312500000001</v>
      </c>
      <c r="Y204" s="7">
        <f t="shared" si="52"/>
        <v>19.732875</v>
      </c>
      <c r="Z204" s="2">
        <f t="shared" si="53"/>
        <v>23679.45</v>
      </c>
      <c r="AA204" s="2">
        <f t="shared" si="54"/>
        <v>3617.6937499999999</v>
      </c>
      <c r="AB204" s="2">
        <f t="shared" si="55"/>
        <v>38150.224999999999</v>
      </c>
      <c r="AC204" s="6">
        <f t="shared" si="56"/>
        <v>3433.5202499999996</v>
      </c>
      <c r="AD204" s="6">
        <f t="shared" si="57"/>
        <v>915.60540000000003</v>
      </c>
      <c r="AE204" s="6">
        <f t="shared" si="58"/>
        <v>7966.8194000000003</v>
      </c>
      <c r="AF204" s="5">
        <f t="shared" si="59"/>
        <v>53.112129333333336</v>
      </c>
      <c r="AG204" s="207"/>
    </row>
    <row r="205" spans="1:33" x14ac:dyDescent="0.2">
      <c r="A205" s="229">
        <v>631</v>
      </c>
      <c r="B205" s="1" t="str">
        <f t="shared" si="45"/>
        <v>2.01, NT Plant &amp; Pre-Rigid 13R-18/20</v>
      </c>
      <c r="C205" s="155">
        <v>2.0099999999999998</v>
      </c>
      <c r="D205" s="151" t="s">
        <v>436</v>
      </c>
      <c r="E205" s="151" t="s">
        <v>279</v>
      </c>
      <c r="F205" s="151" t="s">
        <v>49</v>
      </c>
      <c r="G205" s="151" t="str">
        <f t="shared" si="46"/>
        <v>NT Plant &amp; Pre-Rigid 13R-18/20</v>
      </c>
      <c r="H205" s="30">
        <v>56358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1068.6785672950548</v>
      </c>
      <c r="W205" s="9">
        <f t="shared" si="50"/>
        <v>7.1245237819670315</v>
      </c>
      <c r="X205" s="8">
        <f t="shared" si="51"/>
        <v>3170.1374999999998</v>
      </c>
      <c r="Y205" s="7">
        <f t="shared" si="52"/>
        <v>21.134249999999998</v>
      </c>
      <c r="Z205" s="2">
        <f t="shared" si="53"/>
        <v>25361.1</v>
      </c>
      <c r="AA205" s="2">
        <f t="shared" si="54"/>
        <v>3874.6125000000002</v>
      </c>
      <c r="AB205" s="2">
        <f t="shared" si="55"/>
        <v>40859.550000000003</v>
      </c>
      <c r="AC205" s="6">
        <f t="shared" si="56"/>
        <v>3677.3595</v>
      </c>
      <c r="AD205" s="6">
        <f t="shared" si="57"/>
        <v>980.62920000000008</v>
      </c>
      <c r="AE205" s="6">
        <f t="shared" si="58"/>
        <v>8532.6011999999992</v>
      </c>
      <c r="AF205" s="5">
        <f t="shared" si="59"/>
        <v>56.884007999999994</v>
      </c>
      <c r="AG205" s="207"/>
    </row>
    <row r="206" spans="1:33" x14ac:dyDescent="0.2">
      <c r="A206" s="229">
        <v>140</v>
      </c>
      <c r="B206" s="1" t="str">
        <f t="shared" si="45"/>
        <v>2.02, NT Plant &amp; Pre-Rigid  8R-36</v>
      </c>
      <c r="C206" s="155">
        <v>2.02</v>
      </c>
      <c r="D206" s="151" t="s">
        <v>436</v>
      </c>
      <c r="E206" s="151" t="s">
        <v>279</v>
      </c>
      <c r="F206" s="151" t="s">
        <v>199</v>
      </c>
      <c r="G206" s="151" t="str">
        <f t="shared" si="46"/>
        <v>NT Plant &amp; Pre-Rigid  8R-36</v>
      </c>
      <c r="H206" s="30">
        <v>40198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762.24743688787055</v>
      </c>
      <c r="W206" s="9">
        <f t="shared" si="50"/>
        <v>5.0816495792524705</v>
      </c>
      <c r="X206" s="8">
        <f t="shared" si="51"/>
        <v>2261.1374999999998</v>
      </c>
      <c r="Y206" s="7">
        <f t="shared" si="52"/>
        <v>15.074249999999999</v>
      </c>
      <c r="Z206" s="2">
        <f t="shared" si="53"/>
        <v>18089.099999999999</v>
      </c>
      <c r="AA206" s="2">
        <f t="shared" si="54"/>
        <v>2763.6125000000002</v>
      </c>
      <c r="AB206" s="2">
        <f t="shared" si="55"/>
        <v>29143.55</v>
      </c>
      <c r="AC206" s="6">
        <f t="shared" si="56"/>
        <v>2622.9195</v>
      </c>
      <c r="AD206" s="6">
        <f t="shared" si="57"/>
        <v>699.4452</v>
      </c>
      <c r="AE206" s="6">
        <f t="shared" si="58"/>
        <v>6085.9772000000003</v>
      </c>
      <c r="AF206" s="5">
        <f t="shared" si="59"/>
        <v>40.573181333333338</v>
      </c>
      <c r="AG206" s="207"/>
    </row>
    <row r="207" spans="1:33" x14ac:dyDescent="0.2">
      <c r="A207" s="229">
        <v>141</v>
      </c>
      <c r="B207" s="1" t="str">
        <f t="shared" si="45"/>
        <v>2.03, NT Plant &amp; Pre-Rigid 10R-30</v>
      </c>
      <c r="C207" s="155">
        <v>2.0299999999999998</v>
      </c>
      <c r="D207" s="151" t="s">
        <v>436</v>
      </c>
      <c r="E207" s="151" t="s">
        <v>279</v>
      </c>
      <c r="F207" s="151" t="s">
        <v>24</v>
      </c>
      <c r="G207" s="151" t="str">
        <f t="shared" si="46"/>
        <v>NT Plant &amp; Pre-Rigid 10R-30</v>
      </c>
      <c r="H207" s="30">
        <v>46763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886.73508361578899</v>
      </c>
      <c r="W207" s="9">
        <f t="shared" si="50"/>
        <v>5.9115672241052604</v>
      </c>
      <c r="X207" s="8">
        <f t="shared" si="51"/>
        <v>2630.4187499999998</v>
      </c>
      <c r="Y207" s="7">
        <f t="shared" si="52"/>
        <v>17.536124999999998</v>
      </c>
      <c r="Z207" s="2">
        <f t="shared" si="53"/>
        <v>21043.35</v>
      </c>
      <c r="AA207" s="2">
        <f t="shared" si="54"/>
        <v>3214.9562500000002</v>
      </c>
      <c r="AB207" s="2">
        <f t="shared" si="55"/>
        <v>33903.175000000003</v>
      </c>
      <c r="AC207" s="6">
        <f t="shared" si="56"/>
        <v>3051.28575</v>
      </c>
      <c r="AD207" s="6">
        <f t="shared" si="57"/>
        <v>813.67620000000011</v>
      </c>
      <c r="AE207" s="6">
        <f t="shared" si="58"/>
        <v>7079.9182000000001</v>
      </c>
      <c r="AF207" s="5">
        <f t="shared" si="59"/>
        <v>47.199454666666668</v>
      </c>
      <c r="AG207" s="207"/>
    </row>
    <row r="208" spans="1:33" x14ac:dyDescent="0.2">
      <c r="A208" s="229">
        <v>385</v>
      </c>
      <c r="B208" s="1" t="str">
        <f t="shared" si="45"/>
        <v>2.04, NT Plant &amp; Pre-Rigid 12R-30</v>
      </c>
      <c r="C208" s="155">
        <v>2.04</v>
      </c>
      <c r="D208" s="151" t="s">
        <v>436</v>
      </c>
      <c r="E208" s="151" t="s">
        <v>279</v>
      </c>
      <c r="F208" s="151" t="s">
        <v>6</v>
      </c>
      <c r="G208" s="151" t="str">
        <f t="shared" si="46"/>
        <v>NT Plant &amp; Pre-Rigid 12R-30</v>
      </c>
      <c r="H208" s="30">
        <v>65347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1239.1308835840509</v>
      </c>
      <c r="W208" s="9">
        <f t="shared" si="50"/>
        <v>8.2608725572270068</v>
      </c>
      <c r="X208" s="8">
        <f t="shared" si="51"/>
        <v>3675.7687500000002</v>
      </c>
      <c r="Y208" s="7">
        <f t="shared" si="52"/>
        <v>24.505125</v>
      </c>
      <c r="Z208" s="2">
        <f t="shared" si="53"/>
        <v>29406.15</v>
      </c>
      <c r="AA208" s="2">
        <f t="shared" si="54"/>
        <v>4492.6062499999998</v>
      </c>
      <c r="AB208" s="2">
        <f t="shared" si="55"/>
        <v>47376.574999999997</v>
      </c>
      <c r="AC208" s="6">
        <f t="shared" si="56"/>
        <v>4263.8917499999998</v>
      </c>
      <c r="AD208" s="6">
        <f t="shared" si="57"/>
        <v>1137.0378000000001</v>
      </c>
      <c r="AE208" s="6">
        <f t="shared" si="58"/>
        <v>9893.5357999999997</v>
      </c>
      <c r="AF208" s="5">
        <f t="shared" si="59"/>
        <v>65.956905333333324</v>
      </c>
      <c r="AG208" s="207"/>
    </row>
    <row r="209" spans="1:33" x14ac:dyDescent="0.2">
      <c r="A209" s="229">
        <v>632</v>
      </c>
      <c r="B209" s="1" t="str">
        <f t="shared" si="45"/>
        <v>2.05, NT Plant &amp; Pre-Twin Row 8R-36</v>
      </c>
      <c r="C209" s="155">
        <v>2.0499999999999998</v>
      </c>
      <c r="D209" s="151" t="s">
        <v>436</v>
      </c>
      <c r="E209" s="151" t="s">
        <v>280</v>
      </c>
      <c r="F209" s="151" t="s">
        <v>205</v>
      </c>
      <c r="G209" s="151" t="str">
        <f t="shared" si="46"/>
        <v>NT Plant &amp; Pre-Twin Row 8R-36</v>
      </c>
      <c r="H209" s="30">
        <v>121200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2298.2334780538808</v>
      </c>
      <c r="W209" s="9">
        <f t="shared" si="50"/>
        <v>15.321556520359206</v>
      </c>
      <c r="X209" s="8">
        <f t="shared" si="51"/>
        <v>6817.5</v>
      </c>
      <c r="Y209" s="7">
        <f t="shared" si="52"/>
        <v>45.45</v>
      </c>
      <c r="Z209" s="2">
        <f t="shared" si="53"/>
        <v>54540</v>
      </c>
      <c r="AA209" s="2">
        <f t="shared" si="54"/>
        <v>8332.5</v>
      </c>
      <c r="AB209" s="2">
        <f t="shared" si="55"/>
        <v>87870</v>
      </c>
      <c r="AC209" s="6">
        <f t="shared" si="56"/>
        <v>7908.2999999999993</v>
      </c>
      <c r="AD209" s="6">
        <f t="shared" si="57"/>
        <v>2108.88</v>
      </c>
      <c r="AE209" s="6">
        <f t="shared" si="58"/>
        <v>18349.68</v>
      </c>
      <c r="AF209" s="5">
        <f t="shared" si="59"/>
        <v>122.3312</v>
      </c>
      <c r="AG209" s="207"/>
    </row>
    <row r="210" spans="1:33" x14ac:dyDescent="0.2">
      <c r="A210" s="229">
        <v>628</v>
      </c>
      <c r="B210" s="1" t="str">
        <f t="shared" si="45"/>
        <v>2.06, NT Plant &amp; Pre-Twin Row 12R-36</v>
      </c>
      <c r="C210" s="155">
        <v>2.06</v>
      </c>
      <c r="D210" s="151" t="s">
        <v>436</v>
      </c>
      <c r="E210" s="151" t="s">
        <v>280</v>
      </c>
      <c r="F210" s="151" t="s">
        <v>200</v>
      </c>
      <c r="G210" s="151" t="str">
        <f t="shared" si="46"/>
        <v>NT Plant &amp; Pre-Twin Row 12R-36</v>
      </c>
      <c r="H210" s="30">
        <v>141400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2681.2723910628611</v>
      </c>
      <c r="W210" s="9">
        <f t="shared" si="50"/>
        <v>17.875149273752406</v>
      </c>
      <c r="X210" s="8">
        <f t="shared" si="51"/>
        <v>7953.75</v>
      </c>
      <c r="Y210" s="7">
        <f t="shared" si="52"/>
        <v>53.024999999999999</v>
      </c>
      <c r="Z210" s="2">
        <f t="shared" si="53"/>
        <v>63630</v>
      </c>
      <c r="AA210" s="2">
        <f t="shared" si="54"/>
        <v>9721.25</v>
      </c>
      <c r="AB210" s="2">
        <f t="shared" si="55"/>
        <v>102515</v>
      </c>
      <c r="AC210" s="6">
        <f t="shared" si="56"/>
        <v>9226.35</v>
      </c>
      <c r="AD210" s="6">
        <f t="shared" si="57"/>
        <v>2460.36</v>
      </c>
      <c r="AE210" s="6">
        <f t="shared" si="58"/>
        <v>21407.96</v>
      </c>
      <c r="AF210" s="5">
        <f t="shared" si="59"/>
        <v>142.71973333333332</v>
      </c>
      <c r="AG210" s="207"/>
    </row>
    <row r="211" spans="1:33" x14ac:dyDescent="0.2">
      <c r="A211" s="229">
        <v>374</v>
      </c>
      <c r="B211" s="1" t="str">
        <f t="shared" si="45"/>
        <v>2.07, NT Plant-Folding 12R-20</v>
      </c>
      <c r="C211" s="155">
        <v>2.0699999999999998</v>
      </c>
      <c r="D211" s="151" t="s">
        <v>436</v>
      </c>
      <c r="E211" s="151" t="s">
        <v>281</v>
      </c>
      <c r="F211" s="151" t="s">
        <v>50</v>
      </c>
      <c r="G211" s="151" t="str">
        <f t="shared" si="46"/>
        <v>NT Plant-Folding 12R-20</v>
      </c>
      <c r="H211" s="30">
        <v>64842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1229.5549107588263</v>
      </c>
      <c r="W211" s="9">
        <f t="shared" si="50"/>
        <v>8.1970327383921759</v>
      </c>
      <c r="X211" s="8">
        <f t="shared" si="51"/>
        <v>3647.3625000000002</v>
      </c>
      <c r="Y211" s="7">
        <f t="shared" si="52"/>
        <v>24.315750000000001</v>
      </c>
      <c r="Z211" s="2">
        <f t="shared" si="53"/>
        <v>29178.9</v>
      </c>
      <c r="AA211" s="2">
        <f t="shared" si="54"/>
        <v>4457.8874999999998</v>
      </c>
      <c r="AB211" s="2">
        <f t="shared" si="55"/>
        <v>47010.45</v>
      </c>
      <c r="AC211" s="6">
        <f t="shared" si="56"/>
        <v>4230.9404999999997</v>
      </c>
      <c r="AD211" s="6">
        <f t="shared" si="57"/>
        <v>1128.2508</v>
      </c>
      <c r="AE211" s="6">
        <f t="shared" si="58"/>
        <v>9817.0787999999993</v>
      </c>
      <c r="AF211" s="5">
        <f t="shared" si="59"/>
        <v>65.447192000000001</v>
      </c>
      <c r="AG211" s="207"/>
    </row>
    <row r="212" spans="1:33" x14ac:dyDescent="0.2">
      <c r="A212" s="229">
        <v>370</v>
      </c>
      <c r="B212" s="1" t="str">
        <f t="shared" si="45"/>
        <v>2.08, NT Plant-Folding  8R-36</v>
      </c>
      <c r="C212" s="155">
        <v>2.08</v>
      </c>
      <c r="D212" s="151" t="s">
        <v>436</v>
      </c>
      <c r="E212" s="151" t="s">
        <v>281</v>
      </c>
      <c r="F212" s="151" t="s">
        <v>199</v>
      </c>
      <c r="G212" s="151" t="str">
        <f t="shared" si="46"/>
        <v>NT Plant-Folding  8R-36</v>
      </c>
      <c r="H212" s="30">
        <v>42521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806.29691188390314</v>
      </c>
      <c r="W212" s="9">
        <f t="shared" si="50"/>
        <v>5.3753127458926873</v>
      </c>
      <c r="X212" s="8">
        <f t="shared" si="51"/>
        <v>2391.8062500000001</v>
      </c>
      <c r="Y212" s="7">
        <f t="shared" si="52"/>
        <v>15.945375</v>
      </c>
      <c r="Z212" s="2">
        <f t="shared" si="53"/>
        <v>19134.45</v>
      </c>
      <c r="AA212" s="2">
        <f t="shared" si="54"/>
        <v>2923.3187499999999</v>
      </c>
      <c r="AB212" s="2">
        <f t="shared" si="55"/>
        <v>30827.724999999999</v>
      </c>
      <c r="AC212" s="6">
        <f t="shared" si="56"/>
        <v>2774.4952499999999</v>
      </c>
      <c r="AD212" s="6">
        <f t="shared" si="57"/>
        <v>739.86540000000002</v>
      </c>
      <c r="AE212" s="6">
        <f t="shared" si="58"/>
        <v>6437.6794</v>
      </c>
      <c r="AF212" s="5">
        <f t="shared" si="59"/>
        <v>42.917862666666664</v>
      </c>
      <c r="AG212" s="207"/>
    </row>
    <row r="213" spans="1:33" x14ac:dyDescent="0.2">
      <c r="A213" s="229">
        <v>378</v>
      </c>
      <c r="B213" s="1" t="str">
        <f t="shared" si="45"/>
        <v>2.09, NT Plant-Folding 23R-15</v>
      </c>
      <c r="C213" s="155">
        <v>2.09</v>
      </c>
      <c r="D213" s="151" t="s">
        <v>436</v>
      </c>
      <c r="E213" s="151" t="s">
        <v>281</v>
      </c>
      <c r="F213" s="151" t="s">
        <v>62</v>
      </c>
      <c r="G213" s="151" t="str">
        <f t="shared" si="46"/>
        <v>NT Plant-Folding 23R-15</v>
      </c>
      <c r="H213" s="30">
        <v>123220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2336.537369354779</v>
      </c>
      <c r="W213" s="9">
        <f t="shared" si="50"/>
        <v>15.576915795698527</v>
      </c>
      <c r="X213" s="8">
        <f t="shared" si="51"/>
        <v>6931.125</v>
      </c>
      <c r="Y213" s="7">
        <f t="shared" si="52"/>
        <v>46.207500000000003</v>
      </c>
      <c r="Z213" s="2">
        <f t="shared" si="53"/>
        <v>55449</v>
      </c>
      <c r="AA213" s="2">
        <f t="shared" si="54"/>
        <v>8471.375</v>
      </c>
      <c r="AB213" s="2">
        <f t="shared" si="55"/>
        <v>89334.5</v>
      </c>
      <c r="AC213" s="6">
        <f t="shared" si="56"/>
        <v>8040.1049999999996</v>
      </c>
      <c r="AD213" s="6">
        <f t="shared" si="57"/>
        <v>2144.0280000000002</v>
      </c>
      <c r="AE213" s="6">
        <f t="shared" si="58"/>
        <v>18655.508000000002</v>
      </c>
      <c r="AF213" s="5">
        <f t="shared" si="59"/>
        <v>124.37005333333335</v>
      </c>
      <c r="AG213" s="207"/>
    </row>
    <row r="214" spans="1:33" x14ac:dyDescent="0.2">
      <c r="A214" s="229">
        <v>375</v>
      </c>
      <c r="B214" s="1" t="str">
        <f t="shared" si="45"/>
        <v>2.1, NT Plant-Folding 12R-30</v>
      </c>
      <c r="C214" s="155">
        <v>2.1</v>
      </c>
      <c r="D214" s="151" t="s">
        <v>436</v>
      </c>
      <c r="E214" s="151" t="s">
        <v>281</v>
      </c>
      <c r="F214" s="151" t="s">
        <v>6</v>
      </c>
      <c r="G214" s="151" t="str">
        <f t="shared" si="46"/>
        <v>NT Plant-Folding 12R-30</v>
      </c>
      <c r="H214" s="30">
        <v>65246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1237.215689019006</v>
      </c>
      <c r="W214" s="9">
        <f t="shared" si="50"/>
        <v>8.2481045934600399</v>
      </c>
      <c r="X214" s="8">
        <f t="shared" si="51"/>
        <v>3670.0875000000001</v>
      </c>
      <c r="Y214" s="7">
        <f t="shared" si="52"/>
        <v>24.46725</v>
      </c>
      <c r="Z214" s="2">
        <f t="shared" si="53"/>
        <v>29360.7</v>
      </c>
      <c r="AA214" s="2">
        <f t="shared" si="54"/>
        <v>4485.6625000000004</v>
      </c>
      <c r="AB214" s="2">
        <f t="shared" si="55"/>
        <v>47303.35</v>
      </c>
      <c r="AC214" s="6">
        <f t="shared" si="56"/>
        <v>4257.3014999999996</v>
      </c>
      <c r="AD214" s="6">
        <f t="shared" si="57"/>
        <v>1135.2804000000001</v>
      </c>
      <c r="AE214" s="6">
        <f t="shared" si="58"/>
        <v>9878.2443999999996</v>
      </c>
      <c r="AF214" s="5">
        <f t="shared" si="59"/>
        <v>65.854962666666665</v>
      </c>
      <c r="AG214" s="207"/>
    </row>
    <row r="215" spans="1:33" x14ac:dyDescent="0.2">
      <c r="A215" s="229">
        <v>548</v>
      </c>
      <c r="B215" s="1" t="str">
        <f t="shared" si="45"/>
        <v>2.11, NT Plant-Folding 24R-15</v>
      </c>
      <c r="C215" s="155">
        <v>2.11</v>
      </c>
      <c r="D215" s="151" t="s">
        <v>436</v>
      </c>
      <c r="E215" s="151" t="s">
        <v>281</v>
      </c>
      <c r="F215" s="151" t="s">
        <v>61</v>
      </c>
      <c r="G215" s="151" t="str">
        <f t="shared" si="46"/>
        <v>NT Plant-Folding 24R-15</v>
      </c>
      <c r="H215" s="30">
        <v>127260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2413.1451519565753</v>
      </c>
      <c r="W215" s="9">
        <f t="shared" si="50"/>
        <v>16.087634346377168</v>
      </c>
      <c r="X215" s="8">
        <f t="shared" si="51"/>
        <v>7158.375</v>
      </c>
      <c r="Y215" s="7">
        <f t="shared" si="52"/>
        <v>47.722499999999997</v>
      </c>
      <c r="Z215" s="2">
        <f t="shared" si="53"/>
        <v>57267</v>
      </c>
      <c r="AA215" s="2">
        <f t="shared" si="54"/>
        <v>8749.125</v>
      </c>
      <c r="AB215" s="2">
        <f t="shared" si="55"/>
        <v>92263.5</v>
      </c>
      <c r="AC215" s="6">
        <f t="shared" si="56"/>
        <v>8303.7150000000001</v>
      </c>
      <c r="AD215" s="6">
        <f t="shared" si="57"/>
        <v>2214.3240000000001</v>
      </c>
      <c r="AE215" s="6">
        <f t="shared" si="58"/>
        <v>19267.164000000001</v>
      </c>
      <c r="AF215" s="5">
        <f t="shared" si="59"/>
        <v>128.44776000000002</v>
      </c>
      <c r="AG215" s="207"/>
    </row>
    <row r="216" spans="1:33" x14ac:dyDescent="0.2">
      <c r="A216" s="229">
        <v>371</v>
      </c>
      <c r="B216" s="1" t="str">
        <f t="shared" si="45"/>
        <v>2.12, NT Plant-Folding  8R-36 2x1</v>
      </c>
      <c r="C216" s="155">
        <v>2.12</v>
      </c>
      <c r="D216" s="151" t="s">
        <v>436</v>
      </c>
      <c r="E216" s="151" t="s">
        <v>281</v>
      </c>
      <c r="F216" s="151" t="s">
        <v>203</v>
      </c>
      <c r="G216" s="151" t="str">
        <f t="shared" si="46"/>
        <v>NT Plant-Folding  8R-36 2x1</v>
      </c>
      <c r="H216" s="30">
        <v>64135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1216.1485488035119</v>
      </c>
      <c r="W216" s="9">
        <f t="shared" si="50"/>
        <v>8.1076569920234132</v>
      </c>
      <c r="X216" s="8">
        <f t="shared" si="51"/>
        <v>3607.59375</v>
      </c>
      <c r="Y216" s="7">
        <f t="shared" si="52"/>
        <v>24.050625</v>
      </c>
      <c r="Z216" s="2">
        <f t="shared" si="53"/>
        <v>28860.75</v>
      </c>
      <c r="AA216" s="2">
        <f t="shared" si="54"/>
        <v>4409.28125</v>
      </c>
      <c r="AB216" s="2">
        <f t="shared" si="55"/>
        <v>46497.875</v>
      </c>
      <c r="AC216" s="6">
        <f t="shared" si="56"/>
        <v>4184.8087500000001</v>
      </c>
      <c r="AD216" s="6">
        <f t="shared" si="57"/>
        <v>1115.9490000000001</v>
      </c>
      <c r="AE216" s="6">
        <f t="shared" si="58"/>
        <v>9710.0390000000007</v>
      </c>
      <c r="AF216" s="5">
        <f t="shared" si="59"/>
        <v>64.733593333333332</v>
      </c>
      <c r="AG216" s="207"/>
    </row>
    <row r="217" spans="1:33" x14ac:dyDescent="0.2">
      <c r="A217" s="229">
        <v>255</v>
      </c>
      <c r="B217" s="1" t="str">
        <f t="shared" si="45"/>
        <v>2.13, NT Plant-Folding 12R-36</v>
      </c>
      <c r="C217" s="155">
        <v>2.13</v>
      </c>
      <c r="D217" s="151" t="s">
        <v>436</v>
      </c>
      <c r="E217" s="151" t="s">
        <v>281</v>
      </c>
      <c r="F217" s="151" t="s">
        <v>200</v>
      </c>
      <c r="G217" s="151" t="str">
        <f t="shared" si="46"/>
        <v>NT Plant-Folding 12R-36</v>
      </c>
      <c r="H217" s="30">
        <v>74235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1407.668005308002</v>
      </c>
      <c r="W217" s="9">
        <f t="shared" si="50"/>
        <v>9.3844533687200133</v>
      </c>
      <c r="X217" s="8">
        <f t="shared" si="51"/>
        <v>4175.71875</v>
      </c>
      <c r="Y217" s="7">
        <f t="shared" si="52"/>
        <v>27.838125000000002</v>
      </c>
      <c r="Z217" s="2">
        <f t="shared" si="53"/>
        <v>33405.75</v>
      </c>
      <c r="AA217" s="2">
        <f t="shared" si="54"/>
        <v>5103.65625</v>
      </c>
      <c r="AB217" s="2">
        <f t="shared" si="55"/>
        <v>53820.375</v>
      </c>
      <c r="AC217" s="6">
        <f t="shared" si="56"/>
        <v>4843.8337499999998</v>
      </c>
      <c r="AD217" s="6">
        <f t="shared" si="57"/>
        <v>1291.6890000000001</v>
      </c>
      <c r="AE217" s="6">
        <f t="shared" si="58"/>
        <v>11239.179</v>
      </c>
      <c r="AF217" s="5">
        <f t="shared" si="59"/>
        <v>74.927859999999995</v>
      </c>
      <c r="AG217" s="207"/>
    </row>
    <row r="218" spans="1:33" x14ac:dyDescent="0.2">
      <c r="A218" s="229">
        <v>552</v>
      </c>
      <c r="B218" s="1" t="str">
        <f t="shared" si="45"/>
        <v>2.14, NT Plant-Folding 31R-15</v>
      </c>
      <c r="C218" s="155">
        <v>2.14</v>
      </c>
      <c r="D218" s="151" t="s">
        <v>436</v>
      </c>
      <c r="E218" s="151" t="s">
        <v>281</v>
      </c>
      <c r="F218" s="151" t="s">
        <v>60</v>
      </c>
      <c r="G218" s="151" t="str">
        <f t="shared" si="46"/>
        <v>NT Plant-Folding 31R-15</v>
      </c>
      <c r="H218" s="30">
        <v>141400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2681.2723910628611</v>
      </c>
      <c r="W218" s="9">
        <f t="shared" si="50"/>
        <v>17.875149273752406</v>
      </c>
      <c r="X218" s="8">
        <f t="shared" si="51"/>
        <v>7953.75</v>
      </c>
      <c r="Y218" s="7">
        <f t="shared" si="52"/>
        <v>53.024999999999999</v>
      </c>
      <c r="Z218" s="2">
        <f t="shared" si="53"/>
        <v>63630</v>
      </c>
      <c r="AA218" s="2">
        <f t="shared" si="54"/>
        <v>9721.25</v>
      </c>
      <c r="AB218" s="2">
        <f t="shared" si="55"/>
        <v>102515</v>
      </c>
      <c r="AC218" s="6">
        <f t="shared" si="56"/>
        <v>9226.35</v>
      </c>
      <c r="AD218" s="6">
        <f t="shared" si="57"/>
        <v>2460.36</v>
      </c>
      <c r="AE218" s="6">
        <f t="shared" si="58"/>
        <v>21407.96</v>
      </c>
      <c r="AF218" s="5">
        <f t="shared" si="59"/>
        <v>142.71973333333332</v>
      </c>
      <c r="AG218" s="207"/>
    </row>
    <row r="219" spans="1:33" x14ac:dyDescent="0.2">
      <c r="A219" s="229">
        <v>377</v>
      </c>
      <c r="B219" s="1" t="str">
        <f t="shared" si="45"/>
        <v>2.15, NT Plant-Folding 16R-30</v>
      </c>
      <c r="C219" s="155">
        <v>2.15</v>
      </c>
      <c r="D219" s="151" t="s">
        <v>436</v>
      </c>
      <c r="E219" s="151" t="s">
        <v>281</v>
      </c>
      <c r="F219" s="151" t="s">
        <v>59</v>
      </c>
      <c r="G219" s="151" t="str">
        <f t="shared" si="46"/>
        <v>NT Plant-Folding 16R-30</v>
      </c>
      <c r="H219" s="30">
        <v>94132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1784.9613346218475</v>
      </c>
      <c r="W219" s="9">
        <f t="shared" si="50"/>
        <v>11.899742230812317</v>
      </c>
      <c r="X219" s="8">
        <f t="shared" si="51"/>
        <v>5294.9250000000002</v>
      </c>
      <c r="Y219" s="7">
        <f t="shared" si="52"/>
        <v>35.299500000000002</v>
      </c>
      <c r="Z219" s="2">
        <f t="shared" si="53"/>
        <v>42359.4</v>
      </c>
      <c r="AA219" s="2">
        <f t="shared" si="54"/>
        <v>6471.5749999999998</v>
      </c>
      <c r="AB219" s="2">
        <f t="shared" si="55"/>
        <v>68245.7</v>
      </c>
      <c r="AC219" s="6">
        <f t="shared" si="56"/>
        <v>6142.1129999999994</v>
      </c>
      <c r="AD219" s="6">
        <f t="shared" si="57"/>
        <v>1637.8968</v>
      </c>
      <c r="AE219" s="6">
        <f t="shared" si="58"/>
        <v>14251.584799999999</v>
      </c>
      <c r="AF219" s="5">
        <f t="shared" si="59"/>
        <v>95.010565333333318</v>
      </c>
      <c r="AG219" s="207"/>
    </row>
    <row r="220" spans="1:33" x14ac:dyDescent="0.2">
      <c r="A220" s="229">
        <v>379</v>
      </c>
      <c r="B220" s="1" t="str">
        <f t="shared" si="45"/>
        <v>2.16, NT Plant-Folding 24R-20</v>
      </c>
      <c r="C220" s="155">
        <v>2.16</v>
      </c>
      <c r="D220" s="151" t="s">
        <v>436</v>
      </c>
      <c r="E220" s="151" t="s">
        <v>281</v>
      </c>
      <c r="F220" s="151" t="s">
        <v>58</v>
      </c>
      <c r="G220" s="151" t="str">
        <f t="shared" si="46"/>
        <v>NT Plant-Folding 24R-20</v>
      </c>
      <c r="H220" s="30">
        <v>137360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2604.6646084610652</v>
      </c>
      <c r="W220" s="9">
        <f t="shared" si="50"/>
        <v>17.364430723073767</v>
      </c>
      <c r="X220" s="8">
        <f t="shared" si="51"/>
        <v>7726.5</v>
      </c>
      <c r="Y220" s="7">
        <f t="shared" si="52"/>
        <v>51.51</v>
      </c>
      <c r="Z220" s="2">
        <f t="shared" si="53"/>
        <v>61812</v>
      </c>
      <c r="AA220" s="2">
        <f t="shared" si="54"/>
        <v>9443.5</v>
      </c>
      <c r="AB220" s="2">
        <f t="shared" si="55"/>
        <v>99586</v>
      </c>
      <c r="AC220" s="6">
        <f t="shared" si="56"/>
        <v>8962.74</v>
      </c>
      <c r="AD220" s="6">
        <f t="shared" si="57"/>
        <v>2390.0639999999999</v>
      </c>
      <c r="AE220" s="6">
        <f t="shared" si="58"/>
        <v>20796.303999999996</v>
      </c>
      <c r="AF220" s="5">
        <f t="shared" si="59"/>
        <v>138.64202666666665</v>
      </c>
      <c r="AG220" s="207"/>
    </row>
    <row r="221" spans="1:33" x14ac:dyDescent="0.2">
      <c r="A221" s="229">
        <v>599</v>
      </c>
      <c r="B221" s="1" t="str">
        <f t="shared" si="45"/>
        <v>2.17, NT Plant-Folding 32R-15</v>
      </c>
      <c r="C221" s="155">
        <v>2.17</v>
      </c>
      <c r="D221" s="151" t="s">
        <v>436</v>
      </c>
      <c r="E221" s="151" t="s">
        <v>281</v>
      </c>
      <c r="F221" s="151" t="s">
        <v>57</v>
      </c>
      <c r="G221" s="151" t="str">
        <f t="shared" si="46"/>
        <v>NT Plant-Folding 32R-15</v>
      </c>
      <c r="H221" s="30">
        <v>156550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2968.5515758195961</v>
      </c>
      <c r="W221" s="9">
        <f t="shared" si="50"/>
        <v>19.790343838797309</v>
      </c>
      <c r="X221" s="8">
        <f t="shared" si="51"/>
        <v>8805.9375</v>
      </c>
      <c r="Y221" s="7">
        <f t="shared" si="52"/>
        <v>58.706249999999997</v>
      </c>
      <c r="Z221" s="2">
        <f t="shared" si="53"/>
        <v>70447.5</v>
      </c>
      <c r="AA221" s="2">
        <f t="shared" si="54"/>
        <v>10762.8125</v>
      </c>
      <c r="AB221" s="2">
        <f t="shared" si="55"/>
        <v>113498.75</v>
      </c>
      <c r="AC221" s="6">
        <f t="shared" si="56"/>
        <v>10214.887499999999</v>
      </c>
      <c r="AD221" s="6">
        <f t="shared" si="57"/>
        <v>2723.9700000000003</v>
      </c>
      <c r="AE221" s="6">
        <f t="shared" si="58"/>
        <v>23701.67</v>
      </c>
      <c r="AF221" s="5">
        <f t="shared" si="59"/>
        <v>158.01113333333333</v>
      </c>
      <c r="AG221" s="207"/>
    </row>
    <row r="222" spans="1:33" x14ac:dyDescent="0.2">
      <c r="A222" s="229">
        <v>380</v>
      </c>
      <c r="B222" s="1" t="str">
        <f t="shared" si="45"/>
        <v>2.18, NT Plant-Folding 24R-30</v>
      </c>
      <c r="C222" s="155">
        <v>2.1800000000000002</v>
      </c>
      <c r="D222" s="151" t="s">
        <v>436</v>
      </c>
      <c r="E222" s="151" t="s">
        <v>281</v>
      </c>
      <c r="F222" s="151" t="s">
        <v>56</v>
      </c>
      <c r="G222" s="151" t="str">
        <f t="shared" si="46"/>
        <v>NT Plant-Folding 24R-30</v>
      </c>
      <c r="H222" s="30">
        <v>179780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3409.0463257799233</v>
      </c>
      <c r="W222" s="9">
        <f t="shared" si="50"/>
        <v>22.726975505199491</v>
      </c>
      <c r="X222" s="8">
        <f t="shared" si="51"/>
        <v>10112.625</v>
      </c>
      <c r="Y222" s="7">
        <f t="shared" si="52"/>
        <v>67.417500000000004</v>
      </c>
      <c r="Z222" s="2">
        <f t="shared" si="53"/>
        <v>80901</v>
      </c>
      <c r="AA222" s="2">
        <f t="shared" si="54"/>
        <v>12359.875</v>
      </c>
      <c r="AB222" s="2">
        <f t="shared" si="55"/>
        <v>130340.5</v>
      </c>
      <c r="AC222" s="6">
        <f t="shared" si="56"/>
        <v>11730.645</v>
      </c>
      <c r="AD222" s="6">
        <f t="shared" si="57"/>
        <v>3128.172</v>
      </c>
      <c r="AE222" s="6">
        <f t="shared" si="58"/>
        <v>27218.691999999999</v>
      </c>
      <c r="AF222" s="5">
        <f t="shared" si="59"/>
        <v>181.45794666666666</v>
      </c>
      <c r="AG222" s="207"/>
    </row>
    <row r="223" spans="1:33" x14ac:dyDescent="0.2">
      <c r="A223" s="229">
        <v>637</v>
      </c>
      <c r="B223" s="1" t="str">
        <f t="shared" si="45"/>
        <v>2.19, NT Plant-Folding 36R-20</v>
      </c>
      <c r="C223" s="155">
        <v>2.19</v>
      </c>
      <c r="D223" s="151" t="s">
        <v>436</v>
      </c>
      <c r="E223" s="151" t="s">
        <v>281</v>
      </c>
      <c r="F223" s="151" t="s">
        <v>55</v>
      </c>
      <c r="G223" s="151" t="str">
        <f t="shared" si="46"/>
        <v>NT Plant-Folding 36R-20</v>
      </c>
      <c r="H223" s="30">
        <v>186850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3543.1099453330662</v>
      </c>
      <c r="W223" s="9">
        <f t="shared" si="50"/>
        <v>23.620732968887108</v>
      </c>
      <c r="X223" s="8">
        <f t="shared" si="51"/>
        <v>10510.3125</v>
      </c>
      <c r="Y223" s="7">
        <f t="shared" si="52"/>
        <v>70.068749999999994</v>
      </c>
      <c r="Z223" s="2">
        <f t="shared" si="53"/>
        <v>84082.5</v>
      </c>
      <c r="AA223" s="2">
        <f t="shared" si="54"/>
        <v>12845.9375</v>
      </c>
      <c r="AB223" s="2">
        <f t="shared" si="55"/>
        <v>135466.25</v>
      </c>
      <c r="AC223" s="6">
        <f t="shared" si="56"/>
        <v>12191.9625</v>
      </c>
      <c r="AD223" s="6">
        <f t="shared" si="57"/>
        <v>3251.19</v>
      </c>
      <c r="AE223" s="6">
        <f t="shared" si="58"/>
        <v>28289.09</v>
      </c>
      <c r="AF223" s="5">
        <f t="shared" si="59"/>
        <v>188.59393333333333</v>
      </c>
      <c r="AG223" s="207"/>
    </row>
    <row r="224" spans="1:33" x14ac:dyDescent="0.2">
      <c r="A224" s="229">
        <v>365</v>
      </c>
      <c r="B224" s="1" t="str">
        <f t="shared" si="45"/>
        <v>2.2, NT Plant-Rigid  4R-30</v>
      </c>
      <c r="C224" s="155">
        <v>2.2000000000000002</v>
      </c>
      <c r="D224" s="151" t="s">
        <v>436</v>
      </c>
      <c r="E224" s="151" t="s">
        <v>282</v>
      </c>
      <c r="F224" s="151" t="s">
        <v>48</v>
      </c>
      <c r="G224" s="151" t="str">
        <f t="shared" si="46"/>
        <v>NT Plant-Rigid  4R-30</v>
      </c>
      <c r="H224" s="30">
        <v>20806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394.53008039924958</v>
      </c>
      <c r="W224" s="9">
        <f t="shared" si="50"/>
        <v>2.6302005359949971</v>
      </c>
      <c r="X224" s="8">
        <f t="shared" si="51"/>
        <v>1170.3375000000001</v>
      </c>
      <c r="Y224" s="7">
        <f t="shared" si="52"/>
        <v>7.8022500000000008</v>
      </c>
      <c r="Z224" s="2">
        <f t="shared" si="53"/>
        <v>9362.7000000000007</v>
      </c>
      <c r="AA224" s="2">
        <f t="shared" si="54"/>
        <v>1430.4124999999999</v>
      </c>
      <c r="AB224" s="2">
        <f t="shared" si="55"/>
        <v>15084.35</v>
      </c>
      <c r="AC224" s="6">
        <f t="shared" si="56"/>
        <v>1357.5915</v>
      </c>
      <c r="AD224" s="6">
        <f t="shared" si="57"/>
        <v>362.02440000000001</v>
      </c>
      <c r="AE224" s="6">
        <f t="shared" si="58"/>
        <v>3150.0284000000001</v>
      </c>
      <c r="AF224" s="5">
        <f t="shared" si="59"/>
        <v>21.000189333333335</v>
      </c>
      <c r="AG224" s="207"/>
    </row>
    <row r="225" spans="1:33" x14ac:dyDescent="0.2">
      <c r="A225" s="229">
        <v>130</v>
      </c>
      <c r="B225" s="1" t="str">
        <f t="shared" si="45"/>
        <v>2.21, NT Plant-Rigid  4R-36</v>
      </c>
      <c r="C225" s="155">
        <v>2.21</v>
      </c>
      <c r="D225" s="151" t="s">
        <v>436</v>
      </c>
      <c r="E225" s="151" t="s">
        <v>282</v>
      </c>
      <c r="F225" s="151" t="s">
        <v>201</v>
      </c>
      <c r="G225" s="151" t="str">
        <f t="shared" si="46"/>
        <v>NT Plant-Rigid  4R-36</v>
      </c>
      <c r="H225" s="30">
        <v>23129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438.57955539528228</v>
      </c>
      <c r="W225" s="9">
        <f t="shared" si="50"/>
        <v>2.9238637026352152</v>
      </c>
      <c r="X225" s="8">
        <f t="shared" si="51"/>
        <v>1301.0062499999999</v>
      </c>
      <c r="Y225" s="7">
        <f t="shared" si="52"/>
        <v>8.6733750000000001</v>
      </c>
      <c r="Z225" s="2">
        <f t="shared" si="53"/>
        <v>10408.049999999999</v>
      </c>
      <c r="AA225" s="2">
        <f t="shared" si="54"/>
        <v>1590.1187500000001</v>
      </c>
      <c r="AB225" s="2">
        <f t="shared" si="55"/>
        <v>16768.525000000001</v>
      </c>
      <c r="AC225" s="6">
        <f t="shared" si="56"/>
        <v>1509.16725</v>
      </c>
      <c r="AD225" s="6">
        <f t="shared" si="57"/>
        <v>402.44460000000004</v>
      </c>
      <c r="AE225" s="6">
        <f t="shared" si="58"/>
        <v>3501.7305999999999</v>
      </c>
      <c r="AF225" s="5">
        <f t="shared" si="59"/>
        <v>23.344870666666665</v>
      </c>
      <c r="AG225" s="207"/>
    </row>
    <row r="226" spans="1:33" x14ac:dyDescent="0.2">
      <c r="A226" s="229">
        <v>532</v>
      </c>
      <c r="B226" s="1" t="str">
        <f t="shared" si="45"/>
        <v>2.22, NT Plant-Rigid 11R-15</v>
      </c>
      <c r="C226" s="155">
        <v>2.2200000000000002</v>
      </c>
      <c r="D226" s="151" t="s">
        <v>436</v>
      </c>
      <c r="E226" s="151" t="s">
        <v>282</v>
      </c>
      <c r="F226" s="151" t="s">
        <v>54</v>
      </c>
      <c r="G226" s="151" t="str">
        <f t="shared" si="46"/>
        <v>NT Plant-Rigid 11R-15</v>
      </c>
      <c r="H226" s="30">
        <v>44339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840.77041405471141</v>
      </c>
      <c r="W226" s="9">
        <f t="shared" si="50"/>
        <v>5.6051360936980759</v>
      </c>
      <c r="X226" s="8">
        <f t="shared" si="51"/>
        <v>2494.0687499999999</v>
      </c>
      <c r="Y226" s="7">
        <f t="shared" si="52"/>
        <v>16.627124999999999</v>
      </c>
      <c r="Z226" s="2">
        <f t="shared" si="53"/>
        <v>19952.55</v>
      </c>
      <c r="AA226" s="2">
        <f t="shared" si="54"/>
        <v>3048.3062500000001</v>
      </c>
      <c r="AB226" s="2">
        <f t="shared" si="55"/>
        <v>32145.775000000001</v>
      </c>
      <c r="AC226" s="6">
        <f t="shared" si="56"/>
        <v>2893.1197499999998</v>
      </c>
      <c r="AD226" s="6">
        <f t="shared" si="57"/>
        <v>771.49860000000001</v>
      </c>
      <c r="AE226" s="6">
        <f t="shared" si="58"/>
        <v>6712.9245999999994</v>
      </c>
      <c r="AF226" s="5">
        <f t="shared" si="59"/>
        <v>44.752830666666661</v>
      </c>
      <c r="AG226" s="207"/>
    </row>
    <row r="227" spans="1:33" x14ac:dyDescent="0.2">
      <c r="A227" s="229">
        <v>131</v>
      </c>
      <c r="B227" s="1" t="str">
        <f t="shared" si="45"/>
        <v>2.23, NT Plant-Rigid  6R-30</v>
      </c>
      <c r="C227" s="155">
        <v>2.23</v>
      </c>
      <c r="D227" s="151" t="s">
        <v>436</v>
      </c>
      <c r="E227" s="151" t="s">
        <v>282</v>
      </c>
      <c r="F227" s="151" t="s">
        <v>53</v>
      </c>
      <c r="G227" s="151" t="str">
        <f t="shared" si="46"/>
        <v>NT Plant-Rigid  6R-30</v>
      </c>
      <c r="H227" s="30">
        <v>31310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593.71031516391929</v>
      </c>
      <c r="W227" s="9">
        <f t="shared" si="50"/>
        <v>3.9580687677594621</v>
      </c>
      <c r="X227" s="8">
        <f t="shared" si="51"/>
        <v>1761.1875</v>
      </c>
      <c r="Y227" s="7">
        <f t="shared" si="52"/>
        <v>11.741250000000001</v>
      </c>
      <c r="Z227" s="2">
        <f t="shared" si="53"/>
        <v>14089.5</v>
      </c>
      <c r="AA227" s="2">
        <f t="shared" si="54"/>
        <v>2152.5625</v>
      </c>
      <c r="AB227" s="2">
        <f t="shared" si="55"/>
        <v>22699.75</v>
      </c>
      <c r="AC227" s="6">
        <f t="shared" si="56"/>
        <v>2042.9775</v>
      </c>
      <c r="AD227" s="6">
        <f t="shared" si="57"/>
        <v>544.79399999999998</v>
      </c>
      <c r="AE227" s="6">
        <f t="shared" si="58"/>
        <v>4740.3339999999998</v>
      </c>
      <c r="AF227" s="5">
        <f t="shared" si="59"/>
        <v>31.602226666666667</v>
      </c>
      <c r="AG227" s="207"/>
    </row>
    <row r="228" spans="1:33" x14ac:dyDescent="0.2">
      <c r="A228" s="229">
        <v>132</v>
      </c>
      <c r="B228" s="1" t="str">
        <f t="shared" si="45"/>
        <v>2.24, NT Plant-Rigid  6R-36</v>
      </c>
      <c r="C228" s="155">
        <v>2.2400000000000002</v>
      </c>
      <c r="D228" s="151" t="s">
        <v>436</v>
      </c>
      <c r="E228" s="151" t="s">
        <v>282</v>
      </c>
      <c r="F228" s="151" t="s">
        <v>202</v>
      </c>
      <c r="G228" s="151" t="str">
        <f t="shared" si="46"/>
        <v>NT Plant-Rigid  6R-36</v>
      </c>
      <c r="H228" s="30">
        <v>39996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758.41704775778067</v>
      </c>
      <c r="W228" s="9">
        <f t="shared" si="50"/>
        <v>5.0561136517185377</v>
      </c>
      <c r="X228" s="8">
        <f t="shared" si="51"/>
        <v>2249.7750000000001</v>
      </c>
      <c r="Y228" s="7">
        <f t="shared" si="52"/>
        <v>14.9985</v>
      </c>
      <c r="Z228" s="2">
        <f t="shared" si="53"/>
        <v>17998.2</v>
      </c>
      <c r="AA228" s="2">
        <f t="shared" si="54"/>
        <v>2749.7249999999999</v>
      </c>
      <c r="AB228" s="2">
        <f t="shared" si="55"/>
        <v>28997.1</v>
      </c>
      <c r="AC228" s="6">
        <f t="shared" si="56"/>
        <v>2609.7389999999996</v>
      </c>
      <c r="AD228" s="6">
        <f t="shared" si="57"/>
        <v>695.93039999999996</v>
      </c>
      <c r="AE228" s="6">
        <f t="shared" si="58"/>
        <v>6055.3944000000001</v>
      </c>
      <c r="AF228" s="5">
        <f t="shared" si="59"/>
        <v>40.369295999999999</v>
      </c>
      <c r="AG228" s="207"/>
    </row>
    <row r="229" spans="1:33" x14ac:dyDescent="0.2">
      <c r="A229" s="229">
        <v>536</v>
      </c>
      <c r="B229" s="1" t="str">
        <f t="shared" si="45"/>
        <v>2.25, NT Plant-Rigid 11R-20</v>
      </c>
      <c r="C229" s="155">
        <v>2.25</v>
      </c>
      <c r="D229" s="151" t="s">
        <v>436</v>
      </c>
      <c r="E229" s="151" t="s">
        <v>282</v>
      </c>
      <c r="F229" s="151" t="s">
        <v>52</v>
      </c>
      <c r="G229" s="151" t="str">
        <f t="shared" si="46"/>
        <v>NT Plant-Rigid 11R-20</v>
      </c>
      <c r="H229" s="30">
        <v>54944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1041.8658433844259</v>
      </c>
      <c r="W229" s="9">
        <f t="shared" si="50"/>
        <v>6.945772289229506</v>
      </c>
      <c r="X229" s="8">
        <f t="shared" si="51"/>
        <v>3090.6</v>
      </c>
      <c r="Y229" s="7">
        <f t="shared" si="52"/>
        <v>20.603999999999999</v>
      </c>
      <c r="Z229" s="2">
        <f t="shared" si="53"/>
        <v>24724.799999999999</v>
      </c>
      <c r="AA229" s="2">
        <f t="shared" si="54"/>
        <v>3777.4</v>
      </c>
      <c r="AB229" s="2">
        <f t="shared" si="55"/>
        <v>39834.400000000001</v>
      </c>
      <c r="AC229" s="6">
        <f t="shared" si="56"/>
        <v>3585.096</v>
      </c>
      <c r="AD229" s="6">
        <f t="shared" si="57"/>
        <v>956.02560000000005</v>
      </c>
      <c r="AE229" s="6">
        <f t="shared" si="58"/>
        <v>8318.5216</v>
      </c>
      <c r="AF229" s="5">
        <f t="shared" si="59"/>
        <v>55.456810666666669</v>
      </c>
      <c r="AG229" s="207"/>
    </row>
    <row r="230" spans="1:33" x14ac:dyDescent="0.2">
      <c r="A230" s="229">
        <v>600</v>
      </c>
      <c r="B230" s="1" t="str">
        <f t="shared" si="45"/>
        <v>2.26, NT Plant-Rigid 15R-15</v>
      </c>
      <c r="C230" s="155">
        <v>2.2599999999999998</v>
      </c>
      <c r="D230" s="151" t="s">
        <v>436</v>
      </c>
      <c r="E230" s="151" t="s">
        <v>282</v>
      </c>
      <c r="F230" s="151" t="s">
        <v>51</v>
      </c>
      <c r="G230" s="151" t="str">
        <f t="shared" si="46"/>
        <v>NT Plant-Rigid 15R-15</v>
      </c>
      <c r="H230" s="30">
        <v>27371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519.01772712716809</v>
      </c>
      <c r="W230" s="9">
        <f t="shared" si="50"/>
        <v>3.4601181808477874</v>
      </c>
      <c r="X230" s="8">
        <f t="shared" si="51"/>
        <v>1539.6187500000001</v>
      </c>
      <c r="Y230" s="7">
        <f t="shared" si="52"/>
        <v>10.264125</v>
      </c>
      <c r="Z230" s="2">
        <f t="shared" si="53"/>
        <v>12316.95</v>
      </c>
      <c r="AA230" s="2">
        <f t="shared" si="54"/>
        <v>1881.7562499999999</v>
      </c>
      <c r="AB230" s="2">
        <f t="shared" si="55"/>
        <v>19843.974999999999</v>
      </c>
      <c r="AC230" s="6">
        <f t="shared" si="56"/>
        <v>1785.9577499999998</v>
      </c>
      <c r="AD230" s="6">
        <f t="shared" si="57"/>
        <v>476.25539999999995</v>
      </c>
      <c r="AE230" s="6">
        <f t="shared" si="58"/>
        <v>4143.9694</v>
      </c>
      <c r="AF230" s="5">
        <f t="shared" si="59"/>
        <v>27.626462666666665</v>
      </c>
      <c r="AG230" s="207"/>
    </row>
    <row r="231" spans="1:33" x14ac:dyDescent="0.2">
      <c r="A231" s="229">
        <v>133</v>
      </c>
      <c r="B231" s="1" t="str">
        <f t="shared" si="45"/>
        <v>2.27, NT Plant-Rigid  8R-30</v>
      </c>
      <c r="C231" s="155">
        <v>2.27</v>
      </c>
      <c r="D231" s="151" t="s">
        <v>436</v>
      </c>
      <c r="E231" s="151" t="s">
        <v>282</v>
      </c>
      <c r="F231" s="151" t="s">
        <v>25</v>
      </c>
      <c r="G231" s="151" t="str">
        <f t="shared" si="46"/>
        <v>NT Plant-Rigid  8R-30</v>
      </c>
      <c r="H231" s="30">
        <v>46662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884.81988905074422</v>
      </c>
      <c r="W231" s="9">
        <f t="shared" si="50"/>
        <v>5.8987992603382944</v>
      </c>
      <c r="X231" s="8">
        <f t="shared" si="51"/>
        <v>2624.7375000000002</v>
      </c>
      <c r="Y231" s="7">
        <f t="shared" si="52"/>
        <v>17.498250000000002</v>
      </c>
      <c r="Z231" s="2">
        <f t="shared" si="53"/>
        <v>20997.9</v>
      </c>
      <c r="AA231" s="2">
        <f t="shared" si="54"/>
        <v>3208.0124999999998</v>
      </c>
      <c r="AB231" s="2">
        <f t="shared" si="55"/>
        <v>33829.949999999997</v>
      </c>
      <c r="AC231" s="6">
        <f t="shared" si="56"/>
        <v>3044.6954999999998</v>
      </c>
      <c r="AD231" s="6">
        <f t="shared" si="57"/>
        <v>811.91879999999992</v>
      </c>
      <c r="AE231" s="6">
        <f t="shared" si="58"/>
        <v>7064.6268</v>
      </c>
      <c r="AF231" s="5">
        <f t="shared" si="59"/>
        <v>47.097512000000002</v>
      </c>
      <c r="AG231" s="207"/>
    </row>
    <row r="232" spans="1:33" x14ac:dyDescent="0.2">
      <c r="A232" s="229">
        <v>368</v>
      </c>
      <c r="B232" s="1" t="str">
        <f t="shared" si="45"/>
        <v>2.28, NT Plant-Rigid 12R-20</v>
      </c>
      <c r="C232" s="155">
        <v>2.2799999999999998</v>
      </c>
      <c r="D232" s="151" t="s">
        <v>436</v>
      </c>
      <c r="E232" s="151" t="s">
        <v>282</v>
      </c>
      <c r="F232" s="151" t="s">
        <v>50</v>
      </c>
      <c r="G232" s="151" t="str">
        <f t="shared" si="46"/>
        <v>NT Plant-Rigid 12R-20</v>
      </c>
      <c r="H232" s="30">
        <v>36663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695.215627111299</v>
      </c>
      <c r="W232" s="9">
        <f t="shared" si="50"/>
        <v>4.6347708474086602</v>
      </c>
      <c r="X232" s="8">
        <f t="shared" si="51"/>
        <v>2062.2937499999998</v>
      </c>
      <c r="Y232" s="7">
        <f t="shared" si="52"/>
        <v>13.748624999999999</v>
      </c>
      <c r="Z232" s="2">
        <f t="shared" si="53"/>
        <v>16498.349999999999</v>
      </c>
      <c r="AA232" s="2">
        <f t="shared" si="54"/>
        <v>2520.5812500000002</v>
      </c>
      <c r="AB232" s="2">
        <f t="shared" si="55"/>
        <v>26580.674999999999</v>
      </c>
      <c r="AC232" s="6">
        <f t="shared" si="56"/>
        <v>2392.2607499999999</v>
      </c>
      <c r="AD232" s="6">
        <f t="shared" si="57"/>
        <v>637.93619999999999</v>
      </c>
      <c r="AE232" s="6">
        <f t="shared" si="58"/>
        <v>5550.7782000000007</v>
      </c>
      <c r="AF232" s="5">
        <f t="shared" si="59"/>
        <v>37.005188000000004</v>
      </c>
      <c r="AG232" s="207"/>
    </row>
    <row r="233" spans="1:33" x14ac:dyDescent="0.2">
      <c r="A233" s="229">
        <v>639</v>
      </c>
      <c r="B233" s="1" t="str">
        <f t="shared" si="45"/>
        <v>2.29, NT Plant-Rigid 13R-18/20</v>
      </c>
      <c r="C233" s="155">
        <v>2.29</v>
      </c>
      <c r="D233" s="151" t="s">
        <v>436</v>
      </c>
      <c r="E233" s="151" t="s">
        <v>282</v>
      </c>
      <c r="F233" s="151" t="s">
        <v>49</v>
      </c>
      <c r="G233" s="151" t="str">
        <f t="shared" si="46"/>
        <v>NT Plant-Rigid 13R-18/20</v>
      </c>
      <c r="H233" s="30">
        <v>50298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953.76689339236054</v>
      </c>
      <c r="W233" s="9">
        <f t="shared" si="50"/>
        <v>6.3584459559490707</v>
      </c>
      <c r="X233" s="8">
        <f t="shared" si="51"/>
        <v>2829.2624999999998</v>
      </c>
      <c r="Y233" s="7">
        <f t="shared" si="52"/>
        <v>18.861749999999997</v>
      </c>
      <c r="Z233" s="2">
        <f t="shared" si="53"/>
        <v>22634.1</v>
      </c>
      <c r="AA233" s="2">
        <f t="shared" si="54"/>
        <v>3457.9875000000002</v>
      </c>
      <c r="AB233" s="2">
        <f t="shared" si="55"/>
        <v>36466.050000000003</v>
      </c>
      <c r="AC233" s="6">
        <f t="shared" si="56"/>
        <v>3281.9445000000001</v>
      </c>
      <c r="AD233" s="6">
        <f t="shared" si="57"/>
        <v>875.18520000000012</v>
      </c>
      <c r="AE233" s="6">
        <f t="shared" si="58"/>
        <v>7615.1172000000006</v>
      </c>
      <c r="AF233" s="5">
        <f t="shared" si="59"/>
        <v>50.767448000000002</v>
      </c>
      <c r="AG233" s="207"/>
    </row>
    <row r="234" spans="1:33" x14ac:dyDescent="0.2">
      <c r="A234" s="229">
        <v>134</v>
      </c>
      <c r="B234" s="1" t="str">
        <f t="shared" si="45"/>
        <v>2.3, NT Plant-Rigid  8R-36</v>
      </c>
      <c r="C234" s="155">
        <v>2.2999999999999998</v>
      </c>
      <c r="D234" s="151" t="s">
        <v>436</v>
      </c>
      <c r="E234" s="151" t="s">
        <v>282</v>
      </c>
      <c r="F234" s="151" t="s">
        <v>199</v>
      </c>
      <c r="G234" s="151" t="str">
        <f t="shared" si="46"/>
        <v>NT Plant-Rigid  8R-36</v>
      </c>
      <c r="H234" s="30">
        <v>40703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771.82340971309509</v>
      </c>
      <c r="W234" s="9">
        <f t="shared" si="50"/>
        <v>5.1454893980873004</v>
      </c>
      <c r="X234" s="8">
        <f t="shared" si="51"/>
        <v>2289.5437499999998</v>
      </c>
      <c r="Y234" s="7">
        <f t="shared" si="52"/>
        <v>15.263624999999999</v>
      </c>
      <c r="Z234" s="2">
        <f t="shared" si="53"/>
        <v>18316.349999999999</v>
      </c>
      <c r="AA234" s="2">
        <f t="shared" si="54"/>
        <v>2798.3312500000002</v>
      </c>
      <c r="AB234" s="2">
        <f t="shared" si="55"/>
        <v>29509.674999999999</v>
      </c>
      <c r="AC234" s="6">
        <f t="shared" si="56"/>
        <v>2655.87075</v>
      </c>
      <c r="AD234" s="6">
        <f t="shared" si="57"/>
        <v>708.23220000000003</v>
      </c>
      <c r="AE234" s="6">
        <f t="shared" si="58"/>
        <v>6162.4342000000006</v>
      </c>
      <c r="AF234" s="5">
        <f t="shared" si="59"/>
        <v>41.082894666666668</v>
      </c>
      <c r="AG234" s="207"/>
    </row>
    <row r="235" spans="1:33" x14ac:dyDescent="0.2">
      <c r="A235" s="229">
        <v>135</v>
      </c>
      <c r="B235" s="1" t="str">
        <f t="shared" si="45"/>
        <v>2.31, NT Plant-Rigid 10R-30</v>
      </c>
      <c r="C235" s="155">
        <v>2.31</v>
      </c>
      <c r="D235" s="151" t="s">
        <v>436</v>
      </c>
      <c r="E235" s="151" t="s">
        <v>282</v>
      </c>
      <c r="F235" s="151" t="s">
        <v>24</v>
      </c>
      <c r="G235" s="151" t="str">
        <f t="shared" si="46"/>
        <v>NT Plant-Rigid 10R-30</v>
      </c>
      <c r="H235" s="30">
        <v>34138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647.33576298517642</v>
      </c>
      <c r="W235" s="9">
        <f t="shared" si="50"/>
        <v>4.3155717532345097</v>
      </c>
      <c r="X235" s="8">
        <f t="shared" si="51"/>
        <v>1920.2625</v>
      </c>
      <c r="Y235" s="7">
        <f t="shared" si="52"/>
        <v>12.80175</v>
      </c>
      <c r="Z235" s="2">
        <f t="shared" si="53"/>
        <v>15362.1</v>
      </c>
      <c r="AA235" s="2">
        <f t="shared" si="54"/>
        <v>2346.9875000000002</v>
      </c>
      <c r="AB235" s="2">
        <f t="shared" si="55"/>
        <v>24750.05</v>
      </c>
      <c r="AC235" s="6">
        <f t="shared" si="56"/>
        <v>2227.5045</v>
      </c>
      <c r="AD235" s="6">
        <f t="shared" si="57"/>
        <v>594.00120000000004</v>
      </c>
      <c r="AE235" s="6">
        <f t="shared" si="58"/>
        <v>5168.4931999999999</v>
      </c>
      <c r="AF235" s="5">
        <f t="shared" si="59"/>
        <v>34.456621333333331</v>
      </c>
      <c r="AG235" s="207"/>
    </row>
    <row r="236" spans="1:33" x14ac:dyDescent="0.2">
      <c r="A236" s="229">
        <v>369</v>
      </c>
      <c r="B236" s="1" t="str">
        <f t="shared" si="45"/>
        <v>2.32, NT Plant-Rigid 12R-30</v>
      </c>
      <c r="C236" s="155">
        <v>2.3199999999999998</v>
      </c>
      <c r="D236" s="151" t="s">
        <v>436</v>
      </c>
      <c r="E236" s="151" t="s">
        <v>282</v>
      </c>
      <c r="F236" s="151" t="s">
        <v>6</v>
      </c>
      <c r="G236" s="151" t="str">
        <f t="shared" si="46"/>
        <v>NT Plant-Rigid 12R-30</v>
      </c>
      <c r="H236" s="30">
        <v>57368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1087.8305129455036</v>
      </c>
      <c r="W236" s="9">
        <f t="shared" si="50"/>
        <v>7.2522034196366914</v>
      </c>
      <c r="X236" s="8">
        <f t="shared" si="51"/>
        <v>3226.95</v>
      </c>
      <c r="Y236" s="7">
        <f t="shared" si="52"/>
        <v>21.512999999999998</v>
      </c>
      <c r="Z236" s="2">
        <f t="shared" si="53"/>
        <v>25815.599999999999</v>
      </c>
      <c r="AA236" s="2">
        <f t="shared" si="54"/>
        <v>3944.05</v>
      </c>
      <c r="AB236" s="2">
        <f t="shared" si="55"/>
        <v>41591.800000000003</v>
      </c>
      <c r="AC236" s="6">
        <f t="shared" si="56"/>
        <v>3743.2620000000002</v>
      </c>
      <c r="AD236" s="6">
        <f t="shared" si="57"/>
        <v>998.20320000000004</v>
      </c>
      <c r="AE236" s="6">
        <f t="shared" si="58"/>
        <v>8685.5151999999998</v>
      </c>
      <c r="AF236" s="5">
        <f t="shared" si="59"/>
        <v>57.903434666666662</v>
      </c>
      <c r="AG236" s="207"/>
    </row>
    <row r="237" spans="1:33" x14ac:dyDescent="0.2">
      <c r="A237" s="229">
        <v>640</v>
      </c>
      <c r="B237" s="1" t="str">
        <f t="shared" si="45"/>
        <v>2.33, NT Plant-Twin Row 8R-36</v>
      </c>
      <c r="C237" s="155">
        <v>2.33</v>
      </c>
      <c r="D237" s="151" t="s">
        <v>436</v>
      </c>
      <c r="E237" s="151" t="s">
        <v>283</v>
      </c>
      <c r="F237" s="151" t="s">
        <v>205</v>
      </c>
      <c r="G237" s="151" t="str">
        <f t="shared" si="46"/>
        <v>NT Plant-Twin Row 8R-36</v>
      </c>
      <c r="H237" s="30">
        <v>115140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2183.3218041511868</v>
      </c>
      <c r="W237" s="9">
        <f t="shared" si="50"/>
        <v>14.555478694341245</v>
      </c>
      <c r="X237" s="8">
        <f t="shared" si="51"/>
        <v>6476.625</v>
      </c>
      <c r="Y237" s="7">
        <f t="shared" si="52"/>
        <v>43.177500000000002</v>
      </c>
      <c r="Z237" s="2">
        <f t="shared" si="53"/>
        <v>51813</v>
      </c>
      <c r="AA237" s="2">
        <f t="shared" si="54"/>
        <v>7915.875</v>
      </c>
      <c r="AB237" s="2">
        <f t="shared" si="55"/>
        <v>83476.5</v>
      </c>
      <c r="AC237" s="6">
        <f t="shared" si="56"/>
        <v>7512.8849999999993</v>
      </c>
      <c r="AD237" s="6">
        <f t="shared" si="57"/>
        <v>2003.4360000000001</v>
      </c>
      <c r="AE237" s="6">
        <f t="shared" si="58"/>
        <v>17432.196</v>
      </c>
      <c r="AF237" s="5">
        <f t="shared" si="59"/>
        <v>116.21464</v>
      </c>
      <c r="AG237" s="207"/>
    </row>
    <row r="238" spans="1:33" x14ac:dyDescent="0.2">
      <c r="A238" s="229">
        <v>635</v>
      </c>
      <c r="B238" s="1" t="str">
        <f t="shared" si="45"/>
        <v>2.34, NT Plant-Twin Row 12R-36</v>
      </c>
      <c r="C238" s="155">
        <v>2.34</v>
      </c>
      <c r="D238" s="151" t="s">
        <v>436</v>
      </c>
      <c r="E238" s="151" t="s">
        <v>283</v>
      </c>
      <c r="F238" s="151" t="s">
        <v>200</v>
      </c>
      <c r="G238" s="151" t="str">
        <f t="shared" si="46"/>
        <v>NT Plant-Twin Row 12R-36</v>
      </c>
      <c r="H238" s="30">
        <v>131300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2489.7529345583707</v>
      </c>
      <c r="W238" s="9">
        <f t="shared" si="50"/>
        <v>16.598352897055804</v>
      </c>
      <c r="X238" s="8">
        <f t="shared" si="51"/>
        <v>7385.625</v>
      </c>
      <c r="Y238" s="7">
        <f t="shared" si="52"/>
        <v>49.237499999999997</v>
      </c>
      <c r="Z238" s="2">
        <f t="shared" si="53"/>
        <v>59085</v>
      </c>
      <c r="AA238" s="2">
        <f t="shared" si="54"/>
        <v>9026.875</v>
      </c>
      <c r="AB238" s="2">
        <f t="shared" si="55"/>
        <v>95192.5</v>
      </c>
      <c r="AC238" s="6">
        <f t="shared" si="56"/>
        <v>8567.3249999999989</v>
      </c>
      <c r="AD238" s="6">
        <f t="shared" si="57"/>
        <v>2284.62</v>
      </c>
      <c r="AE238" s="6">
        <f t="shared" si="58"/>
        <v>19878.819999999996</v>
      </c>
      <c r="AF238" s="5">
        <f t="shared" si="59"/>
        <v>132.52546666666663</v>
      </c>
      <c r="AG238" s="207"/>
    </row>
    <row r="239" spans="1:33" x14ac:dyDescent="0.2">
      <c r="A239" s="229">
        <v>694</v>
      </c>
      <c r="B239" s="1" t="str">
        <f t="shared" si="45"/>
        <v>2.35, One Trip Plow 4R-36</v>
      </c>
      <c r="C239" s="155">
        <v>2.35</v>
      </c>
      <c r="D239" s="151" t="s">
        <v>436</v>
      </c>
      <c r="E239" s="151" t="s">
        <v>284</v>
      </c>
      <c r="F239" s="151" t="s">
        <v>73</v>
      </c>
      <c r="G239" s="151" t="str">
        <f t="shared" si="46"/>
        <v>One Trip Plow 4R-36</v>
      </c>
      <c r="H239" s="30">
        <v>21412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406.02124778951901</v>
      </c>
      <c r="W239" s="9">
        <f t="shared" si="50"/>
        <v>2.7068083185967935</v>
      </c>
      <c r="X239" s="8">
        <f t="shared" si="51"/>
        <v>1498.84</v>
      </c>
      <c r="Y239" s="7">
        <f t="shared" si="52"/>
        <v>9.9922666666666657</v>
      </c>
      <c r="Z239" s="2">
        <f t="shared" si="53"/>
        <v>6423.6</v>
      </c>
      <c r="AA239" s="2">
        <f t="shared" si="54"/>
        <v>1498.84</v>
      </c>
      <c r="AB239" s="2">
        <f t="shared" si="55"/>
        <v>13917.8</v>
      </c>
      <c r="AC239" s="6">
        <f t="shared" si="56"/>
        <v>1252.6019999999999</v>
      </c>
      <c r="AD239" s="6">
        <f t="shared" si="57"/>
        <v>334.02719999999999</v>
      </c>
      <c r="AE239" s="6">
        <f t="shared" si="58"/>
        <v>3085.4692</v>
      </c>
      <c r="AF239" s="5">
        <f t="shared" si="59"/>
        <v>20.569794666666667</v>
      </c>
      <c r="AG239" s="207"/>
    </row>
    <row r="240" spans="1:33" x14ac:dyDescent="0.2">
      <c r="A240" s="229">
        <v>695</v>
      </c>
      <c r="B240" s="1" t="str">
        <f t="shared" si="45"/>
        <v>2.36, One Trip Plow 6R-36</v>
      </c>
      <c r="C240" s="155">
        <v>2.36</v>
      </c>
      <c r="D240" s="151" t="s">
        <v>436</v>
      </c>
      <c r="E240" s="151" t="s">
        <v>284</v>
      </c>
      <c r="F240" s="151" t="s">
        <v>206</v>
      </c>
      <c r="G240" s="151" t="str">
        <f t="shared" si="46"/>
        <v>One Trip Plow 6R-36</v>
      </c>
      <c r="H240" s="30">
        <v>27169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515.18733799707832</v>
      </c>
      <c r="W240" s="9">
        <f t="shared" si="50"/>
        <v>3.4345822533138555</v>
      </c>
      <c r="X240" s="8">
        <f t="shared" si="51"/>
        <v>1901.83</v>
      </c>
      <c r="Y240" s="7">
        <f t="shared" si="52"/>
        <v>12.678866666666666</v>
      </c>
      <c r="Z240" s="2">
        <f t="shared" si="53"/>
        <v>8150.7</v>
      </c>
      <c r="AA240" s="2">
        <f t="shared" si="54"/>
        <v>1901.83</v>
      </c>
      <c r="AB240" s="2">
        <f t="shared" si="55"/>
        <v>17659.849999999999</v>
      </c>
      <c r="AC240" s="6">
        <f t="shared" si="56"/>
        <v>1589.3864999999998</v>
      </c>
      <c r="AD240" s="6">
        <f t="shared" si="57"/>
        <v>423.83639999999997</v>
      </c>
      <c r="AE240" s="6">
        <f t="shared" si="58"/>
        <v>3915.0528999999997</v>
      </c>
      <c r="AF240" s="5">
        <f t="shared" si="59"/>
        <v>26.100352666666666</v>
      </c>
      <c r="AG240" s="207"/>
    </row>
    <row r="241" spans="1:33" x14ac:dyDescent="0.2">
      <c r="A241" s="229">
        <v>696</v>
      </c>
      <c r="B241" s="1" t="str">
        <f t="shared" si="45"/>
        <v>2.37, One Trip Plow 8R-36</v>
      </c>
      <c r="C241" s="155">
        <v>2.37</v>
      </c>
      <c r="D241" s="151" t="s">
        <v>436</v>
      </c>
      <c r="E241" s="151" t="s">
        <v>284</v>
      </c>
      <c r="F241" s="151" t="s">
        <v>205</v>
      </c>
      <c r="G241" s="151" t="str">
        <f t="shared" si="46"/>
        <v>One Trip Plow 8R-36</v>
      </c>
      <c r="H241" s="30">
        <v>32017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607.11667711923349</v>
      </c>
      <c r="W241" s="9">
        <f t="shared" si="50"/>
        <v>4.0474445141282231</v>
      </c>
      <c r="X241" s="8">
        <f t="shared" si="51"/>
        <v>2241.19</v>
      </c>
      <c r="Y241" s="7">
        <f t="shared" si="52"/>
        <v>14.941266666666667</v>
      </c>
      <c r="Z241" s="2">
        <f t="shared" si="53"/>
        <v>9605.1</v>
      </c>
      <c r="AA241" s="2">
        <f t="shared" si="54"/>
        <v>2241.19</v>
      </c>
      <c r="AB241" s="2">
        <f t="shared" si="55"/>
        <v>20811.05</v>
      </c>
      <c r="AC241" s="6">
        <f t="shared" si="56"/>
        <v>1872.9944999999998</v>
      </c>
      <c r="AD241" s="6">
        <f t="shared" si="57"/>
        <v>499.46519999999998</v>
      </c>
      <c r="AE241" s="6">
        <f t="shared" si="58"/>
        <v>4613.649699999999</v>
      </c>
      <c r="AF241" s="5">
        <f t="shared" si="59"/>
        <v>30.75766466666666</v>
      </c>
      <c r="AG241" s="207"/>
    </row>
    <row r="242" spans="1:33" x14ac:dyDescent="0.2">
      <c r="A242" s="229">
        <v>567</v>
      </c>
      <c r="B242" s="1" t="str">
        <f t="shared" si="45"/>
        <v>2.38, Peanut Plant &amp; Pre Fold. 12R-36</v>
      </c>
      <c r="C242" s="155">
        <v>2.38</v>
      </c>
      <c r="D242" s="151" t="s">
        <v>436</v>
      </c>
      <c r="E242" s="151" t="s">
        <v>285</v>
      </c>
      <c r="F242" s="151" t="s">
        <v>200</v>
      </c>
      <c r="G242" s="151" t="str">
        <f t="shared" si="46"/>
        <v>Peanut Plant &amp; Pre Fold. 12R-36</v>
      </c>
      <c r="H242" s="236">
        <v>78376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1486.1909824748429</v>
      </c>
      <c r="W242" s="9">
        <f t="shared" si="50"/>
        <v>9.9079398831656196</v>
      </c>
      <c r="X242" s="8">
        <f t="shared" si="51"/>
        <v>4408.6499999999996</v>
      </c>
      <c r="Y242" s="7">
        <f t="shared" si="52"/>
        <v>29.390999999999998</v>
      </c>
      <c r="Z242" s="2">
        <f t="shared" si="53"/>
        <v>35269.199999999997</v>
      </c>
      <c r="AA242" s="2">
        <f t="shared" si="54"/>
        <v>5388.35</v>
      </c>
      <c r="AB242" s="2">
        <f t="shared" si="55"/>
        <v>56822.6</v>
      </c>
      <c r="AC242" s="6">
        <f t="shared" si="56"/>
        <v>5114.0339999999997</v>
      </c>
      <c r="AD242" s="6">
        <f t="shared" si="57"/>
        <v>1363.7424000000001</v>
      </c>
      <c r="AE242" s="6">
        <f t="shared" si="58"/>
        <v>11866.126400000001</v>
      </c>
      <c r="AF242" s="5">
        <f t="shared" si="59"/>
        <v>79.10750933333334</v>
      </c>
      <c r="AG242" s="207"/>
    </row>
    <row r="243" spans="1:33" x14ac:dyDescent="0.2">
      <c r="A243" s="229">
        <v>568</v>
      </c>
      <c r="B243" s="1" t="str">
        <f t="shared" si="45"/>
        <v>2.39, Peanut Plant &amp; Pre Rigid  8R-30</v>
      </c>
      <c r="C243" s="155">
        <v>2.39</v>
      </c>
      <c r="D243" s="151" t="s">
        <v>436</v>
      </c>
      <c r="E243" s="151" t="s">
        <v>286</v>
      </c>
      <c r="F243" s="151" t="s">
        <v>25</v>
      </c>
      <c r="G243" s="151" t="str">
        <f t="shared" si="46"/>
        <v>Peanut Plant &amp; Pre Rigid  8R-30</v>
      </c>
      <c r="H243" s="236">
        <v>40501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767.9930205830052</v>
      </c>
      <c r="W243" s="9">
        <f t="shared" si="50"/>
        <v>5.1199534705533685</v>
      </c>
      <c r="X243" s="8">
        <f t="shared" si="51"/>
        <v>2278.1812500000001</v>
      </c>
      <c r="Y243" s="7">
        <f t="shared" si="52"/>
        <v>15.187875</v>
      </c>
      <c r="Z243" s="2">
        <f t="shared" si="53"/>
        <v>18225.45</v>
      </c>
      <c r="AA243" s="2">
        <f t="shared" si="54"/>
        <v>2784.4437499999999</v>
      </c>
      <c r="AB243" s="2">
        <f t="shared" si="55"/>
        <v>29363.224999999999</v>
      </c>
      <c r="AC243" s="6">
        <f t="shared" si="56"/>
        <v>2642.6902499999997</v>
      </c>
      <c r="AD243" s="6">
        <f t="shared" si="57"/>
        <v>704.7174</v>
      </c>
      <c r="AE243" s="6">
        <f t="shared" si="58"/>
        <v>6131.8513999999996</v>
      </c>
      <c r="AF243" s="5">
        <f t="shared" si="59"/>
        <v>40.879009333333329</v>
      </c>
      <c r="AG243" s="207"/>
    </row>
    <row r="244" spans="1:33" x14ac:dyDescent="0.2">
      <c r="A244" s="229">
        <v>569</v>
      </c>
      <c r="B244" s="1" t="str">
        <f t="shared" si="45"/>
        <v>2.4, Peanut Plant &amp; Pre Rigid  8R-36</v>
      </c>
      <c r="C244" s="155">
        <v>2.4</v>
      </c>
      <c r="D244" s="151" t="s">
        <v>436</v>
      </c>
      <c r="E244" s="151" t="s">
        <v>286</v>
      </c>
      <c r="F244" s="151" t="s">
        <v>199</v>
      </c>
      <c r="G244" s="151" t="str">
        <f t="shared" si="46"/>
        <v>Peanut Plant &amp; Pre Rigid  8R-36</v>
      </c>
      <c r="H244" s="236">
        <v>37976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720.11315645688262</v>
      </c>
      <c r="W244" s="9">
        <f t="shared" si="50"/>
        <v>4.8007543763792171</v>
      </c>
      <c r="X244" s="8">
        <f t="shared" si="51"/>
        <v>2136.15</v>
      </c>
      <c r="Y244" s="7">
        <f t="shared" si="52"/>
        <v>14.241000000000001</v>
      </c>
      <c r="Z244" s="2">
        <f t="shared" si="53"/>
        <v>17089.2</v>
      </c>
      <c r="AA244" s="2">
        <f t="shared" si="54"/>
        <v>2610.85</v>
      </c>
      <c r="AB244" s="2">
        <f t="shared" si="55"/>
        <v>27532.6</v>
      </c>
      <c r="AC244" s="6">
        <f t="shared" si="56"/>
        <v>2477.9339999999997</v>
      </c>
      <c r="AD244" s="6">
        <f t="shared" si="57"/>
        <v>660.78239999999994</v>
      </c>
      <c r="AE244" s="6">
        <f t="shared" si="58"/>
        <v>5749.5663999999997</v>
      </c>
      <c r="AF244" s="5">
        <f t="shared" si="59"/>
        <v>38.330442666666663</v>
      </c>
      <c r="AG244" s="207"/>
    </row>
    <row r="245" spans="1:33" x14ac:dyDescent="0.2">
      <c r="A245" s="229">
        <v>165</v>
      </c>
      <c r="B245" s="1" t="str">
        <f t="shared" si="45"/>
        <v>2.41, Pipe Spool 160 ac 1/4m roll</v>
      </c>
      <c r="C245" s="155">
        <v>2.41</v>
      </c>
      <c r="D245" s="151" t="s">
        <v>436</v>
      </c>
      <c r="E245" s="151" t="s">
        <v>287</v>
      </c>
      <c r="F245" s="151" t="s">
        <v>64</v>
      </c>
      <c r="G245" s="151" t="str">
        <f t="shared" si="46"/>
        <v>Pipe Spool 160 ac 1/4m roll</v>
      </c>
      <c r="H245" s="236">
        <v>3413.8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2.5770900900011786</v>
      </c>
      <c r="W245" s="9">
        <f t="shared" si="50"/>
        <v>0.17180600600007859</v>
      </c>
      <c r="X245" s="8">
        <f t="shared" si="51"/>
        <v>28.448333333333334</v>
      </c>
      <c r="Y245" s="7">
        <f t="shared" si="52"/>
        <v>1.8965555555555556</v>
      </c>
      <c r="Z245" s="2">
        <f t="shared" si="53"/>
        <v>1024.1400000000001</v>
      </c>
      <c r="AA245" s="2">
        <f t="shared" si="54"/>
        <v>199.13833333333332</v>
      </c>
      <c r="AB245" s="2">
        <f t="shared" si="55"/>
        <v>2218.9700000000003</v>
      </c>
      <c r="AC245" s="6">
        <f t="shared" si="56"/>
        <v>199.7073</v>
      </c>
      <c r="AD245" s="6">
        <f t="shared" si="57"/>
        <v>53.255280000000006</v>
      </c>
      <c r="AE245" s="6">
        <f t="shared" si="58"/>
        <v>452.10091333333338</v>
      </c>
      <c r="AF245" s="5">
        <f t="shared" si="59"/>
        <v>30.140060888888893</v>
      </c>
      <c r="AG245" s="207"/>
    </row>
    <row r="246" spans="1:33" x14ac:dyDescent="0.2">
      <c r="A246" s="229">
        <v>144</v>
      </c>
      <c r="B246" s="1" t="str">
        <f t="shared" si="45"/>
        <v>2.42, Pipe Trailer 1m/160a 30'</v>
      </c>
      <c r="C246" s="155">
        <v>2.42</v>
      </c>
      <c r="D246" s="151" t="s">
        <v>436</v>
      </c>
      <c r="E246" s="151" t="s">
        <v>288</v>
      </c>
      <c r="F246" s="151" t="s">
        <v>44</v>
      </c>
      <c r="G246" s="151" t="str">
        <f t="shared" si="46"/>
        <v>Pipe Trailer 1m/160a 30'</v>
      </c>
      <c r="H246" s="236">
        <v>1343.3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14.438988779521857</v>
      </c>
      <c r="W246" s="9">
        <f t="shared" si="50"/>
        <v>0.14438988779521858</v>
      </c>
      <c r="X246" s="8">
        <f t="shared" si="51"/>
        <v>26.866</v>
      </c>
      <c r="Y246" s="7">
        <f t="shared" si="52"/>
        <v>0.26866000000000001</v>
      </c>
      <c r="Z246" s="2">
        <f t="shared" si="53"/>
        <v>335.82499999999999</v>
      </c>
      <c r="AA246" s="2">
        <f t="shared" si="54"/>
        <v>67.164999999999992</v>
      </c>
      <c r="AB246" s="2">
        <f t="shared" si="55"/>
        <v>839.5625</v>
      </c>
      <c r="AC246" s="6">
        <f t="shared" si="56"/>
        <v>75.560625000000002</v>
      </c>
      <c r="AD246" s="6">
        <f t="shared" si="57"/>
        <v>20.1495</v>
      </c>
      <c r="AE246" s="6">
        <f t="shared" si="58"/>
        <v>162.87512499999997</v>
      </c>
      <c r="AF246" s="5">
        <f t="shared" si="59"/>
        <v>1.6287512499999997</v>
      </c>
      <c r="AG246" s="207"/>
    </row>
    <row r="247" spans="1:33" x14ac:dyDescent="0.2">
      <c r="A247" s="229">
        <v>332</v>
      </c>
      <c r="B247" s="1" t="str">
        <f t="shared" si="45"/>
        <v>2.43, Plant - Folding 12R-20</v>
      </c>
      <c r="C247" s="155">
        <v>2.4300000000000002</v>
      </c>
      <c r="D247" s="151" t="s">
        <v>436</v>
      </c>
      <c r="E247" s="151" t="s">
        <v>289</v>
      </c>
      <c r="F247" s="151" t="s">
        <v>50</v>
      </c>
      <c r="G247" s="151" t="str">
        <f t="shared" si="46"/>
        <v>Plant - Folding 12R-20</v>
      </c>
      <c r="H247" s="30">
        <v>61610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1168.2686846773895</v>
      </c>
      <c r="W247" s="9">
        <f t="shared" si="50"/>
        <v>7.7884578978492636</v>
      </c>
      <c r="X247" s="8">
        <f t="shared" si="51"/>
        <v>3465.5625</v>
      </c>
      <c r="Y247" s="7">
        <f t="shared" si="52"/>
        <v>23.103750000000002</v>
      </c>
      <c r="Z247" s="2">
        <f t="shared" si="53"/>
        <v>27724.5</v>
      </c>
      <c r="AA247" s="2">
        <f t="shared" si="54"/>
        <v>4235.6875</v>
      </c>
      <c r="AB247" s="2">
        <f t="shared" si="55"/>
        <v>44667.25</v>
      </c>
      <c r="AC247" s="6">
        <f t="shared" si="56"/>
        <v>4020.0524999999998</v>
      </c>
      <c r="AD247" s="6">
        <f t="shared" si="57"/>
        <v>1072.0140000000001</v>
      </c>
      <c r="AE247" s="6">
        <f t="shared" si="58"/>
        <v>9327.7540000000008</v>
      </c>
      <c r="AF247" s="5">
        <f t="shared" si="59"/>
        <v>62.185026666666673</v>
      </c>
      <c r="AG247" s="207"/>
    </row>
    <row r="248" spans="1:33" x14ac:dyDescent="0.2">
      <c r="A248" s="229">
        <v>334</v>
      </c>
      <c r="B248" s="1" t="str">
        <f t="shared" si="45"/>
        <v>2.44, Plant - Folding  8R-36</v>
      </c>
      <c r="C248" s="155">
        <v>2.44</v>
      </c>
      <c r="D248" s="151" t="s">
        <v>436</v>
      </c>
      <c r="E248" s="151" t="s">
        <v>289</v>
      </c>
      <c r="F248" s="151" t="s">
        <v>199</v>
      </c>
      <c r="G248" s="151" t="str">
        <f t="shared" si="46"/>
        <v>Plant - Folding  8R-36</v>
      </c>
      <c r="H248" s="30">
        <v>40299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764.16263145291543</v>
      </c>
      <c r="W248" s="9">
        <f t="shared" si="50"/>
        <v>5.0944175430194365</v>
      </c>
      <c r="X248" s="8">
        <f t="shared" si="51"/>
        <v>2266.8187499999999</v>
      </c>
      <c r="Y248" s="7">
        <f t="shared" si="52"/>
        <v>15.112124999999999</v>
      </c>
      <c r="Z248" s="2">
        <f t="shared" si="53"/>
        <v>18134.55</v>
      </c>
      <c r="AA248" s="2">
        <f t="shared" si="54"/>
        <v>2770.5562500000001</v>
      </c>
      <c r="AB248" s="2">
        <f t="shared" si="55"/>
        <v>29216.775000000001</v>
      </c>
      <c r="AC248" s="6">
        <f t="shared" si="56"/>
        <v>2629.5097500000002</v>
      </c>
      <c r="AD248" s="6">
        <f t="shared" si="57"/>
        <v>701.20260000000007</v>
      </c>
      <c r="AE248" s="6">
        <f t="shared" si="58"/>
        <v>6101.2686000000012</v>
      </c>
      <c r="AF248" s="5">
        <f t="shared" si="59"/>
        <v>40.675124000000011</v>
      </c>
      <c r="AG248" s="207"/>
    </row>
    <row r="249" spans="1:33" x14ac:dyDescent="0.2">
      <c r="A249" s="229">
        <v>353</v>
      </c>
      <c r="B249" s="1" t="str">
        <f t="shared" si="45"/>
        <v>2.45, Plant - Folding 23R-15</v>
      </c>
      <c r="C249" s="155">
        <v>2.4500000000000002</v>
      </c>
      <c r="D249" s="151" t="s">
        <v>436</v>
      </c>
      <c r="E249" s="151" t="s">
        <v>289</v>
      </c>
      <c r="F249" s="151" t="s">
        <v>62</v>
      </c>
      <c r="G249" s="151" t="str">
        <f t="shared" si="46"/>
        <v>Plant - Folding 23R-15</v>
      </c>
      <c r="H249" s="30">
        <v>117160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2221.625695452085</v>
      </c>
      <c r="W249" s="9">
        <f t="shared" si="50"/>
        <v>14.810837969680566</v>
      </c>
      <c r="X249" s="8">
        <f t="shared" si="51"/>
        <v>6590.25</v>
      </c>
      <c r="Y249" s="7">
        <f t="shared" si="52"/>
        <v>43.935000000000002</v>
      </c>
      <c r="Z249" s="2">
        <f t="shared" si="53"/>
        <v>52722</v>
      </c>
      <c r="AA249" s="2">
        <f t="shared" si="54"/>
        <v>8054.75</v>
      </c>
      <c r="AB249" s="2">
        <f t="shared" si="55"/>
        <v>84941</v>
      </c>
      <c r="AC249" s="6">
        <f t="shared" si="56"/>
        <v>7644.69</v>
      </c>
      <c r="AD249" s="6">
        <f t="shared" si="57"/>
        <v>2038.5840000000001</v>
      </c>
      <c r="AE249" s="6">
        <f t="shared" si="58"/>
        <v>17738.023999999998</v>
      </c>
      <c r="AF249" s="5">
        <f t="shared" si="59"/>
        <v>118.25349333333332</v>
      </c>
      <c r="AG249" s="207"/>
    </row>
    <row r="250" spans="1:33" x14ac:dyDescent="0.2">
      <c r="A250" s="229">
        <v>337</v>
      </c>
      <c r="B250" s="1" t="str">
        <f t="shared" si="45"/>
        <v>2.46, Plant - Folding 12R-30</v>
      </c>
      <c r="C250" s="155">
        <v>2.46</v>
      </c>
      <c r="D250" s="151" t="s">
        <v>436</v>
      </c>
      <c r="E250" s="151" t="s">
        <v>289</v>
      </c>
      <c r="F250" s="151" t="s">
        <v>6</v>
      </c>
      <c r="G250" s="151" t="str">
        <f t="shared" si="46"/>
        <v>Plant - Folding 12R-30</v>
      </c>
      <c r="H250" s="30">
        <v>62014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1175.9294629375693</v>
      </c>
      <c r="W250" s="9">
        <f t="shared" si="50"/>
        <v>7.8395297529171284</v>
      </c>
      <c r="X250" s="8">
        <f t="shared" si="51"/>
        <v>3488.2874999999999</v>
      </c>
      <c r="Y250" s="7">
        <f t="shared" si="52"/>
        <v>23.25525</v>
      </c>
      <c r="Z250" s="2">
        <f t="shared" si="53"/>
        <v>27906.3</v>
      </c>
      <c r="AA250" s="2">
        <f t="shared" si="54"/>
        <v>4263.4624999999996</v>
      </c>
      <c r="AB250" s="2">
        <f t="shared" si="55"/>
        <v>44960.15</v>
      </c>
      <c r="AC250" s="6">
        <f t="shared" si="56"/>
        <v>4046.4135000000001</v>
      </c>
      <c r="AD250" s="6">
        <f t="shared" si="57"/>
        <v>1079.0436</v>
      </c>
      <c r="AE250" s="6">
        <f t="shared" si="58"/>
        <v>9388.9196000000011</v>
      </c>
      <c r="AF250" s="5">
        <f t="shared" si="59"/>
        <v>62.592797333333344</v>
      </c>
      <c r="AG250" s="207"/>
    </row>
    <row r="251" spans="1:33" x14ac:dyDescent="0.2">
      <c r="A251" s="229">
        <v>546</v>
      </c>
      <c r="B251" s="1" t="str">
        <f t="shared" si="45"/>
        <v>2.47, Plant - Folding 24R-15</v>
      </c>
      <c r="C251" s="155">
        <v>2.4700000000000002</v>
      </c>
      <c r="D251" s="151" t="s">
        <v>436</v>
      </c>
      <c r="E251" s="151" t="s">
        <v>289</v>
      </c>
      <c r="F251" s="151" t="s">
        <v>61</v>
      </c>
      <c r="G251" s="151" t="str">
        <f t="shared" si="46"/>
        <v>Plant - Folding 24R-15</v>
      </c>
      <c r="H251" s="30">
        <v>120190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2279.081532403432</v>
      </c>
      <c r="W251" s="9">
        <f t="shared" si="50"/>
        <v>15.193876882689546</v>
      </c>
      <c r="X251" s="8">
        <f t="shared" si="51"/>
        <v>6760.6875</v>
      </c>
      <c r="Y251" s="7">
        <f t="shared" si="52"/>
        <v>45.071249999999999</v>
      </c>
      <c r="Z251" s="2">
        <f t="shared" si="53"/>
        <v>54085.5</v>
      </c>
      <c r="AA251" s="2">
        <f t="shared" si="54"/>
        <v>8263.0625</v>
      </c>
      <c r="AB251" s="2">
        <f t="shared" si="55"/>
        <v>87137.75</v>
      </c>
      <c r="AC251" s="6">
        <f t="shared" si="56"/>
        <v>7842.3975</v>
      </c>
      <c r="AD251" s="6">
        <f t="shared" si="57"/>
        <v>2091.306</v>
      </c>
      <c r="AE251" s="6">
        <f t="shared" si="58"/>
        <v>18196.766</v>
      </c>
      <c r="AF251" s="5">
        <f t="shared" si="59"/>
        <v>121.31177333333333</v>
      </c>
      <c r="AG251" s="207"/>
    </row>
    <row r="252" spans="1:33" x14ac:dyDescent="0.2">
      <c r="A252" s="229">
        <v>333</v>
      </c>
      <c r="B252" s="1" t="str">
        <f t="shared" si="45"/>
        <v>2.48, Plant - Folding  8R-36 2x1</v>
      </c>
      <c r="C252" s="155">
        <v>2.48</v>
      </c>
      <c r="D252" s="151" t="s">
        <v>436</v>
      </c>
      <c r="E252" s="151" t="s">
        <v>289</v>
      </c>
      <c r="F252" s="151" t="s">
        <v>203</v>
      </c>
      <c r="G252" s="151" t="str">
        <f t="shared" si="46"/>
        <v>Plant - Folding  8R-36 2x1</v>
      </c>
      <c r="H252" s="30">
        <v>70902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1344.4665846615203</v>
      </c>
      <c r="W252" s="9">
        <f t="shared" si="50"/>
        <v>8.963110564410135</v>
      </c>
      <c r="X252" s="8">
        <f t="shared" si="51"/>
        <v>3988.2375000000002</v>
      </c>
      <c r="Y252" s="7">
        <f t="shared" si="52"/>
        <v>26.588250000000002</v>
      </c>
      <c r="Z252" s="2">
        <f t="shared" si="53"/>
        <v>31905.9</v>
      </c>
      <c r="AA252" s="2">
        <f t="shared" si="54"/>
        <v>4874.5124999999998</v>
      </c>
      <c r="AB252" s="2">
        <f t="shared" si="55"/>
        <v>51403.95</v>
      </c>
      <c r="AC252" s="6">
        <f t="shared" si="56"/>
        <v>4626.3554999999997</v>
      </c>
      <c r="AD252" s="6">
        <f t="shared" si="57"/>
        <v>1233.6948</v>
      </c>
      <c r="AE252" s="6">
        <f t="shared" si="58"/>
        <v>10734.562799999998</v>
      </c>
      <c r="AF252" s="5">
        <f t="shared" si="59"/>
        <v>71.56375199999998</v>
      </c>
      <c r="AG252" s="207"/>
    </row>
    <row r="253" spans="1:33" x14ac:dyDescent="0.2">
      <c r="A253" s="229">
        <v>260</v>
      </c>
      <c r="B253" s="1" t="str">
        <f t="shared" si="45"/>
        <v>2.49, Plant - Folding 12R-36</v>
      </c>
      <c r="C253" s="155">
        <v>2.4900000000000002</v>
      </c>
      <c r="D253" s="151" t="s">
        <v>436</v>
      </c>
      <c r="E253" s="151" t="s">
        <v>289</v>
      </c>
      <c r="F253" s="151" t="s">
        <v>200</v>
      </c>
      <c r="G253" s="151" t="str">
        <f t="shared" si="46"/>
        <v>Plant - Folding 12R-36</v>
      </c>
      <c r="H253" s="30">
        <v>70902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1344.4665846615203</v>
      </c>
      <c r="W253" s="9">
        <f t="shared" si="50"/>
        <v>8.963110564410135</v>
      </c>
      <c r="X253" s="8">
        <f t="shared" si="51"/>
        <v>3988.2375000000002</v>
      </c>
      <c r="Y253" s="7">
        <f t="shared" si="52"/>
        <v>26.588250000000002</v>
      </c>
      <c r="Z253" s="2">
        <f t="shared" si="53"/>
        <v>31905.9</v>
      </c>
      <c r="AA253" s="2">
        <f t="shared" si="54"/>
        <v>4874.5124999999998</v>
      </c>
      <c r="AB253" s="2">
        <f t="shared" si="55"/>
        <v>51403.95</v>
      </c>
      <c r="AC253" s="6">
        <f t="shared" si="56"/>
        <v>4626.3554999999997</v>
      </c>
      <c r="AD253" s="6">
        <f t="shared" si="57"/>
        <v>1233.6948</v>
      </c>
      <c r="AE253" s="6">
        <f t="shared" si="58"/>
        <v>10734.562799999998</v>
      </c>
      <c r="AF253" s="5">
        <f t="shared" si="59"/>
        <v>71.56375199999998</v>
      </c>
      <c r="AG253" s="207"/>
    </row>
    <row r="254" spans="1:33" x14ac:dyDescent="0.2">
      <c r="A254" s="229">
        <v>550</v>
      </c>
      <c r="B254" s="1" t="str">
        <f t="shared" si="45"/>
        <v>2.5, Plant - Folding 31R-15</v>
      </c>
      <c r="C254" s="155">
        <v>2.5</v>
      </c>
      <c r="D254" s="151" t="s">
        <v>436</v>
      </c>
      <c r="E254" s="151" t="s">
        <v>289</v>
      </c>
      <c r="F254" s="151" t="s">
        <v>60</v>
      </c>
      <c r="G254" s="151" t="str">
        <f t="shared" si="46"/>
        <v>Plant - Folding 31R-15</v>
      </c>
      <c r="H254" s="30">
        <v>133320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2528.0568258592689</v>
      </c>
      <c r="W254" s="9">
        <f t="shared" si="50"/>
        <v>16.853712172395127</v>
      </c>
      <c r="X254" s="8">
        <f t="shared" si="51"/>
        <v>7499.25</v>
      </c>
      <c r="Y254" s="7">
        <f t="shared" si="52"/>
        <v>49.994999999999997</v>
      </c>
      <c r="Z254" s="2">
        <f t="shared" si="53"/>
        <v>59994</v>
      </c>
      <c r="AA254" s="2">
        <f t="shared" si="54"/>
        <v>9165.75</v>
      </c>
      <c r="AB254" s="2">
        <f t="shared" si="55"/>
        <v>96657</v>
      </c>
      <c r="AC254" s="6">
        <f t="shared" si="56"/>
        <v>8699.1299999999992</v>
      </c>
      <c r="AD254" s="6">
        <f t="shared" si="57"/>
        <v>2319.768</v>
      </c>
      <c r="AE254" s="6">
        <f t="shared" si="58"/>
        <v>20184.647999999997</v>
      </c>
      <c r="AF254" s="5">
        <f t="shared" si="59"/>
        <v>134.56431999999998</v>
      </c>
      <c r="AG254" s="207"/>
    </row>
    <row r="255" spans="1:33" x14ac:dyDescent="0.2">
      <c r="A255" s="229">
        <v>338</v>
      </c>
      <c r="B255" s="1" t="str">
        <f t="shared" si="45"/>
        <v>2.51, Plant - Folding 16R-30</v>
      </c>
      <c r="C255" s="155">
        <v>2.5099999999999998</v>
      </c>
      <c r="D255" s="151" t="s">
        <v>436</v>
      </c>
      <c r="E255" s="151" t="s">
        <v>289</v>
      </c>
      <c r="F255" s="151" t="s">
        <v>59</v>
      </c>
      <c r="G255" s="151" t="str">
        <f t="shared" si="46"/>
        <v>Plant - Folding 16R-30</v>
      </c>
      <c r="H255" s="30">
        <v>89789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1702.6079683249168</v>
      </c>
      <c r="W255" s="9">
        <f t="shared" si="50"/>
        <v>11.350719788832778</v>
      </c>
      <c r="X255" s="8">
        <f t="shared" si="51"/>
        <v>5050.6312500000004</v>
      </c>
      <c r="Y255" s="7">
        <f t="shared" si="52"/>
        <v>33.670875000000002</v>
      </c>
      <c r="Z255" s="2">
        <f t="shared" si="53"/>
        <v>40405.050000000003</v>
      </c>
      <c r="AA255" s="2">
        <f t="shared" si="54"/>
        <v>6172.9937499999996</v>
      </c>
      <c r="AB255" s="2">
        <f t="shared" si="55"/>
        <v>65097.025000000001</v>
      </c>
      <c r="AC255" s="6">
        <f t="shared" si="56"/>
        <v>5858.73225</v>
      </c>
      <c r="AD255" s="6">
        <f t="shared" si="57"/>
        <v>1562.3286000000001</v>
      </c>
      <c r="AE255" s="6">
        <f t="shared" si="58"/>
        <v>13594.054599999999</v>
      </c>
      <c r="AF255" s="5">
        <f t="shared" si="59"/>
        <v>90.62703066666667</v>
      </c>
      <c r="AG255" s="207"/>
    </row>
    <row r="256" spans="1:33" x14ac:dyDescent="0.2">
      <c r="A256" s="229">
        <v>339</v>
      </c>
      <c r="B256" s="1" t="str">
        <f t="shared" si="45"/>
        <v>2.52, Plant - Folding 24R-20</v>
      </c>
      <c r="C256" s="155">
        <v>2.52</v>
      </c>
      <c r="D256" s="151" t="s">
        <v>436</v>
      </c>
      <c r="E256" s="151" t="s">
        <v>289</v>
      </c>
      <c r="F256" s="151" t="s">
        <v>58</v>
      </c>
      <c r="G256" s="151" t="str">
        <f t="shared" si="46"/>
        <v>Plant - Folding 24R-20</v>
      </c>
      <c r="H256" s="30">
        <v>130290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2470.6009889079219</v>
      </c>
      <c r="W256" s="9">
        <f t="shared" si="50"/>
        <v>16.470673259386146</v>
      </c>
      <c r="X256" s="8">
        <f t="shared" si="51"/>
        <v>7328.8125</v>
      </c>
      <c r="Y256" s="7">
        <f t="shared" si="52"/>
        <v>48.858750000000001</v>
      </c>
      <c r="Z256" s="2">
        <f t="shared" si="53"/>
        <v>58630.5</v>
      </c>
      <c r="AA256" s="2">
        <f t="shared" si="54"/>
        <v>8957.4375</v>
      </c>
      <c r="AB256" s="2">
        <f t="shared" si="55"/>
        <v>94460.25</v>
      </c>
      <c r="AC256" s="6">
        <f t="shared" si="56"/>
        <v>8501.4225000000006</v>
      </c>
      <c r="AD256" s="6">
        <f t="shared" si="57"/>
        <v>2267.0459999999998</v>
      </c>
      <c r="AE256" s="6">
        <f t="shared" si="58"/>
        <v>19725.905999999999</v>
      </c>
      <c r="AF256" s="5">
        <f t="shared" si="59"/>
        <v>131.50603999999998</v>
      </c>
      <c r="AG256" s="207"/>
    </row>
    <row r="257" spans="1:33" x14ac:dyDescent="0.2">
      <c r="A257" s="229">
        <v>606</v>
      </c>
      <c r="B257" s="1" t="str">
        <f t="shared" si="45"/>
        <v>2.53, Plant - Folding 32R-15</v>
      </c>
      <c r="C257" s="155">
        <v>2.5299999999999998</v>
      </c>
      <c r="D257" s="151" t="s">
        <v>436</v>
      </c>
      <c r="E257" s="151" t="s">
        <v>289</v>
      </c>
      <c r="F257" s="151" t="s">
        <v>57</v>
      </c>
      <c r="G257" s="151" t="str">
        <f t="shared" si="46"/>
        <v>Plant - Folding 32R-15</v>
      </c>
      <c r="H257" s="30">
        <v>148470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2815.3360106160039</v>
      </c>
      <c r="W257" s="9">
        <f t="shared" si="50"/>
        <v>18.768906737440027</v>
      </c>
      <c r="X257" s="8">
        <f t="shared" si="51"/>
        <v>8351.4375</v>
      </c>
      <c r="Y257" s="7">
        <f t="shared" si="52"/>
        <v>55.676250000000003</v>
      </c>
      <c r="Z257" s="2">
        <f t="shared" si="53"/>
        <v>66811.5</v>
      </c>
      <c r="AA257" s="2">
        <f t="shared" si="54"/>
        <v>10207.3125</v>
      </c>
      <c r="AB257" s="2">
        <f t="shared" si="55"/>
        <v>107640.75</v>
      </c>
      <c r="AC257" s="6">
        <f t="shared" si="56"/>
        <v>9687.6674999999996</v>
      </c>
      <c r="AD257" s="6">
        <f t="shared" si="57"/>
        <v>2583.3780000000002</v>
      </c>
      <c r="AE257" s="6">
        <f t="shared" si="58"/>
        <v>22478.358</v>
      </c>
      <c r="AF257" s="5">
        <f t="shared" si="59"/>
        <v>149.85571999999999</v>
      </c>
      <c r="AG257" s="207"/>
    </row>
    <row r="258" spans="1:33" x14ac:dyDescent="0.2">
      <c r="A258" s="229">
        <v>340</v>
      </c>
      <c r="B258" s="1" t="str">
        <f t="shared" si="45"/>
        <v>2.54, Plant - Folding 24R-30</v>
      </c>
      <c r="C258" s="155">
        <v>2.54</v>
      </c>
      <c r="D258" s="151" t="s">
        <v>436</v>
      </c>
      <c r="E258" s="151" t="s">
        <v>289</v>
      </c>
      <c r="F258" s="151" t="s">
        <v>56</v>
      </c>
      <c r="G258" s="151" t="str">
        <f t="shared" si="46"/>
        <v>Plant - Folding 24R-30</v>
      </c>
      <c r="H258" s="30">
        <v>173720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3294.1346518772293</v>
      </c>
      <c r="W258" s="9">
        <f t="shared" si="50"/>
        <v>21.960897679181528</v>
      </c>
      <c r="X258" s="8">
        <f t="shared" si="51"/>
        <v>9771.75</v>
      </c>
      <c r="Y258" s="7">
        <f t="shared" si="52"/>
        <v>65.144999999999996</v>
      </c>
      <c r="Z258" s="2">
        <f t="shared" si="53"/>
        <v>78174</v>
      </c>
      <c r="AA258" s="2">
        <f t="shared" si="54"/>
        <v>11943.25</v>
      </c>
      <c r="AB258" s="2">
        <f t="shared" si="55"/>
        <v>125947</v>
      </c>
      <c r="AC258" s="6">
        <f t="shared" si="56"/>
        <v>11335.23</v>
      </c>
      <c r="AD258" s="6">
        <f t="shared" si="57"/>
        <v>3022.7280000000001</v>
      </c>
      <c r="AE258" s="6">
        <f t="shared" si="58"/>
        <v>26301.207999999999</v>
      </c>
      <c r="AF258" s="5">
        <f t="shared" si="59"/>
        <v>175.34138666666666</v>
      </c>
      <c r="AG258" s="207"/>
    </row>
    <row r="259" spans="1:33" x14ac:dyDescent="0.2">
      <c r="A259" s="229">
        <v>647</v>
      </c>
      <c r="B259" s="1" t="str">
        <f t="shared" si="45"/>
        <v>2.55, Plant - Folding 36R-20</v>
      </c>
      <c r="C259" s="155">
        <v>2.5499999999999998</v>
      </c>
      <c r="D259" s="151" t="s">
        <v>436</v>
      </c>
      <c r="E259" s="151" t="s">
        <v>289</v>
      </c>
      <c r="F259" s="151" t="s">
        <v>55</v>
      </c>
      <c r="G259" s="151" t="str">
        <f t="shared" si="46"/>
        <v>Plant - Folding 36R-20</v>
      </c>
      <c r="H259" s="30">
        <v>196950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3734.6294018375561</v>
      </c>
      <c r="W259" s="9">
        <f t="shared" si="50"/>
        <v>24.897529345583706</v>
      </c>
      <c r="X259" s="8">
        <f t="shared" si="51"/>
        <v>11078.4375</v>
      </c>
      <c r="Y259" s="7">
        <f t="shared" si="52"/>
        <v>73.856250000000003</v>
      </c>
      <c r="Z259" s="2">
        <f t="shared" si="53"/>
        <v>88627.5</v>
      </c>
      <c r="AA259" s="2">
        <f t="shared" si="54"/>
        <v>13540.3125</v>
      </c>
      <c r="AB259" s="2">
        <f t="shared" si="55"/>
        <v>142788.75</v>
      </c>
      <c r="AC259" s="6">
        <f t="shared" si="56"/>
        <v>12850.987499999999</v>
      </c>
      <c r="AD259" s="6">
        <f t="shared" si="57"/>
        <v>3426.9300000000003</v>
      </c>
      <c r="AE259" s="6">
        <f t="shared" si="58"/>
        <v>29818.23</v>
      </c>
      <c r="AF259" s="5">
        <f t="shared" si="59"/>
        <v>198.78819999999999</v>
      </c>
      <c r="AG259" s="207"/>
    </row>
    <row r="260" spans="1:33" x14ac:dyDescent="0.2">
      <c r="A260" s="229">
        <v>330</v>
      </c>
      <c r="B260" s="1" t="str">
        <f t="shared" si="45"/>
        <v>2.56, Plant - Rigid  4R-30</v>
      </c>
      <c r="C260" s="155">
        <v>2.56</v>
      </c>
      <c r="D260" s="151" t="s">
        <v>436</v>
      </c>
      <c r="E260" s="151" t="s">
        <v>290</v>
      </c>
      <c r="F260" s="151" t="s">
        <v>48</v>
      </c>
      <c r="G260" s="151" t="str">
        <f t="shared" si="46"/>
        <v>Plant - Rigid  4R-30</v>
      </c>
      <c r="H260" s="30">
        <v>19796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375.37813474880051</v>
      </c>
      <c r="W260" s="9">
        <f t="shared" si="50"/>
        <v>2.5025208983253369</v>
      </c>
      <c r="X260" s="8">
        <f t="shared" si="51"/>
        <v>1113.5250000000001</v>
      </c>
      <c r="Y260" s="7">
        <f t="shared" si="52"/>
        <v>7.4235000000000007</v>
      </c>
      <c r="Z260" s="2">
        <f t="shared" si="53"/>
        <v>8908.2000000000007</v>
      </c>
      <c r="AA260" s="2">
        <f t="shared" si="54"/>
        <v>1360.9749999999999</v>
      </c>
      <c r="AB260" s="2">
        <f t="shared" si="55"/>
        <v>14352.1</v>
      </c>
      <c r="AC260" s="6">
        <f t="shared" si="56"/>
        <v>1291.6890000000001</v>
      </c>
      <c r="AD260" s="6">
        <f t="shared" si="57"/>
        <v>344.4504</v>
      </c>
      <c r="AE260" s="6">
        <f t="shared" si="58"/>
        <v>2997.1143999999999</v>
      </c>
      <c r="AF260" s="5">
        <f t="shared" si="59"/>
        <v>19.980762666666667</v>
      </c>
      <c r="AG260" s="207"/>
    </row>
    <row r="261" spans="1:33" x14ac:dyDescent="0.2">
      <c r="A261" s="229">
        <v>145</v>
      </c>
      <c r="B261" s="1" t="str">
        <f t="shared" ref="B261:B324" si="60">CONCATENATE(C261,D261,E261,F261)</f>
        <v>2.57, Plant - Rigid  4R-36</v>
      </c>
      <c r="C261" s="155">
        <v>2.57</v>
      </c>
      <c r="D261" s="151" t="s">
        <v>436</v>
      </c>
      <c r="E261" s="151" t="s">
        <v>290</v>
      </c>
      <c r="F261" s="151" t="s">
        <v>201</v>
      </c>
      <c r="G261" s="151" t="str">
        <f t="shared" ref="G261:G324" si="61">CONCATENATE(E261,F261)</f>
        <v>Plant - Rigid  4R-36</v>
      </c>
      <c r="H261" s="30">
        <v>22018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417.51241517978838</v>
      </c>
      <c r="W261" s="9">
        <f t="shared" ref="W261:W324" si="65">V261/P261</f>
        <v>2.7834161011985894</v>
      </c>
      <c r="X261" s="8">
        <f t="shared" ref="X261:X324" si="66">(H261*N261/100)/O261</f>
        <v>1238.5125</v>
      </c>
      <c r="Y261" s="7">
        <f t="shared" ref="Y261:Y324" si="67">X261/P261</f>
        <v>8.2567500000000003</v>
      </c>
      <c r="Z261" s="2">
        <f t="shared" ref="Z261:Z324" si="68">H261*M261/100</f>
        <v>9908.1</v>
      </c>
      <c r="AA261" s="2">
        <f t="shared" ref="AA261:AA324" si="69">(H261-Z261)/O261</f>
        <v>1513.7375</v>
      </c>
      <c r="AB261" s="2">
        <f t="shared" ref="AB261:AB324" si="70">(Z261+H261)/2</f>
        <v>15963.05</v>
      </c>
      <c r="AC261" s="6">
        <f t="shared" ref="AC261:AC324" si="71">AB261*intir</f>
        <v>1436.6744999999999</v>
      </c>
      <c r="AD261" s="6">
        <f t="shared" ref="AD261:AD324" si="72">AB261*itr</f>
        <v>383.11320000000001</v>
      </c>
      <c r="AE261" s="6">
        <f t="shared" ref="AE261:AE324" si="73">AA261+AC261+AD261</f>
        <v>3333.5252</v>
      </c>
      <c r="AF261" s="5">
        <f t="shared" ref="AF261:AF324" si="74">AE261/P261</f>
        <v>22.223501333333335</v>
      </c>
      <c r="AG261" s="207"/>
    </row>
    <row r="262" spans="1:33" x14ac:dyDescent="0.2">
      <c r="A262" s="229">
        <v>529</v>
      </c>
      <c r="B262" s="1" t="str">
        <f t="shared" si="60"/>
        <v>2.58, Plant - Rigid 11R-15</v>
      </c>
      <c r="C262" s="155">
        <v>2.58</v>
      </c>
      <c r="D262" s="151" t="s">
        <v>436</v>
      </c>
      <c r="E262" s="151" t="s">
        <v>290</v>
      </c>
      <c r="F262" s="151" t="s">
        <v>54</v>
      </c>
      <c r="G262" s="151" t="str">
        <f t="shared" si="61"/>
        <v>Plant - Rigid 11R-15</v>
      </c>
      <c r="H262" s="30">
        <v>41410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785.22977166840928</v>
      </c>
      <c r="W262" s="9">
        <f t="shared" si="65"/>
        <v>5.2348651444560623</v>
      </c>
      <c r="X262" s="8">
        <f t="shared" si="66"/>
        <v>2329.3125</v>
      </c>
      <c r="Y262" s="7">
        <f t="shared" si="67"/>
        <v>15.52875</v>
      </c>
      <c r="Z262" s="2">
        <f t="shared" si="68"/>
        <v>18634.5</v>
      </c>
      <c r="AA262" s="2">
        <f t="shared" si="69"/>
        <v>2846.9375</v>
      </c>
      <c r="AB262" s="2">
        <f t="shared" si="70"/>
        <v>30022.25</v>
      </c>
      <c r="AC262" s="6">
        <f t="shared" si="71"/>
        <v>2702.0025000000001</v>
      </c>
      <c r="AD262" s="6">
        <f t="shared" si="72"/>
        <v>720.53399999999999</v>
      </c>
      <c r="AE262" s="6">
        <f t="shared" si="73"/>
        <v>6269.4740000000002</v>
      </c>
      <c r="AF262" s="5">
        <f t="shared" si="74"/>
        <v>41.796493333333338</v>
      </c>
      <c r="AG262" s="207"/>
    </row>
    <row r="263" spans="1:33" x14ac:dyDescent="0.2">
      <c r="A263" s="229">
        <v>146</v>
      </c>
      <c r="B263" s="1" t="str">
        <f t="shared" si="60"/>
        <v>2.59, Plant - Rigid  6R-30</v>
      </c>
      <c r="C263" s="155">
        <v>2.59</v>
      </c>
      <c r="D263" s="151" t="s">
        <v>436</v>
      </c>
      <c r="E263" s="151" t="s">
        <v>290</v>
      </c>
      <c r="F263" s="151" t="s">
        <v>53</v>
      </c>
      <c r="G263" s="151" t="str">
        <f t="shared" si="61"/>
        <v>Plant - Rigid  6R-30</v>
      </c>
      <c r="H263" s="30">
        <v>29593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561.1520075581559</v>
      </c>
      <c r="W263" s="9">
        <f t="shared" si="65"/>
        <v>3.7410133837210395</v>
      </c>
      <c r="X263" s="8">
        <f t="shared" si="66"/>
        <v>1664.60625</v>
      </c>
      <c r="Y263" s="7">
        <f t="shared" si="67"/>
        <v>11.097375</v>
      </c>
      <c r="Z263" s="2">
        <f t="shared" si="68"/>
        <v>13316.85</v>
      </c>
      <c r="AA263" s="2">
        <f t="shared" si="69"/>
        <v>2034.51875</v>
      </c>
      <c r="AB263" s="2">
        <f t="shared" si="70"/>
        <v>21454.924999999999</v>
      </c>
      <c r="AC263" s="6">
        <f t="shared" si="71"/>
        <v>1930.9432499999998</v>
      </c>
      <c r="AD263" s="6">
        <f t="shared" si="72"/>
        <v>514.91819999999996</v>
      </c>
      <c r="AE263" s="6">
        <f t="shared" si="73"/>
        <v>4480.3801999999996</v>
      </c>
      <c r="AF263" s="5">
        <f t="shared" si="74"/>
        <v>29.869201333333329</v>
      </c>
      <c r="AG263" s="207"/>
    </row>
    <row r="264" spans="1:33" x14ac:dyDescent="0.2">
      <c r="A264" s="229">
        <v>147</v>
      </c>
      <c r="B264" s="1" t="str">
        <f t="shared" si="60"/>
        <v>2.6, Plant - Rigid  6R-36</v>
      </c>
      <c r="C264" s="155">
        <v>2.6</v>
      </c>
      <c r="D264" s="151" t="s">
        <v>436</v>
      </c>
      <c r="E264" s="151" t="s">
        <v>290</v>
      </c>
      <c r="F264" s="151" t="s">
        <v>202</v>
      </c>
      <c r="G264" s="151" t="str">
        <f t="shared" si="61"/>
        <v>Plant - Rigid  6R-36</v>
      </c>
      <c r="H264" s="30">
        <v>25755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488.3746140864497</v>
      </c>
      <c r="W264" s="9">
        <f t="shared" si="65"/>
        <v>3.2558307605763313</v>
      </c>
      <c r="X264" s="8">
        <f t="shared" si="66"/>
        <v>1448.71875</v>
      </c>
      <c r="Y264" s="7">
        <f t="shared" si="67"/>
        <v>9.6581250000000001</v>
      </c>
      <c r="Z264" s="2">
        <f t="shared" si="68"/>
        <v>11589.75</v>
      </c>
      <c r="AA264" s="2">
        <f t="shared" si="69"/>
        <v>1770.65625</v>
      </c>
      <c r="AB264" s="2">
        <f t="shared" si="70"/>
        <v>18672.375</v>
      </c>
      <c r="AC264" s="6">
        <f t="shared" si="71"/>
        <v>1680.5137499999998</v>
      </c>
      <c r="AD264" s="6">
        <f t="shared" si="72"/>
        <v>448.137</v>
      </c>
      <c r="AE264" s="6">
        <f t="shared" si="73"/>
        <v>3899.3070000000002</v>
      </c>
      <c r="AF264" s="5">
        <f t="shared" si="74"/>
        <v>25.995380000000001</v>
      </c>
      <c r="AG264" s="207"/>
    </row>
    <row r="265" spans="1:33" x14ac:dyDescent="0.2">
      <c r="A265" s="229">
        <v>534</v>
      </c>
      <c r="B265" s="1" t="str">
        <f t="shared" si="60"/>
        <v>2.61, Plant - Rigid 11R-20</v>
      </c>
      <c r="C265" s="155">
        <v>2.61</v>
      </c>
      <c r="D265" s="151" t="s">
        <v>436</v>
      </c>
      <c r="E265" s="151" t="s">
        <v>290</v>
      </c>
      <c r="F265" s="151" t="s">
        <v>52</v>
      </c>
      <c r="G265" s="151" t="str">
        <f t="shared" si="61"/>
        <v>Plant - Rigid 11R-20</v>
      </c>
      <c r="H265" s="30">
        <v>36966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700.96121080643377</v>
      </c>
      <c r="W265" s="9">
        <f t="shared" si="65"/>
        <v>4.6730747387095581</v>
      </c>
      <c r="X265" s="8">
        <f t="shared" si="66"/>
        <v>2079.3375000000001</v>
      </c>
      <c r="Y265" s="7">
        <f t="shared" si="67"/>
        <v>13.862250000000001</v>
      </c>
      <c r="Z265" s="2">
        <f t="shared" si="68"/>
        <v>16634.7</v>
      </c>
      <c r="AA265" s="2">
        <f t="shared" si="69"/>
        <v>2541.4124999999999</v>
      </c>
      <c r="AB265" s="2">
        <f t="shared" si="70"/>
        <v>26800.35</v>
      </c>
      <c r="AC265" s="6">
        <f t="shared" si="71"/>
        <v>2412.0314999999996</v>
      </c>
      <c r="AD265" s="6">
        <f t="shared" si="72"/>
        <v>643.20839999999998</v>
      </c>
      <c r="AE265" s="6">
        <f t="shared" si="73"/>
        <v>5596.652399999999</v>
      </c>
      <c r="AF265" s="5">
        <f t="shared" si="74"/>
        <v>37.311015999999995</v>
      </c>
      <c r="AG265" s="207"/>
    </row>
    <row r="266" spans="1:33" x14ac:dyDescent="0.2">
      <c r="A266" s="229">
        <v>149</v>
      </c>
      <c r="B266" s="1" t="str">
        <f t="shared" si="60"/>
        <v>2.62, Plant - Rigid  8R-30</v>
      </c>
      <c r="C266" s="155">
        <v>2.62</v>
      </c>
      <c r="D266" s="151" t="s">
        <v>436</v>
      </c>
      <c r="E266" s="151" t="s">
        <v>290</v>
      </c>
      <c r="F266" s="151" t="s">
        <v>25</v>
      </c>
      <c r="G266" s="151" t="str">
        <f t="shared" si="61"/>
        <v>Plant - Rigid  8R-30</v>
      </c>
      <c r="H266" s="30">
        <v>34441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653.08134668031107</v>
      </c>
      <c r="W266" s="9">
        <f t="shared" si="65"/>
        <v>4.3538756445354068</v>
      </c>
      <c r="X266" s="8">
        <f t="shared" si="66"/>
        <v>1937.3062500000001</v>
      </c>
      <c r="Y266" s="7">
        <f t="shared" si="67"/>
        <v>12.915375000000001</v>
      </c>
      <c r="Z266" s="2">
        <f t="shared" si="68"/>
        <v>15498.45</v>
      </c>
      <c r="AA266" s="2">
        <f t="shared" si="69"/>
        <v>2367.8187499999999</v>
      </c>
      <c r="AB266" s="2">
        <f t="shared" si="70"/>
        <v>24969.724999999999</v>
      </c>
      <c r="AC266" s="6">
        <f t="shared" si="71"/>
        <v>2247.2752499999997</v>
      </c>
      <c r="AD266" s="6">
        <f t="shared" si="72"/>
        <v>599.27339999999992</v>
      </c>
      <c r="AE266" s="6">
        <f t="shared" si="73"/>
        <v>5214.3673999999992</v>
      </c>
      <c r="AF266" s="5">
        <f t="shared" si="74"/>
        <v>34.762449333333329</v>
      </c>
      <c r="AG266" s="207"/>
    </row>
    <row r="267" spans="1:33" x14ac:dyDescent="0.2">
      <c r="A267" s="229">
        <v>153</v>
      </c>
      <c r="B267" s="1" t="str">
        <f t="shared" si="60"/>
        <v>2.63, Plant - Rigid 12R-20</v>
      </c>
      <c r="C267" s="155">
        <v>2.63</v>
      </c>
      <c r="D267" s="151" t="s">
        <v>436</v>
      </c>
      <c r="E267" s="151" t="s">
        <v>290</v>
      </c>
      <c r="F267" s="151" t="s">
        <v>50</v>
      </c>
      <c r="G267" s="151" t="str">
        <f t="shared" si="61"/>
        <v>Plant - Rigid 12R-20</v>
      </c>
      <c r="H267" s="30">
        <v>67569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1281.2651640150386</v>
      </c>
      <c r="W267" s="9">
        <f t="shared" si="65"/>
        <v>8.5417677601002584</v>
      </c>
      <c r="X267" s="8">
        <f t="shared" si="66"/>
        <v>3800.7562499999999</v>
      </c>
      <c r="Y267" s="7">
        <f t="shared" si="67"/>
        <v>25.338374999999999</v>
      </c>
      <c r="Z267" s="2">
        <f t="shared" si="68"/>
        <v>30406.05</v>
      </c>
      <c r="AA267" s="2">
        <f t="shared" si="69"/>
        <v>4645.3687499999996</v>
      </c>
      <c r="AB267" s="2">
        <f t="shared" si="70"/>
        <v>48987.525000000001</v>
      </c>
      <c r="AC267" s="6">
        <f t="shared" si="71"/>
        <v>4408.8772499999995</v>
      </c>
      <c r="AD267" s="6">
        <f t="shared" si="72"/>
        <v>1175.7006000000001</v>
      </c>
      <c r="AE267" s="6">
        <f t="shared" si="73"/>
        <v>10229.946599999999</v>
      </c>
      <c r="AF267" s="5">
        <f t="shared" si="74"/>
        <v>68.199643999999992</v>
      </c>
      <c r="AG267" s="207"/>
    </row>
    <row r="268" spans="1:33" x14ac:dyDescent="0.2">
      <c r="A268" s="229">
        <v>507</v>
      </c>
      <c r="B268" s="1" t="str">
        <f t="shared" si="60"/>
        <v>2.64, Plant - Rigid 15R-15</v>
      </c>
      <c r="C268" s="155">
        <v>2.64</v>
      </c>
      <c r="D268" s="151" t="s">
        <v>436</v>
      </c>
      <c r="E268" s="151" t="s">
        <v>290</v>
      </c>
      <c r="F268" s="151" t="s">
        <v>51</v>
      </c>
      <c r="G268" s="151" t="str">
        <f t="shared" si="61"/>
        <v>Plant - Rigid 15R-15</v>
      </c>
      <c r="H268" s="30">
        <v>51914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984.41000643307893</v>
      </c>
      <c r="W268" s="9">
        <f t="shared" si="65"/>
        <v>6.5627333762205264</v>
      </c>
      <c r="X268" s="8">
        <f t="shared" si="66"/>
        <v>2920.1624999999999</v>
      </c>
      <c r="Y268" s="7">
        <f t="shared" si="67"/>
        <v>19.467749999999999</v>
      </c>
      <c r="Z268" s="2">
        <f t="shared" si="68"/>
        <v>23361.3</v>
      </c>
      <c r="AA268" s="2">
        <f t="shared" si="69"/>
        <v>3569.0875000000001</v>
      </c>
      <c r="AB268" s="2">
        <f t="shared" si="70"/>
        <v>37637.65</v>
      </c>
      <c r="AC268" s="6">
        <f t="shared" si="71"/>
        <v>3387.3885</v>
      </c>
      <c r="AD268" s="6">
        <f t="shared" si="72"/>
        <v>903.30360000000007</v>
      </c>
      <c r="AE268" s="6">
        <f t="shared" si="73"/>
        <v>7859.7796000000008</v>
      </c>
      <c r="AF268" s="5">
        <f t="shared" si="74"/>
        <v>52.398530666666673</v>
      </c>
      <c r="AG268" s="207"/>
    </row>
    <row r="269" spans="1:33" x14ac:dyDescent="0.2">
      <c r="A269" s="229">
        <v>649</v>
      </c>
      <c r="B269" s="1" t="str">
        <f t="shared" si="60"/>
        <v>2.65, Plant - Rigid 13R-18/20</v>
      </c>
      <c r="C269" s="155">
        <v>2.65</v>
      </c>
      <c r="D269" s="151" t="s">
        <v>436</v>
      </c>
      <c r="E269" s="151" t="s">
        <v>290</v>
      </c>
      <c r="F269" s="151" t="s">
        <v>49</v>
      </c>
      <c r="G269" s="151" t="str">
        <f t="shared" si="61"/>
        <v>Plant - Rigid 13R-18/20</v>
      </c>
      <c r="H269" s="30">
        <v>46763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886.73508361578899</v>
      </c>
      <c r="W269" s="9">
        <f t="shared" si="65"/>
        <v>5.9115672241052604</v>
      </c>
      <c r="X269" s="8">
        <f t="shared" si="66"/>
        <v>2630.4187499999998</v>
      </c>
      <c r="Y269" s="7">
        <f t="shared" si="67"/>
        <v>17.536124999999998</v>
      </c>
      <c r="Z269" s="2">
        <f t="shared" si="68"/>
        <v>21043.35</v>
      </c>
      <c r="AA269" s="2">
        <f t="shared" si="69"/>
        <v>3214.9562500000002</v>
      </c>
      <c r="AB269" s="2">
        <f t="shared" si="70"/>
        <v>33903.175000000003</v>
      </c>
      <c r="AC269" s="6">
        <f t="shared" si="71"/>
        <v>3051.28575</v>
      </c>
      <c r="AD269" s="6">
        <f t="shared" si="72"/>
        <v>813.67620000000011</v>
      </c>
      <c r="AE269" s="6">
        <f t="shared" si="73"/>
        <v>7079.9182000000001</v>
      </c>
      <c r="AF269" s="5">
        <f t="shared" si="74"/>
        <v>47.199454666666668</v>
      </c>
      <c r="AG269" s="207"/>
    </row>
    <row r="270" spans="1:33" x14ac:dyDescent="0.2">
      <c r="A270" s="229">
        <v>150</v>
      </c>
      <c r="B270" s="1" t="str">
        <f t="shared" si="60"/>
        <v>2.66, Plant - Rigid  8R-36</v>
      </c>
      <c r="C270" s="155">
        <v>2.66</v>
      </c>
      <c r="D270" s="151" t="s">
        <v>436</v>
      </c>
      <c r="E270" s="151" t="s">
        <v>290</v>
      </c>
      <c r="F270" s="151" t="s">
        <v>199</v>
      </c>
      <c r="G270" s="151" t="str">
        <f t="shared" si="61"/>
        <v>Plant - Rigid  8R-36</v>
      </c>
      <c r="H270" s="30">
        <v>32017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607.11667711923349</v>
      </c>
      <c r="W270" s="9">
        <f t="shared" si="65"/>
        <v>4.0474445141282231</v>
      </c>
      <c r="X270" s="8">
        <f t="shared" si="66"/>
        <v>1800.95625</v>
      </c>
      <c r="Y270" s="7">
        <f t="shared" si="67"/>
        <v>12.006375</v>
      </c>
      <c r="Z270" s="2">
        <f t="shared" si="68"/>
        <v>14407.65</v>
      </c>
      <c r="AA270" s="2">
        <f t="shared" si="69"/>
        <v>2201.1687499999998</v>
      </c>
      <c r="AB270" s="2">
        <f t="shared" si="70"/>
        <v>23212.325000000001</v>
      </c>
      <c r="AC270" s="6">
        <f t="shared" si="71"/>
        <v>2089.10925</v>
      </c>
      <c r="AD270" s="6">
        <f t="shared" si="72"/>
        <v>557.09580000000005</v>
      </c>
      <c r="AE270" s="6">
        <f t="shared" si="73"/>
        <v>4847.3738000000003</v>
      </c>
      <c r="AF270" s="5">
        <f t="shared" si="74"/>
        <v>32.315825333333336</v>
      </c>
      <c r="AG270" s="207"/>
    </row>
    <row r="271" spans="1:33" x14ac:dyDescent="0.2">
      <c r="A271" s="229">
        <v>151</v>
      </c>
      <c r="B271" s="1" t="str">
        <f t="shared" si="60"/>
        <v>2.67, Plant - Rigid 10R-30</v>
      </c>
      <c r="C271" s="155">
        <v>2.67</v>
      </c>
      <c r="D271" s="151" t="s">
        <v>436</v>
      </c>
      <c r="E271" s="151" t="s">
        <v>290</v>
      </c>
      <c r="F271" s="151" t="s">
        <v>24</v>
      </c>
      <c r="G271" s="151" t="str">
        <f t="shared" si="61"/>
        <v>Plant - Rigid 10R-30</v>
      </c>
      <c r="H271" s="30">
        <v>37976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720.11315645688262</v>
      </c>
      <c r="W271" s="9">
        <f t="shared" si="65"/>
        <v>4.8007543763792171</v>
      </c>
      <c r="X271" s="8">
        <f t="shared" si="66"/>
        <v>2136.15</v>
      </c>
      <c r="Y271" s="7">
        <f t="shared" si="67"/>
        <v>14.241000000000001</v>
      </c>
      <c r="Z271" s="2">
        <f t="shared" si="68"/>
        <v>17089.2</v>
      </c>
      <c r="AA271" s="2">
        <f t="shared" si="69"/>
        <v>2610.85</v>
      </c>
      <c r="AB271" s="2">
        <f t="shared" si="70"/>
        <v>27532.6</v>
      </c>
      <c r="AC271" s="6">
        <f t="shared" si="71"/>
        <v>2477.9339999999997</v>
      </c>
      <c r="AD271" s="6">
        <f t="shared" si="72"/>
        <v>660.78239999999994</v>
      </c>
      <c r="AE271" s="6">
        <f t="shared" si="73"/>
        <v>5749.5663999999997</v>
      </c>
      <c r="AF271" s="5">
        <f t="shared" si="74"/>
        <v>38.330442666666663</v>
      </c>
      <c r="AG271" s="207"/>
    </row>
    <row r="272" spans="1:33" x14ac:dyDescent="0.2">
      <c r="A272" s="229">
        <v>336</v>
      </c>
      <c r="B272" s="1" t="str">
        <f t="shared" si="60"/>
        <v>2.68, Plant - Rigid 12R-30</v>
      </c>
      <c r="C272" s="155">
        <v>2.68</v>
      </c>
      <c r="D272" s="151" t="s">
        <v>436</v>
      </c>
      <c r="E272" s="151" t="s">
        <v>290</v>
      </c>
      <c r="F272" s="151" t="s">
        <v>6</v>
      </c>
      <c r="G272" s="151" t="str">
        <f t="shared" si="61"/>
        <v>Plant - Rigid 12R-30</v>
      </c>
      <c r="H272" s="30">
        <v>54641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1036.1202596892913</v>
      </c>
      <c r="W272" s="9">
        <f t="shared" si="65"/>
        <v>6.9074683979286089</v>
      </c>
      <c r="X272" s="8">
        <f t="shared" si="66"/>
        <v>3073.5562500000001</v>
      </c>
      <c r="Y272" s="7">
        <f t="shared" si="67"/>
        <v>20.490375</v>
      </c>
      <c r="Z272" s="2">
        <f t="shared" si="68"/>
        <v>24588.45</v>
      </c>
      <c r="AA272" s="2">
        <f t="shared" si="69"/>
        <v>3756.5687499999999</v>
      </c>
      <c r="AB272" s="2">
        <f t="shared" si="70"/>
        <v>39614.724999999999</v>
      </c>
      <c r="AC272" s="6">
        <f t="shared" si="71"/>
        <v>3565.3252499999999</v>
      </c>
      <c r="AD272" s="6">
        <f t="shared" si="72"/>
        <v>950.75339999999994</v>
      </c>
      <c r="AE272" s="6">
        <f t="shared" si="73"/>
        <v>8272.6473999999998</v>
      </c>
      <c r="AF272" s="5">
        <f t="shared" si="74"/>
        <v>55.150982666666664</v>
      </c>
      <c r="AG272" s="207"/>
    </row>
    <row r="273" spans="1:33" x14ac:dyDescent="0.2">
      <c r="A273" s="229">
        <v>650</v>
      </c>
      <c r="B273" s="1" t="str">
        <f t="shared" si="60"/>
        <v>2.69, Plant - Twin Row 8R-36</v>
      </c>
      <c r="C273" s="155">
        <v>2.69</v>
      </c>
      <c r="D273" s="151" t="s">
        <v>436</v>
      </c>
      <c r="E273" s="151" t="s">
        <v>291</v>
      </c>
      <c r="F273" s="151" t="s">
        <v>205</v>
      </c>
      <c r="G273" s="151" t="str">
        <f t="shared" si="61"/>
        <v>Plant - Twin Row 8R-36</v>
      </c>
      <c r="H273" s="30">
        <v>111100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2106.714021549391</v>
      </c>
      <c r="W273" s="9">
        <f t="shared" si="65"/>
        <v>14.044760143662607</v>
      </c>
      <c r="X273" s="8">
        <f t="shared" si="66"/>
        <v>6249.375</v>
      </c>
      <c r="Y273" s="7">
        <f t="shared" si="67"/>
        <v>41.662500000000001</v>
      </c>
      <c r="Z273" s="2">
        <f t="shared" si="68"/>
        <v>49995</v>
      </c>
      <c r="AA273" s="2">
        <f t="shared" si="69"/>
        <v>7638.125</v>
      </c>
      <c r="AB273" s="2">
        <f t="shared" si="70"/>
        <v>80547.5</v>
      </c>
      <c r="AC273" s="6">
        <f t="shared" si="71"/>
        <v>7249.2749999999996</v>
      </c>
      <c r="AD273" s="6">
        <f t="shared" si="72"/>
        <v>1933.14</v>
      </c>
      <c r="AE273" s="6">
        <f t="shared" si="73"/>
        <v>16820.54</v>
      </c>
      <c r="AF273" s="5">
        <f t="shared" si="74"/>
        <v>112.13693333333335</v>
      </c>
      <c r="AG273" s="207"/>
    </row>
    <row r="274" spans="1:33" x14ac:dyDescent="0.2">
      <c r="A274" s="229">
        <v>605</v>
      </c>
      <c r="B274" s="1" t="str">
        <f t="shared" si="60"/>
        <v>2.7, Plant - Twin Row 12R-36</v>
      </c>
      <c r="C274" s="155">
        <v>2.7</v>
      </c>
      <c r="D274" s="151" t="s">
        <v>436</v>
      </c>
      <c r="E274" s="151" t="s">
        <v>291</v>
      </c>
      <c r="F274" s="151" t="s">
        <v>200</v>
      </c>
      <c r="G274" s="151" t="str">
        <f t="shared" si="61"/>
        <v>Plant - Twin Row 12R-36</v>
      </c>
      <c r="H274" s="30">
        <v>124230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2355.6893150052283</v>
      </c>
      <c r="W274" s="9">
        <f t="shared" si="65"/>
        <v>15.704595433368189</v>
      </c>
      <c r="X274" s="8">
        <f t="shared" si="66"/>
        <v>6987.9375</v>
      </c>
      <c r="Y274" s="7">
        <f t="shared" si="67"/>
        <v>46.58625</v>
      </c>
      <c r="Z274" s="2">
        <f t="shared" si="68"/>
        <v>55903.5</v>
      </c>
      <c r="AA274" s="2">
        <f t="shared" si="69"/>
        <v>8540.8125</v>
      </c>
      <c r="AB274" s="2">
        <f t="shared" si="70"/>
        <v>90066.75</v>
      </c>
      <c r="AC274" s="6">
        <f t="shared" si="71"/>
        <v>8106.0074999999997</v>
      </c>
      <c r="AD274" s="6">
        <f t="shared" si="72"/>
        <v>2161.6019999999999</v>
      </c>
      <c r="AE274" s="6">
        <f t="shared" si="73"/>
        <v>18808.421999999999</v>
      </c>
      <c r="AF274" s="5">
        <f t="shared" si="74"/>
        <v>125.38947999999999</v>
      </c>
      <c r="AG274" s="207"/>
    </row>
    <row r="275" spans="1:33" x14ac:dyDescent="0.2">
      <c r="A275" s="229">
        <v>346</v>
      </c>
      <c r="B275" s="1" t="str">
        <f t="shared" si="60"/>
        <v>2.71, Plant &amp; Pre-Folding 12R-20</v>
      </c>
      <c r="C275" s="155">
        <v>2.71</v>
      </c>
      <c r="D275" s="151" t="s">
        <v>436</v>
      </c>
      <c r="E275" s="151" t="s">
        <v>292</v>
      </c>
      <c r="F275" s="151" t="s">
        <v>50</v>
      </c>
      <c r="G275" s="151" t="str">
        <f t="shared" si="61"/>
        <v>Plant &amp; Pre-Folding 12R-20</v>
      </c>
      <c r="H275" s="30">
        <v>67569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1281.2651640150386</v>
      </c>
      <c r="W275" s="9">
        <f t="shared" si="65"/>
        <v>8.5417677601002584</v>
      </c>
      <c r="X275" s="8">
        <f t="shared" si="66"/>
        <v>3800.7562499999999</v>
      </c>
      <c r="Y275" s="7">
        <f t="shared" si="67"/>
        <v>25.338374999999999</v>
      </c>
      <c r="Z275" s="2">
        <f t="shared" si="68"/>
        <v>30406.05</v>
      </c>
      <c r="AA275" s="2">
        <f t="shared" si="69"/>
        <v>4645.3687499999996</v>
      </c>
      <c r="AB275" s="2">
        <f t="shared" si="70"/>
        <v>48987.525000000001</v>
      </c>
      <c r="AC275" s="6">
        <f t="shared" si="71"/>
        <v>4408.8772499999995</v>
      </c>
      <c r="AD275" s="6">
        <f t="shared" si="72"/>
        <v>1175.7006000000001</v>
      </c>
      <c r="AE275" s="6">
        <f t="shared" si="73"/>
        <v>10229.946599999999</v>
      </c>
      <c r="AF275" s="5">
        <f t="shared" si="74"/>
        <v>68.199643999999992</v>
      </c>
      <c r="AG275" s="207"/>
    </row>
    <row r="276" spans="1:33" x14ac:dyDescent="0.2">
      <c r="A276" s="229">
        <v>343</v>
      </c>
      <c r="B276" s="1" t="str">
        <f t="shared" si="60"/>
        <v>2.72, Plant &amp; Pre-Folding  8R-36</v>
      </c>
      <c r="C276" s="155">
        <v>2.72</v>
      </c>
      <c r="D276" s="151" t="s">
        <v>436</v>
      </c>
      <c r="E276" s="151" t="s">
        <v>292</v>
      </c>
      <c r="F276" s="151" t="s">
        <v>199</v>
      </c>
      <c r="G276" s="151" t="str">
        <f t="shared" si="61"/>
        <v>Plant &amp; Pre-Folding  8R-36</v>
      </c>
      <c r="H276" s="30">
        <v>46359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879.07430535560945</v>
      </c>
      <c r="W276" s="9">
        <f t="shared" si="65"/>
        <v>5.8604953690373964</v>
      </c>
      <c r="X276" s="8">
        <f t="shared" si="66"/>
        <v>2607.6937499999999</v>
      </c>
      <c r="Y276" s="7">
        <f t="shared" si="67"/>
        <v>17.384625</v>
      </c>
      <c r="Z276" s="2">
        <f t="shared" si="68"/>
        <v>20861.55</v>
      </c>
      <c r="AA276" s="2">
        <f t="shared" si="69"/>
        <v>3187.1812500000001</v>
      </c>
      <c r="AB276" s="2">
        <f t="shared" si="70"/>
        <v>33610.275000000001</v>
      </c>
      <c r="AC276" s="6">
        <f t="shared" si="71"/>
        <v>3024.9247500000001</v>
      </c>
      <c r="AD276" s="6">
        <f t="shared" si="72"/>
        <v>806.64660000000003</v>
      </c>
      <c r="AE276" s="6">
        <f t="shared" si="73"/>
        <v>7018.7525999999998</v>
      </c>
      <c r="AF276" s="5">
        <f t="shared" si="74"/>
        <v>46.791683999999997</v>
      </c>
      <c r="AG276" s="207"/>
    </row>
    <row r="277" spans="1:33" x14ac:dyDescent="0.2">
      <c r="A277" s="229">
        <v>350</v>
      </c>
      <c r="B277" s="1" t="str">
        <f t="shared" si="60"/>
        <v>2.73, Plant &amp; Pre-Folding 23R-15</v>
      </c>
      <c r="C277" s="155">
        <v>2.73</v>
      </c>
      <c r="D277" s="151" t="s">
        <v>436</v>
      </c>
      <c r="E277" s="151" t="s">
        <v>292</v>
      </c>
      <c r="F277" s="151" t="s">
        <v>62</v>
      </c>
      <c r="G277" s="151" t="str">
        <f t="shared" si="61"/>
        <v>Plant &amp; Pre-Folding 23R-15</v>
      </c>
      <c r="H277" s="30">
        <v>124230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2355.6893150052283</v>
      </c>
      <c r="W277" s="9">
        <f t="shared" si="65"/>
        <v>15.704595433368189</v>
      </c>
      <c r="X277" s="8">
        <f t="shared" si="66"/>
        <v>6987.9375</v>
      </c>
      <c r="Y277" s="7">
        <f t="shared" si="67"/>
        <v>46.58625</v>
      </c>
      <c r="Z277" s="2">
        <f t="shared" si="68"/>
        <v>55903.5</v>
      </c>
      <c r="AA277" s="2">
        <f t="shared" si="69"/>
        <v>8540.8125</v>
      </c>
      <c r="AB277" s="2">
        <f t="shared" si="70"/>
        <v>90066.75</v>
      </c>
      <c r="AC277" s="6">
        <f t="shared" si="71"/>
        <v>8106.0074999999997</v>
      </c>
      <c r="AD277" s="6">
        <f t="shared" si="72"/>
        <v>2161.6019999999999</v>
      </c>
      <c r="AE277" s="6">
        <f t="shared" si="73"/>
        <v>18808.421999999999</v>
      </c>
      <c r="AF277" s="5">
        <f t="shared" si="74"/>
        <v>125.38947999999999</v>
      </c>
      <c r="AG277" s="207"/>
    </row>
    <row r="278" spans="1:33" x14ac:dyDescent="0.2">
      <c r="A278" s="229">
        <v>348</v>
      </c>
      <c r="B278" s="1" t="str">
        <f t="shared" si="60"/>
        <v>2.74, Plant &amp; Pre-Folding 12R-30</v>
      </c>
      <c r="C278" s="155">
        <v>2.74</v>
      </c>
      <c r="D278" s="151" t="s">
        <v>436</v>
      </c>
      <c r="E278" s="151" t="s">
        <v>292</v>
      </c>
      <c r="F278" s="151" t="s">
        <v>6</v>
      </c>
      <c r="G278" s="151" t="str">
        <f t="shared" si="61"/>
        <v>Plant &amp; Pre-Folding 12R-30</v>
      </c>
      <c r="H278" s="30">
        <v>69387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1315.7386661858468</v>
      </c>
      <c r="W278" s="9">
        <f t="shared" si="65"/>
        <v>8.7715911079056461</v>
      </c>
      <c r="X278" s="8">
        <f t="shared" si="66"/>
        <v>3903.0187500000002</v>
      </c>
      <c r="Y278" s="7">
        <f t="shared" si="67"/>
        <v>26.020125</v>
      </c>
      <c r="Z278" s="2">
        <f t="shared" si="68"/>
        <v>31224.15</v>
      </c>
      <c r="AA278" s="2">
        <f t="shared" si="69"/>
        <v>4770.3562499999998</v>
      </c>
      <c r="AB278" s="2">
        <f t="shared" si="70"/>
        <v>50305.574999999997</v>
      </c>
      <c r="AC278" s="6">
        <f t="shared" si="71"/>
        <v>4527.5017499999994</v>
      </c>
      <c r="AD278" s="6">
        <f t="shared" si="72"/>
        <v>1207.3337999999999</v>
      </c>
      <c r="AE278" s="6">
        <f t="shared" si="73"/>
        <v>10505.191800000001</v>
      </c>
      <c r="AF278" s="5">
        <f t="shared" si="74"/>
        <v>70.03461200000001</v>
      </c>
      <c r="AG278" s="207"/>
    </row>
    <row r="279" spans="1:33" x14ac:dyDescent="0.2">
      <c r="A279" s="229">
        <v>547</v>
      </c>
      <c r="B279" s="1" t="str">
        <f t="shared" si="60"/>
        <v>2.75, Plant &amp; Pre-Folding 24R-15</v>
      </c>
      <c r="C279" s="155">
        <v>2.75</v>
      </c>
      <c r="D279" s="151" t="s">
        <v>436</v>
      </c>
      <c r="E279" s="151" t="s">
        <v>292</v>
      </c>
      <c r="F279" s="151" t="s">
        <v>61</v>
      </c>
      <c r="G279" s="151" t="str">
        <f t="shared" si="61"/>
        <v>Plant &amp; Pre-Folding 24R-15</v>
      </c>
      <c r="H279" s="30">
        <v>127260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2413.1451519565753</v>
      </c>
      <c r="W279" s="9">
        <f t="shared" si="65"/>
        <v>16.087634346377168</v>
      </c>
      <c r="X279" s="8">
        <f t="shared" si="66"/>
        <v>7158.375</v>
      </c>
      <c r="Y279" s="7">
        <f t="shared" si="67"/>
        <v>47.722499999999997</v>
      </c>
      <c r="Z279" s="2">
        <f t="shared" si="68"/>
        <v>57267</v>
      </c>
      <c r="AA279" s="2">
        <f t="shared" si="69"/>
        <v>8749.125</v>
      </c>
      <c r="AB279" s="2">
        <f t="shared" si="70"/>
        <v>92263.5</v>
      </c>
      <c r="AC279" s="6">
        <f t="shared" si="71"/>
        <v>8303.7150000000001</v>
      </c>
      <c r="AD279" s="6">
        <f t="shared" si="72"/>
        <v>2214.3240000000001</v>
      </c>
      <c r="AE279" s="6">
        <f t="shared" si="73"/>
        <v>19267.164000000001</v>
      </c>
      <c r="AF279" s="5">
        <f t="shared" si="74"/>
        <v>128.44776000000002</v>
      </c>
      <c r="AG279" s="207"/>
    </row>
    <row r="280" spans="1:33" x14ac:dyDescent="0.2">
      <c r="A280" s="229">
        <v>344</v>
      </c>
      <c r="B280" s="1" t="str">
        <f t="shared" si="60"/>
        <v>2.76, Plant &amp; Pre-Folding  8R-36 2x1</v>
      </c>
      <c r="C280" s="155">
        <v>2.76</v>
      </c>
      <c r="D280" s="151" t="s">
        <v>436</v>
      </c>
      <c r="E280" s="151" t="s">
        <v>292</v>
      </c>
      <c r="F280" s="151" t="s">
        <v>203</v>
      </c>
      <c r="G280" s="151" t="str">
        <f t="shared" si="61"/>
        <v>Plant &amp; Pre-Folding  8R-36 2x1</v>
      </c>
      <c r="H280" s="30">
        <v>78376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1486.1909824748429</v>
      </c>
      <c r="W280" s="9">
        <f t="shared" si="65"/>
        <v>9.9079398831656196</v>
      </c>
      <c r="X280" s="8">
        <f t="shared" si="66"/>
        <v>4408.6499999999996</v>
      </c>
      <c r="Y280" s="7">
        <f t="shared" si="67"/>
        <v>29.390999999999998</v>
      </c>
      <c r="Z280" s="2">
        <f t="shared" si="68"/>
        <v>35269.199999999997</v>
      </c>
      <c r="AA280" s="2">
        <f t="shared" si="69"/>
        <v>5388.35</v>
      </c>
      <c r="AB280" s="2">
        <f t="shared" si="70"/>
        <v>56822.6</v>
      </c>
      <c r="AC280" s="6">
        <f t="shared" si="71"/>
        <v>5114.0339999999997</v>
      </c>
      <c r="AD280" s="6">
        <f t="shared" si="72"/>
        <v>1363.7424000000001</v>
      </c>
      <c r="AE280" s="6">
        <f t="shared" si="73"/>
        <v>11866.126400000001</v>
      </c>
      <c r="AF280" s="5">
        <f t="shared" si="74"/>
        <v>79.10750933333334</v>
      </c>
      <c r="AG280" s="207"/>
    </row>
    <row r="281" spans="1:33" x14ac:dyDescent="0.2">
      <c r="A281" s="229">
        <v>262</v>
      </c>
      <c r="B281" s="1" t="str">
        <f t="shared" si="60"/>
        <v>2.77, Plant &amp; Pre-Folding 12R-36</v>
      </c>
      <c r="C281" s="155">
        <v>2.77</v>
      </c>
      <c r="D281" s="151" t="s">
        <v>436</v>
      </c>
      <c r="E281" s="151" t="s">
        <v>292</v>
      </c>
      <c r="F281" s="151" t="s">
        <v>200</v>
      </c>
      <c r="G281" s="151" t="str">
        <f t="shared" si="61"/>
        <v>Plant &amp; Pre-Folding 12R-36</v>
      </c>
      <c r="H281" s="30">
        <v>78376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1486.1909824748429</v>
      </c>
      <c r="W281" s="9">
        <f t="shared" si="65"/>
        <v>9.9079398831656196</v>
      </c>
      <c r="X281" s="8">
        <f t="shared" si="66"/>
        <v>4408.6499999999996</v>
      </c>
      <c r="Y281" s="7">
        <f t="shared" si="67"/>
        <v>29.390999999999998</v>
      </c>
      <c r="Z281" s="2">
        <f t="shared" si="68"/>
        <v>35269.199999999997</v>
      </c>
      <c r="AA281" s="2">
        <f t="shared" si="69"/>
        <v>5388.35</v>
      </c>
      <c r="AB281" s="2">
        <f t="shared" si="70"/>
        <v>56822.6</v>
      </c>
      <c r="AC281" s="6">
        <f t="shared" si="71"/>
        <v>5114.0339999999997</v>
      </c>
      <c r="AD281" s="6">
        <f t="shared" si="72"/>
        <v>1363.7424000000001</v>
      </c>
      <c r="AE281" s="6">
        <f t="shared" si="73"/>
        <v>11866.126400000001</v>
      </c>
      <c r="AF281" s="5">
        <f t="shared" si="74"/>
        <v>79.10750933333334</v>
      </c>
      <c r="AG281" s="207"/>
    </row>
    <row r="282" spans="1:33" x14ac:dyDescent="0.2">
      <c r="A282" s="229">
        <v>551</v>
      </c>
      <c r="B282" s="1" t="str">
        <f t="shared" si="60"/>
        <v>2.78, Plant &amp; Pre-Folding 31R-15</v>
      </c>
      <c r="C282" s="155">
        <v>2.78</v>
      </c>
      <c r="D282" s="151" t="s">
        <v>436</v>
      </c>
      <c r="E282" s="151" t="s">
        <v>292</v>
      </c>
      <c r="F282" s="151" t="s">
        <v>60</v>
      </c>
      <c r="G282" s="151" t="str">
        <f t="shared" si="61"/>
        <v>Plant &amp; Pre-Folding 31R-15</v>
      </c>
      <c r="H282" s="30">
        <v>140390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2662.1204454124122</v>
      </c>
      <c r="W282" s="9">
        <f t="shared" si="65"/>
        <v>17.747469636082748</v>
      </c>
      <c r="X282" s="8">
        <f t="shared" si="66"/>
        <v>7896.9375</v>
      </c>
      <c r="Y282" s="7">
        <f t="shared" si="67"/>
        <v>52.646250000000002</v>
      </c>
      <c r="Z282" s="2">
        <f t="shared" si="68"/>
        <v>63175.5</v>
      </c>
      <c r="AA282" s="2">
        <f t="shared" si="69"/>
        <v>9651.8125</v>
      </c>
      <c r="AB282" s="2">
        <f t="shared" si="70"/>
        <v>101782.75</v>
      </c>
      <c r="AC282" s="6">
        <f t="shared" si="71"/>
        <v>9160.4475000000002</v>
      </c>
      <c r="AD282" s="6">
        <f t="shared" si="72"/>
        <v>2442.7860000000001</v>
      </c>
      <c r="AE282" s="6">
        <f t="shared" si="73"/>
        <v>21255.046000000002</v>
      </c>
      <c r="AF282" s="5">
        <f t="shared" si="74"/>
        <v>141.70030666666668</v>
      </c>
      <c r="AG282" s="207"/>
    </row>
    <row r="283" spans="1:33" x14ac:dyDescent="0.2">
      <c r="A283" s="229">
        <v>349</v>
      </c>
      <c r="B283" s="1" t="str">
        <f t="shared" si="60"/>
        <v>2.79, Plant &amp; Pre-Folding 16R-30</v>
      </c>
      <c r="C283" s="155">
        <v>2.79</v>
      </c>
      <c r="D283" s="151" t="s">
        <v>436</v>
      </c>
      <c r="E283" s="151" t="s">
        <v>292</v>
      </c>
      <c r="F283" s="151" t="s">
        <v>59</v>
      </c>
      <c r="G283" s="151" t="str">
        <f t="shared" si="61"/>
        <v>Plant &amp; Pre-Folding 16R-30</v>
      </c>
      <c r="H283" s="30">
        <v>97162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1842.4171715731945</v>
      </c>
      <c r="W283" s="9">
        <f t="shared" si="65"/>
        <v>12.282781143821296</v>
      </c>
      <c r="X283" s="8">
        <f t="shared" si="66"/>
        <v>5465.3625000000002</v>
      </c>
      <c r="Y283" s="7">
        <f t="shared" si="67"/>
        <v>36.435749999999999</v>
      </c>
      <c r="Z283" s="2">
        <f t="shared" si="68"/>
        <v>43722.9</v>
      </c>
      <c r="AA283" s="2">
        <f t="shared" si="69"/>
        <v>6679.8874999999998</v>
      </c>
      <c r="AB283" s="2">
        <f t="shared" si="70"/>
        <v>70442.45</v>
      </c>
      <c r="AC283" s="6">
        <f t="shared" si="71"/>
        <v>6339.8204999999998</v>
      </c>
      <c r="AD283" s="6">
        <f t="shared" si="72"/>
        <v>1690.6188</v>
      </c>
      <c r="AE283" s="6">
        <f t="shared" si="73"/>
        <v>14710.326799999999</v>
      </c>
      <c r="AF283" s="5">
        <f t="shared" si="74"/>
        <v>98.068845333333329</v>
      </c>
      <c r="AG283" s="207"/>
    </row>
    <row r="284" spans="1:33" x14ac:dyDescent="0.2">
      <c r="A284" s="229">
        <v>351</v>
      </c>
      <c r="B284" s="1" t="str">
        <f t="shared" si="60"/>
        <v>2.8, Plant &amp; Pre-Folding 24R-20</v>
      </c>
      <c r="C284" s="155">
        <v>2.8</v>
      </c>
      <c r="D284" s="151" t="s">
        <v>436</v>
      </c>
      <c r="E284" s="151" t="s">
        <v>292</v>
      </c>
      <c r="F284" s="151" t="s">
        <v>58</v>
      </c>
      <c r="G284" s="151" t="str">
        <f t="shared" si="61"/>
        <v>Plant &amp; Pre-Folding 24R-20</v>
      </c>
      <c r="H284" s="30">
        <v>138370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2623.8165541115141</v>
      </c>
      <c r="W284" s="9">
        <f t="shared" si="65"/>
        <v>17.492110360743428</v>
      </c>
      <c r="X284" s="8">
        <f t="shared" si="66"/>
        <v>7783.3125</v>
      </c>
      <c r="Y284" s="7">
        <f t="shared" si="67"/>
        <v>51.888750000000002</v>
      </c>
      <c r="Z284" s="2">
        <f t="shared" si="68"/>
        <v>62266.5</v>
      </c>
      <c r="AA284" s="2">
        <f t="shared" si="69"/>
        <v>9512.9375</v>
      </c>
      <c r="AB284" s="2">
        <f t="shared" si="70"/>
        <v>100318.25</v>
      </c>
      <c r="AC284" s="6">
        <f t="shared" si="71"/>
        <v>9028.6424999999999</v>
      </c>
      <c r="AD284" s="6">
        <f t="shared" si="72"/>
        <v>2407.6379999999999</v>
      </c>
      <c r="AE284" s="6">
        <f t="shared" si="73"/>
        <v>20949.218000000001</v>
      </c>
      <c r="AF284" s="5">
        <f t="shared" si="74"/>
        <v>139.66145333333333</v>
      </c>
      <c r="AG284" s="207"/>
    </row>
    <row r="285" spans="1:33" x14ac:dyDescent="0.2">
      <c r="A285" s="229">
        <v>603</v>
      </c>
      <c r="B285" s="1" t="str">
        <f t="shared" si="60"/>
        <v>2.81, Plant &amp; Pre-Folding 32R-15</v>
      </c>
      <c r="C285" s="155">
        <v>2.81</v>
      </c>
      <c r="D285" s="151" t="s">
        <v>436</v>
      </c>
      <c r="E285" s="151" t="s">
        <v>292</v>
      </c>
      <c r="F285" s="151" t="s">
        <v>57</v>
      </c>
      <c r="G285" s="151" t="str">
        <f t="shared" si="61"/>
        <v>Plant &amp; Pre-Folding 32R-15</v>
      </c>
      <c r="H285" s="30">
        <v>155540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2949.3996301691473</v>
      </c>
      <c r="W285" s="9">
        <f t="shared" si="65"/>
        <v>19.662664201127647</v>
      </c>
      <c r="X285" s="8">
        <f t="shared" si="66"/>
        <v>8749.125</v>
      </c>
      <c r="Y285" s="7">
        <f t="shared" si="67"/>
        <v>58.327500000000001</v>
      </c>
      <c r="Z285" s="2">
        <f t="shared" si="68"/>
        <v>69993</v>
      </c>
      <c r="AA285" s="2">
        <f t="shared" si="69"/>
        <v>10693.375</v>
      </c>
      <c r="AB285" s="2">
        <f t="shared" si="70"/>
        <v>112766.5</v>
      </c>
      <c r="AC285" s="6">
        <f t="shared" si="71"/>
        <v>10148.984999999999</v>
      </c>
      <c r="AD285" s="6">
        <f t="shared" si="72"/>
        <v>2706.3960000000002</v>
      </c>
      <c r="AE285" s="6">
        <f t="shared" si="73"/>
        <v>23548.756000000001</v>
      </c>
      <c r="AF285" s="5">
        <f t="shared" si="74"/>
        <v>156.99170666666669</v>
      </c>
      <c r="AG285" s="207"/>
    </row>
    <row r="286" spans="1:33" x14ac:dyDescent="0.2">
      <c r="A286" s="229">
        <v>352</v>
      </c>
      <c r="B286" s="1" t="str">
        <f t="shared" si="60"/>
        <v>2.82, Plant &amp; Pre-Folding 24R-30</v>
      </c>
      <c r="C286" s="155">
        <v>2.82</v>
      </c>
      <c r="D286" s="151" t="s">
        <v>436</v>
      </c>
      <c r="E286" s="151" t="s">
        <v>292</v>
      </c>
      <c r="F286" s="151" t="s">
        <v>56</v>
      </c>
      <c r="G286" s="151" t="str">
        <f t="shared" si="61"/>
        <v>Plant &amp; Pre-Folding 24R-30</v>
      </c>
      <c r="H286" s="30">
        <v>183820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3485.6541083817192</v>
      </c>
      <c r="W286" s="9">
        <f t="shared" si="65"/>
        <v>23.237694055878126</v>
      </c>
      <c r="X286" s="8">
        <f t="shared" si="66"/>
        <v>10339.875</v>
      </c>
      <c r="Y286" s="7">
        <f t="shared" si="67"/>
        <v>68.932500000000005</v>
      </c>
      <c r="Z286" s="2">
        <f t="shared" si="68"/>
        <v>82719</v>
      </c>
      <c r="AA286" s="2">
        <f t="shared" si="69"/>
        <v>12637.625</v>
      </c>
      <c r="AB286" s="2">
        <f t="shared" si="70"/>
        <v>133269.5</v>
      </c>
      <c r="AC286" s="6">
        <f t="shared" si="71"/>
        <v>11994.254999999999</v>
      </c>
      <c r="AD286" s="6">
        <f t="shared" si="72"/>
        <v>3198.4679999999998</v>
      </c>
      <c r="AE286" s="6">
        <f t="shared" si="73"/>
        <v>27830.347999999998</v>
      </c>
      <c r="AF286" s="5">
        <f t="shared" si="74"/>
        <v>185.53565333333333</v>
      </c>
      <c r="AG286" s="207"/>
    </row>
    <row r="287" spans="1:33" x14ac:dyDescent="0.2">
      <c r="A287" s="229">
        <v>642</v>
      </c>
      <c r="B287" s="1" t="str">
        <f t="shared" si="60"/>
        <v>2.83, Plant &amp; Pre-Folding 36R-20</v>
      </c>
      <c r="C287" s="155">
        <v>2.83</v>
      </c>
      <c r="D287" s="151" t="s">
        <v>436</v>
      </c>
      <c r="E287" s="151" t="s">
        <v>292</v>
      </c>
      <c r="F287" s="151" t="s">
        <v>55</v>
      </c>
      <c r="G287" s="151" t="str">
        <f t="shared" si="61"/>
        <v>Plant &amp; Pre-Folding 36R-20</v>
      </c>
      <c r="H287" s="30">
        <v>196950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3734.6294018375561</v>
      </c>
      <c r="W287" s="9">
        <f t="shared" si="65"/>
        <v>24.897529345583706</v>
      </c>
      <c r="X287" s="8">
        <f t="shared" si="66"/>
        <v>11078.4375</v>
      </c>
      <c r="Y287" s="7">
        <f t="shared" si="67"/>
        <v>73.856250000000003</v>
      </c>
      <c r="Z287" s="2">
        <f t="shared" si="68"/>
        <v>88627.5</v>
      </c>
      <c r="AA287" s="2">
        <f t="shared" si="69"/>
        <v>13540.3125</v>
      </c>
      <c r="AB287" s="2">
        <f t="shared" si="70"/>
        <v>142788.75</v>
      </c>
      <c r="AC287" s="6">
        <f t="shared" si="71"/>
        <v>12850.987499999999</v>
      </c>
      <c r="AD287" s="6">
        <f t="shared" si="72"/>
        <v>3426.9300000000003</v>
      </c>
      <c r="AE287" s="6">
        <f t="shared" si="73"/>
        <v>29818.23</v>
      </c>
      <c r="AF287" s="5">
        <f t="shared" si="74"/>
        <v>198.78819999999999</v>
      </c>
      <c r="AG287" s="207"/>
    </row>
    <row r="288" spans="1:33" x14ac:dyDescent="0.2">
      <c r="A288" s="229">
        <v>341</v>
      </c>
      <c r="B288" s="1" t="str">
        <f t="shared" si="60"/>
        <v>2.84, Plant &amp; Pre-Rigid  4R-30</v>
      </c>
      <c r="C288" s="155">
        <v>2.84</v>
      </c>
      <c r="D288" s="151" t="s">
        <v>436</v>
      </c>
      <c r="E288" s="151" t="s">
        <v>293</v>
      </c>
      <c r="F288" s="151" t="s">
        <v>48</v>
      </c>
      <c r="G288" s="151" t="str">
        <f t="shared" si="61"/>
        <v>Plant &amp; Pre-Rigid  4R-30</v>
      </c>
      <c r="H288" s="30">
        <v>25755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488.3746140864497</v>
      </c>
      <c r="W288" s="9">
        <f t="shared" si="65"/>
        <v>3.2558307605763313</v>
      </c>
      <c r="X288" s="8">
        <f t="shared" si="66"/>
        <v>1448.71875</v>
      </c>
      <c r="Y288" s="7">
        <f t="shared" si="67"/>
        <v>9.6581250000000001</v>
      </c>
      <c r="Z288" s="2">
        <f t="shared" si="68"/>
        <v>11589.75</v>
      </c>
      <c r="AA288" s="2">
        <f t="shared" si="69"/>
        <v>1770.65625</v>
      </c>
      <c r="AB288" s="2">
        <f t="shared" si="70"/>
        <v>18672.375</v>
      </c>
      <c r="AC288" s="6">
        <f t="shared" si="71"/>
        <v>1680.5137499999998</v>
      </c>
      <c r="AD288" s="6">
        <f t="shared" si="72"/>
        <v>448.137</v>
      </c>
      <c r="AE288" s="6">
        <f t="shared" si="73"/>
        <v>3899.3070000000002</v>
      </c>
      <c r="AF288" s="5">
        <f t="shared" si="74"/>
        <v>25.995380000000001</v>
      </c>
      <c r="AG288" s="207"/>
    </row>
    <row r="289" spans="1:33" x14ac:dyDescent="0.2">
      <c r="A289" s="229">
        <v>155</v>
      </c>
      <c r="B289" s="1" t="str">
        <f t="shared" si="60"/>
        <v>2.85, Plant &amp; Pre-Rigid  4R-36</v>
      </c>
      <c r="C289" s="155">
        <v>2.85</v>
      </c>
      <c r="D289" s="151" t="s">
        <v>436</v>
      </c>
      <c r="E289" s="151" t="s">
        <v>293</v>
      </c>
      <c r="F289" s="151" t="s">
        <v>201</v>
      </c>
      <c r="G289" s="151" t="str">
        <f t="shared" si="61"/>
        <v>Plant &amp; Pre-Rigid  4R-36</v>
      </c>
      <c r="H289" s="30">
        <v>27977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530.50889451743751</v>
      </c>
      <c r="W289" s="9">
        <f t="shared" si="65"/>
        <v>3.5367259634495833</v>
      </c>
      <c r="X289" s="8">
        <f t="shared" si="66"/>
        <v>1573.70625</v>
      </c>
      <c r="Y289" s="7">
        <f t="shared" si="67"/>
        <v>10.491375</v>
      </c>
      <c r="Z289" s="2">
        <f t="shared" si="68"/>
        <v>12589.65</v>
      </c>
      <c r="AA289" s="2">
        <f t="shared" si="69"/>
        <v>1923.41875</v>
      </c>
      <c r="AB289" s="2">
        <f t="shared" si="70"/>
        <v>20283.325000000001</v>
      </c>
      <c r="AC289" s="6">
        <f t="shared" si="71"/>
        <v>1825.4992500000001</v>
      </c>
      <c r="AD289" s="6">
        <f t="shared" si="72"/>
        <v>486.7998</v>
      </c>
      <c r="AE289" s="6">
        <f t="shared" si="73"/>
        <v>4235.7178000000004</v>
      </c>
      <c r="AF289" s="5">
        <f t="shared" si="74"/>
        <v>28.238118666666669</v>
      </c>
      <c r="AG289" s="207"/>
    </row>
    <row r="290" spans="1:33" x14ac:dyDescent="0.2">
      <c r="A290" s="229">
        <v>531</v>
      </c>
      <c r="B290" s="1" t="str">
        <f t="shared" si="60"/>
        <v>2.86, Plant &amp; Pre-Rigid 11R-15</v>
      </c>
      <c r="C290" s="155">
        <v>2.86</v>
      </c>
      <c r="D290" s="151" t="s">
        <v>436</v>
      </c>
      <c r="E290" s="151" t="s">
        <v>293</v>
      </c>
      <c r="F290" s="151" t="s">
        <v>54</v>
      </c>
      <c r="G290" s="151" t="str">
        <f t="shared" si="61"/>
        <v>Plant &amp; Pre-Rigid 11R-15</v>
      </c>
      <c r="H290" s="30">
        <v>47369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898.22625100605842</v>
      </c>
      <c r="W290" s="9">
        <f t="shared" si="65"/>
        <v>5.9881750067070563</v>
      </c>
      <c r="X290" s="8">
        <f t="shared" si="66"/>
        <v>2664.5062499999999</v>
      </c>
      <c r="Y290" s="7">
        <f t="shared" si="67"/>
        <v>17.763375</v>
      </c>
      <c r="Z290" s="2">
        <f t="shared" si="68"/>
        <v>21316.05</v>
      </c>
      <c r="AA290" s="2">
        <f t="shared" si="69"/>
        <v>3256.6187500000001</v>
      </c>
      <c r="AB290" s="2">
        <f t="shared" si="70"/>
        <v>34342.525000000001</v>
      </c>
      <c r="AC290" s="6">
        <f t="shared" si="71"/>
        <v>3090.8272499999998</v>
      </c>
      <c r="AD290" s="6">
        <f t="shared" si="72"/>
        <v>824.2206000000001</v>
      </c>
      <c r="AE290" s="6">
        <f t="shared" si="73"/>
        <v>7171.6666000000005</v>
      </c>
      <c r="AF290" s="5">
        <f t="shared" si="74"/>
        <v>47.811110666666671</v>
      </c>
      <c r="AG290" s="207"/>
    </row>
    <row r="291" spans="1:33" x14ac:dyDescent="0.2">
      <c r="A291" s="229">
        <v>156</v>
      </c>
      <c r="B291" s="1" t="str">
        <f t="shared" si="60"/>
        <v>2.87, Plant &amp; Pre-Rigid  6R-30</v>
      </c>
      <c r="C291" s="155">
        <v>2.87</v>
      </c>
      <c r="D291" s="151" t="s">
        <v>436</v>
      </c>
      <c r="E291" s="151" t="s">
        <v>293</v>
      </c>
      <c r="F291" s="151" t="s">
        <v>53</v>
      </c>
      <c r="G291" s="151" t="str">
        <f t="shared" si="61"/>
        <v>Plant &amp; Pre-Rigid  6R-30</v>
      </c>
      <c r="H291" s="30">
        <v>35653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676.06368146085003</v>
      </c>
      <c r="W291" s="9">
        <f t="shared" si="65"/>
        <v>4.5070912097390003</v>
      </c>
      <c r="X291" s="8">
        <f t="shared" si="66"/>
        <v>2005.48125</v>
      </c>
      <c r="Y291" s="7">
        <f t="shared" si="67"/>
        <v>13.369875</v>
      </c>
      <c r="Z291" s="2">
        <f t="shared" si="68"/>
        <v>16043.85</v>
      </c>
      <c r="AA291" s="2">
        <f t="shared" si="69"/>
        <v>2451.1437500000002</v>
      </c>
      <c r="AB291" s="2">
        <f t="shared" si="70"/>
        <v>25848.424999999999</v>
      </c>
      <c r="AC291" s="6">
        <f t="shared" si="71"/>
        <v>2326.3582499999998</v>
      </c>
      <c r="AD291" s="6">
        <f t="shared" si="72"/>
        <v>620.36220000000003</v>
      </c>
      <c r="AE291" s="6">
        <f t="shared" si="73"/>
        <v>5397.8642</v>
      </c>
      <c r="AF291" s="5">
        <f t="shared" si="74"/>
        <v>35.985761333333336</v>
      </c>
      <c r="AG291" s="207"/>
    </row>
    <row r="292" spans="1:33" x14ac:dyDescent="0.2">
      <c r="A292" s="229">
        <v>157</v>
      </c>
      <c r="B292" s="1" t="str">
        <f t="shared" si="60"/>
        <v>2.88, Plant &amp; Pre-Rigid  6R-36</v>
      </c>
      <c r="C292" s="155">
        <v>2.88</v>
      </c>
      <c r="D292" s="151" t="s">
        <v>436</v>
      </c>
      <c r="E292" s="151" t="s">
        <v>293</v>
      </c>
      <c r="F292" s="151" t="s">
        <v>202</v>
      </c>
      <c r="G292" s="151" t="str">
        <f t="shared" si="61"/>
        <v>Plant &amp; Pre-Rigid  6R-36</v>
      </c>
      <c r="H292" s="30">
        <v>31714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601.37109342409883</v>
      </c>
      <c r="W292" s="9">
        <f t="shared" si="65"/>
        <v>4.0091406228273252</v>
      </c>
      <c r="X292" s="8">
        <f t="shared" si="66"/>
        <v>1783.9124999999999</v>
      </c>
      <c r="Y292" s="7">
        <f t="shared" si="67"/>
        <v>11.892749999999999</v>
      </c>
      <c r="Z292" s="2">
        <f t="shared" si="68"/>
        <v>14271.3</v>
      </c>
      <c r="AA292" s="2">
        <f t="shared" si="69"/>
        <v>2180.3375000000001</v>
      </c>
      <c r="AB292" s="2">
        <f t="shared" si="70"/>
        <v>22992.65</v>
      </c>
      <c r="AC292" s="6">
        <f t="shared" si="71"/>
        <v>2069.3384999999998</v>
      </c>
      <c r="AD292" s="6">
        <f t="shared" si="72"/>
        <v>551.82360000000006</v>
      </c>
      <c r="AE292" s="6">
        <f t="shared" si="73"/>
        <v>4801.4995999999992</v>
      </c>
      <c r="AF292" s="5">
        <f t="shared" si="74"/>
        <v>32.009997333333331</v>
      </c>
      <c r="AG292" s="207"/>
    </row>
    <row r="293" spans="1:33" x14ac:dyDescent="0.2">
      <c r="A293" s="229">
        <v>535</v>
      </c>
      <c r="B293" s="1" t="str">
        <f t="shared" si="60"/>
        <v>2.89, Plant &amp; Pre-Rigid 11R-20</v>
      </c>
      <c r="C293" s="155">
        <v>2.89</v>
      </c>
      <c r="D293" s="151" t="s">
        <v>436</v>
      </c>
      <c r="E293" s="151" t="s">
        <v>293</v>
      </c>
      <c r="F293" s="151" t="s">
        <v>52</v>
      </c>
      <c r="G293" s="151" t="str">
        <f t="shared" si="61"/>
        <v>Plant &amp; Pre-Rigid 11R-20</v>
      </c>
      <c r="H293" s="30">
        <v>42925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813.95769014408279</v>
      </c>
      <c r="W293" s="9">
        <f t="shared" si="65"/>
        <v>5.4263846009605521</v>
      </c>
      <c r="X293" s="8">
        <f t="shared" si="66"/>
        <v>2414.53125</v>
      </c>
      <c r="Y293" s="7">
        <f t="shared" si="67"/>
        <v>16.096875000000001</v>
      </c>
      <c r="Z293" s="2">
        <f t="shared" si="68"/>
        <v>19316.25</v>
      </c>
      <c r="AA293" s="2">
        <f t="shared" si="69"/>
        <v>2951.09375</v>
      </c>
      <c r="AB293" s="2">
        <f t="shared" si="70"/>
        <v>31120.625</v>
      </c>
      <c r="AC293" s="6">
        <f t="shared" si="71"/>
        <v>2800.8562499999998</v>
      </c>
      <c r="AD293" s="6">
        <f t="shared" si="72"/>
        <v>746.89499999999998</v>
      </c>
      <c r="AE293" s="6">
        <f t="shared" si="73"/>
        <v>6498.8449999999993</v>
      </c>
      <c r="AF293" s="5">
        <f t="shared" si="74"/>
        <v>43.325633333333329</v>
      </c>
      <c r="AG293" s="207"/>
    </row>
    <row r="294" spans="1:33" x14ac:dyDescent="0.2">
      <c r="A294" s="229">
        <v>621</v>
      </c>
      <c r="B294" s="1" t="str">
        <f t="shared" si="60"/>
        <v>2.9, Plant &amp; Pre-Rigid 15R-15</v>
      </c>
      <c r="C294" s="155">
        <v>2.9</v>
      </c>
      <c r="D294" s="151" t="s">
        <v>436</v>
      </c>
      <c r="E294" s="151" t="s">
        <v>293</v>
      </c>
      <c r="F294" s="151" t="s">
        <v>51</v>
      </c>
      <c r="G294" s="151" t="str">
        <f t="shared" si="61"/>
        <v>Plant &amp; Pre-Rigid 15R-15</v>
      </c>
      <c r="H294" s="30">
        <v>57873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1097.4064857707281</v>
      </c>
      <c r="W294" s="9">
        <f t="shared" si="65"/>
        <v>7.3160432384715204</v>
      </c>
      <c r="X294" s="8">
        <f t="shared" si="66"/>
        <v>3255.3562499999998</v>
      </c>
      <c r="Y294" s="7">
        <f t="shared" si="67"/>
        <v>21.702375</v>
      </c>
      <c r="Z294" s="2">
        <f t="shared" si="68"/>
        <v>26042.85</v>
      </c>
      <c r="AA294" s="2">
        <f t="shared" si="69"/>
        <v>3978.7687500000002</v>
      </c>
      <c r="AB294" s="2">
        <f t="shared" si="70"/>
        <v>41957.925000000003</v>
      </c>
      <c r="AC294" s="6">
        <f t="shared" si="71"/>
        <v>3776.2132500000002</v>
      </c>
      <c r="AD294" s="6">
        <f t="shared" si="72"/>
        <v>1006.9902000000001</v>
      </c>
      <c r="AE294" s="6">
        <f t="shared" si="73"/>
        <v>8761.9722000000002</v>
      </c>
      <c r="AF294" s="5">
        <f t="shared" si="74"/>
        <v>58.413148</v>
      </c>
      <c r="AG294" s="207"/>
    </row>
    <row r="295" spans="1:33" x14ac:dyDescent="0.2">
      <c r="A295" s="229">
        <v>159</v>
      </c>
      <c r="B295" s="1" t="str">
        <f t="shared" si="60"/>
        <v>2.91, Plant &amp; Pre-Rigid  8R-30</v>
      </c>
      <c r="C295" s="155">
        <v>2.91</v>
      </c>
      <c r="D295" s="151" t="s">
        <v>436</v>
      </c>
      <c r="E295" s="151" t="s">
        <v>293</v>
      </c>
      <c r="F295" s="151" t="s">
        <v>25</v>
      </c>
      <c r="G295" s="151" t="str">
        <f t="shared" si="61"/>
        <v>Plant &amp; Pre-Rigid  8R-30</v>
      </c>
      <c r="H295" s="30">
        <v>40501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767.9930205830052</v>
      </c>
      <c r="W295" s="9">
        <f t="shared" si="65"/>
        <v>5.1199534705533685</v>
      </c>
      <c r="X295" s="8">
        <f t="shared" si="66"/>
        <v>2278.1812500000001</v>
      </c>
      <c r="Y295" s="7">
        <f t="shared" si="67"/>
        <v>15.187875</v>
      </c>
      <c r="Z295" s="2">
        <f t="shared" si="68"/>
        <v>18225.45</v>
      </c>
      <c r="AA295" s="2">
        <f t="shared" si="69"/>
        <v>2784.4437499999999</v>
      </c>
      <c r="AB295" s="2">
        <f t="shared" si="70"/>
        <v>29363.224999999999</v>
      </c>
      <c r="AC295" s="6">
        <f t="shared" si="71"/>
        <v>2642.6902499999997</v>
      </c>
      <c r="AD295" s="6">
        <f t="shared" si="72"/>
        <v>704.7174</v>
      </c>
      <c r="AE295" s="6">
        <f t="shared" si="73"/>
        <v>6131.8513999999996</v>
      </c>
      <c r="AF295" s="5">
        <f t="shared" si="74"/>
        <v>40.879009333333329</v>
      </c>
      <c r="AG295" s="207"/>
    </row>
    <row r="296" spans="1:33" x14ac:dyDescent="0.2">
      <c r="A296" s="229">
        <v>163</v>
      </c>
      <c r="B296" s="1" t="str">
        <f t="shared" si="60"/>
        <v>2.92, Plant &amp; Pre-Rigid 12R-20</v>
      </c>
      <c r="C296" s="155">
        <v>2.92</v>
      </c>
      <c r="D296" s="151" t="s">
        <v>436</v>
      </c>
      <c r="E296" s="151" t="s">
        <v>293</v>
      </c>
      <c r="F296" s="151" t="s">
        <v>50</v>
      </c>
      <c r="G296" s="151" t="str">
        <f t="shared" si="61"/>
        <v>Plant &amp; Pre-Rigid 12R-20</v>
      </c>
      <c r="H296" s="30">
        <v>49389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936.53014230695646</v>
      </c>
      <c r="W296" s="9">
        <f t="shared" si="65"/>
        <v>6.2435342820463768</v>
      </c>
      <c r="X296" s="8">
        <f t="shared" si="66"/>
        <v>2778.1312499999999</v>
      </c>
      <c r="Y296" s="7">
        <f t="shared" si="67"/>
        <v>18.520875</v>
      </c>
      <c r="Z296" s="2">
        <f t="shared" si="68"/>
        <v>22225.05</v>
      </c>
      <c r="AA296" s="2">
        <f t="shared" si="69"/>
        <v>3395.4937500000001</v>
      </c>
      <c r="AB296" s="2">
        <f t="shared" si="70"/>
        <v>35807.025000000001</v>
      </c>
      <c r="AC296" s="6">
        <f t="shared" si="71"/>
        <v>3222.6322500000001</v>
      </c>
      <c r="AD296" s="6">
        <f t="shared" si="72"/>
        <v>859.36860000000001</v>
      </c>
      <c r="AE296" s="6">
        <f t="shared" si="73"/>
        <v>7477.4946</v>
      </c>
      <c r="AF296" s="5">
        <f t="shared" si="74"/>
        <v>49.849964</v>
      </c>
      <c r="AG296" s="207"/>
    </row>
    <row r="297" spans="1:33" x14ac:dyDescent="0.2">
      <c r="A297" s="229">
        <v>644</v>
      </c>
      <c r="B297" s="1" t="str">
        <f t="shared" si="60"/>
        <v>2.93, Plant &amp; Pre-Rigid 13R-18/20</v>
      </c>
      <c r="C297" s="155">
        <v>2.93</v>
      </c>
      <c r="D297" s="151" t="s">
        <v>436</v>
      </c>
      <c r="E297" s="151" t="s">
        <v>293</v>
      </c>
      <c r="F297" s="151" t="s">
        <v>49</v>
      </c>
      <c r="G297" s="151" t="str">
        <f t="shared" si="61"/>
        <v>Plant &amp; Pre-Rigid 13R-18/20</v>
      </c>
      <c r="H297" s="30">
        <v>52722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999.73156295343813</v>
      </c>
      <c r="W297" s="9">
        <f t="shared" si="65"/>
        <v>6.6648770863562543</v>
      </c>
      <c r="X297" s="8">
        <f t="shared" si="66"/>
        <v>2965.6125000000002</v>
      </c>
      <c r="Y297" s="7">
        <f t="shared" si="67"/>
        <v>19.77075</v>
      </c>
      <c r="Z297" s="2">
        <f t="shared" si="68"/>
        <v>23724.9</v>
      </c>
      <c r="AA297" s="2">
        <f t="shared" si="69"/>
        <v>3624.6374999999998</v>
      </c>
      <c r="AB297" s="2">
        <f t="shared" si="70"/>
        <v>38223.449999999997</v>
      </c>
      <c r="AC297" s="6">
        <f t="shared" si="71"/>
        <v>3440.1104999999998</v>
      </c>
      <c r="AD297" s="6">
        <f t="shared" si="72"/>
        <v>917.36279999999999</v>
      </c>
      <c r="AE297" s="6">
        <f t="shared" si="73"/>
        <v>7982.1107999999995</v>
      </c>
      <c r="AF297" s="5">
        <f t="shared" si="74"/>
        <v>53.214071999999994</v>
      </c>
      <c r="AG297" s="207"/>
    </row>
    <row r="298" spans="1:33" x14ac:dyDescent="0.2">
      <c r="A298" s="229">
        <v>160</v>
      </c>
      <c r="B298" s="1" t="str">
        <f t="shared" si="60"/>
        <v>2.94, Plant &amp; Pre-Rigid  8R-36</v>
      </c>
      <c r="C298" s="155">
        <v>2.94</v>
      </c>
      <c r="D298" s="151" t="s">
        <v>436</v>
      </c>
      <c r="E298" s="151" t="s">
        <v>293</v>
      </c>
      <c r="F298" s="151" t="s">
        <v>199</v>
      </c>
      <c r="G298" s="151" t="str">
        <f t="shared" si="61"/>
        <v>Plant &amp; Pre-Rigid  8R-36</v>
      </c>
      <c r="H298" s="30">
        <v>37976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720.11315645688262</v>
      </c>
      <c r="W298" s="9">
        <f t="shared" si="65"/>
        <v>4.8007543763792171</v>
      </c>
      <c r="X298" s="8">
        <f t="shared" si="66"/>
        <v>2136.15</v>
      </c>
      <c r="Y298" s="7">
        <f t="shared" si="67"/>
        <v>14.241000000000001</v>
      </c>
      <c r="Z298" s="2">
        <f t="shared" si="68"/>
        <v>17089.2</v>
      </c>
      <c r="AA298" s="2">
        <f t="shared" si="69"/>
        <v>2610.85</v>
      </c>
      <c r="AB298" s="2">
        <f t="shared" si="70"/>
        <v>27532.6</v>
      </c>
      <c r="AC298" s="6">
        <f t="shared" si="71"/>
        <v>2477.9339999999997</v>
      </c>
      <c r="AD298" s="6">
        <f t="shared" si="72"/>
        <v>660.78239999999994</v>
      </c>
      <c r="AE298" s="6">
        <f t="shared" si="73"/>
        <v>5749.5663999999997</v>
      </c>
      <c r="AF298" s="5">
        <f t="shared" si="74"/>
        <v>38.330442666666663</v>
      </c>
      <c r="AG298" s="207"/>
    </row>
    <row r="299" spans="1:33" x14ac:dyDescent="0.2">
      <c r="A299" s="229">
        <v>161</v>
      </c>
      <c r="B299" s="1" t="str">
        <f t="shared" si="60"/>
        <v>2.95, Plant &amp; Pre-Rigid 10R-30</v>
      </c>
      <c r="C299" s="155">
        <v>2.95</v>
      </c>
      <c r="D299" s="151" t="s">
        <v>436</v>
      </c>
      <c r="E299" s="151" t="s">
        <v>293</v>
      </c>
      <c r="F299" s="151" t="s">
        <v>24</v>
      </c>
      <c r="G299" s="151" t="str">
        <f t="shared" si="61"/>
        <v>Plant &amp; Pre-Rigid 10R-30</v>
      </c>
      <c r="H299" s="30">
        <v>44036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835.02483035957675</v>
      </c>
      <c r="W299" s="9">
        <f t="shared" si="65"/>
        <v>5.5668322023971788</v>
      </c>
      <c r="X299" s="8">
        <f t="shared" si="66"/>
        <v>2477.0250000000001</v>
      </c>
      <c r="Y299" s="7">
        <f t="shared" si="67"/>
        <v>16.513500000000001</v>
      </c>
      <c r="Z299" s="2">
        <f t="shared" si="68"/>
        <v>19816.2</v>
      </c>
      <c r="AA299" s="2">
        <f t="shared" si="69"/>
        <v>3027.4749999999999</v>
      </c>
      <c r="AB299" s="2">
        <f t="shared" si="70"/>
        <v>31926.1</v>
      </c>
      <c r="AC299" s="6">
        <f t="shared" si="71"/>
        <v>2873.3489999999997</v>
      </c>
      <c r="AD299" s="6">
        <f t="shared" si="72"/>
        <v>766.22640000000001</v>
      </c>
      <c r="AE299" s="6">
        <f t="shared" si="73"/>
        <v>6667.0504000000001</v>
      </c>
      <c r="AF299" s="5">
        <f t="shared" si="74"/>
        <v>44.44700266666667</v>
      </c>
      <c r="AG299" s="207"/>
    </row>
    <row r="300" spans="1:33" x14ac:dyDescent="0.2">
      <c r="A300" s="229">
        <v>347</v>
      </c>
      <c r="B300" s="1" t="str">
        <f t="shared" si="60"/>
        <v>2.96, Plant &amp; Pre-Rigid 12R-30</v>
      </c>
      <c r="C300" s="155">
        <v>2.96</v>
      </c>
      <c r="D300" s="151" t="s">
        <v>436</v>
      </c>
      <c r="E300" s="151" t="s">
        <v>293</v>
      </c>
      <c r="F300" s="151" t="s">
        <v>6</v>
      </c>
      <c r="G300" s="151" t="str">
        <f t="shared" si="61"/>
        <v>Plant &amp; Pre-Rigid 12R-30</v>
      </c>
      <c r="H300" s="30">
        <v>62014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1175.9294629375693</v>
      </c>
      <c r="W300" s="9">
        <f t="shared" si="65"/>
        <v>7.8395297529171284</v>
      </c>
      <c r="X300" s="8">
        <f t="shared" si="66"/>
        <v>3488.2874999999999</v>
      </c>
      <c r="Y300" s="7">
        <f t="shared" si="67"/>
        <v>23.25525</v>
      </c>
      <c r="Z300" s="2">
        <f t="shared" si="68"/>
        <v>27906.3</v>
      </c>
      <c r="AA300" s="2">
        <f t="shared" si="69"/>
        <v>4263.4624999999996</v>
      </c>
      <c r="AB300" s="2">
        <f t="shared" si="70"/>
        <v>44960.15</v>
      </c>
      <c r="AC300" s="6">
        <f t="shared" si="71"/>
        <v>4046.4135000000001</v>
      </c>
      <c r="AD300" s="6">
        <f t="shared" si="72"/>
        <v>1079.0436</v>
      </c>
      <c r="AE300" s="6">
        <f t="shared" si="73"/>
        <v>9388.9196000000011</v>
      </c>
      <c r="AF300" s="5">
        <f t="shared" si="74"/>
        <v>62.592797333333344</v>
      </c>
      <c r="AG300" s="207"/>
    </row>
    <row r="301" spans="1:33" x14ac:dyDescent="0.2">
      <c r="A301" s="229">
        <v>645</v>
      </c>
      <c r="B301" s="1" t="str">
        <f t="shared" si="60"/>
        <v>2.97, Plant &amp; Pre-Twin Row 8R-36</v>
      </c>
      <c r="C301" s="155">
        <v>2.97</v>
      </c>
      <c r="D301" s="151" t="s">
        <v>436</v>
      </c>
      <c r="E301" s="151" t="s">
        <v>294</v>
      </c>
      <c r="F301" s="151" t="s">
        <v>205</v>
      </c>
      <c r="G301" s="151" t="str">
        <f t="shared" si="61"/>
        <v>Plant &amp; Pre-Twin Row 8R-36</v>
      </c>
      <c r="H301" s="30">
        <v>117160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2221.625695452085</v>
      </c>
      <c r="W301" s="9">
        <f t="shared" si="65"/>
        <v>14.810837969680566</v>
      </c>
      <c r="X301" s="8">
        <f t="shared" si="66"/>
        <v>6590.25</v>
      </c>
      <c r="Y301" s="7">
        <f t="shared" si="67"/>
        <v>43.935000000000002</v>
      </c>
      <c r="Z301" s="2">
        <f t="shared" si="68"/>
        <v>52722</v>
      </c>
      <c r="AA301" s="2">
        <f t="shared" si="69"/>
        <v>8054.75</v>
      </c>
      <c r="AB301" s="2">
        <f t="shared" si="70"/>
        <v>84941</v>
      </c>
      <c r="AC301" s="6">
        <f t="shared" si="71"/>
        <v>7644.69</v>
      </c>
      <c r="AD301" s="6">
        <f t="shared" si="72"/>
        <v>2038.5840000000001</v>
      </c>
      <c r="AE301" s="6">
        <f t="shared" si="73"/>
        <v>17738.023999999998</v>
      </c>
      <c r="AF301" s="5">
        <f t="shared" si="74"/>
        <v>118.25349333333332</v>
      </c>
      <c r="AG301" s="207"/>
    </row>
    <row r="302" spans="1:33" x14ac:dyDescent="0.2">
      <c r="A302" s="229">
        <v>604</v>
      </c>
      <c r="B302" s="1" t="str">
        <f t="shared" si="60"/>
        <v>2.98, Plant &amp; Pre-Twin Row 12R-36</v>
      </c>
      <c r="C302" s="155">
        <v>2.98</v>
      </c>
      <c r="D302" s="151" t="s">
        <v>436</v>
      </c>
      <c r="E302" s="151" t="s">
        <v>294</v>
      </c>
      <c r="F302" s="151" t="s">
        <v>200</v>
      </c>
      <c r="G302" s="151" t="str">
        <f t="shared" si="61"/>
        <v>Plant &amp; Pre-Twin Row 12R-36</v>
      </c>
      <c r="H302" s="30">
        <v>134330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2547.2087715097182</v>
      </c>
      <c r="W302" s="9">
        <f t="shared" si="65"/>
        <v>16.981391810064789</v>
      </c>
      <c r="X302" s="8">
        <f t="shared" si="66"/>
        <v>7556.0625</v>
      </c>
      <c r="Y302" s="7">
        <f t="shared" si="67"/>
        <v>50.373750000000001</v>
      </c>
      <c r="Z302" s="2">
        <f t="shared" si="68"/>
        <v>60448.5</v>
      </c>
      <c r="AA302" s="2">
        <f t="shared" si="69"/>
        <v>9235.1875</v>
      </c>
      <c r="AB302" s="2">
        <f t="shared" si="70"/>
        <v>97389.25</v>
      </c>
      <c r="AC302" s="6">
        <f t="shared" si="71"/>
        <v>8765.0324999999993</v>
      </c>
      <c r="AD302" s="6">
        <f t="shared" si="72"/>
        <v>2337.3420000000001</v>
      </c>
      <c r="AE302" s="6">
        <f t="shared" si="73"/>
        <v>20337.562000000002</v>
      </c>
      <c r="AF302" s="5">
        <f t="shared" si="74"/>
        <v>135.58374666666668</v>
      </c>
      <c r="AG302" s="207"/>
    </row>
    <row r="303" spans="1:33" x14ac:dyDescent="0.2">
      <c r="A303" s="229"/>
      <c r="B303" s="1" t="str">
        <f t="shared" si="60"/>
        <v>2.99, Plow 4 Bottom Switch</v>
      </c>
      <c r="C303" s="155">
        <v>2.99</v>
      </c>
      <c r="D303" s="151" t="s">
        <v>436</v>
      </c>
      <c r="E303" s="151" t="s">
        <v>421</v>
      </c>
      <c r="F303" s="151" t="s">
        <v>422</v>
      </c>
      <c r="G303" s="151" t="str">
        <f t="shared" si="61"/>
        <v>Plow 4 Bottom Switch</v>
      </c>
      <c r="H303" s="30">
        <v>14500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274.95367517971351</v>
      </c>
      <c r="W303" s="9">
        <f t="shared" si="65"/>
        <v>1.8330245011980901</v>
      </c>
      <c r="X303" s="8">
        <f t="shared" si="66"/>
        <v>725</v>
      </c>
      <c r="Y303" s="7">
        <f t="shared" si="67"/>
        <v>4.833333333333333</v>
      </c>
      <c r="Z303" s="2">
        <f t="shared" si="68"/>
        <v>4350</v>
      </c>
      <c r="AA303" s="2">
        <f t="shared" si="69"/>
        <v>1268.75</v>
      </c>
      <c r="AB303" s="2">
        <f t="shared" si="70"/>
        <v>9425</v>
      </c>
      <c r="AC303" s="6">
        <f t="shared" si="71"/>
        <v>848.25</v>
      </c>
      <c r="AD303" s="6">
        <f t="shared" si="72"/>
        <v>226.20000000000002</v>
      </c>
      <c r="AE303" s="6">
        <f t="shared" si="73"/>
        <v>2343.1999999999998</v>
      </c>
      <c r="AF303" s="5">
        <f t="shared" si="74"/>
        <v>15.621333333333332</v>
      </c>
      <c r="AG303" s="207"/>
    </row>
    <row r="304" spans="1:33" x14ac:dyDescent="0.2">
      <c r="A304" s="229"/>
      <c r="B304" s="1" t="str">
        <f t="shared" si="60"/>
        <v>3, Plow 5 Bottom Switch</v>
      </c>
      <c r="C304" s="155">
        <v>3</v>
      </c>
      <c r="D304" s="151" t="s">
        <v>436</v>
      </c>
      <c r="E304" s="151" t="s">
        <v>421</v>
      </c>
      <c r="F304" s="151" t="s">
        <v>423</v>
      </c>
      <c r="G304" s="151" t="str">
        <f t="shared" si="61"/>
        <v>Plow 5 Bottom Switch</v>
      </c>
      <c r="H304" s="30">
        <v>16500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312.87832003208774</v>
      </c>
      <c r="W304" s="9">
        <f t="shared" si="65"/>
        <v>2.0858554668805849</v>
      </c>
      <c r="X304" s="8">
        <f t="shared" si="66"/>
        <v>825</v>
      </c>
      <c r="Y304" s="7">
        <f t="shared" si="67"/>
        <v>5.5</v>
      </c>
      <c r="Z304" s="2">
        <f t="shared" si="68"/>
        <v>4950</v>
      </c>
      <c r="AA304" s="2">
        <f t="shared" si="69"/>
        <v>1443.75</v>
      </c>
      <c r="AB304" s="2">
        <f t="shared" si="70"/>
        <v>10725</v>
      </c>
      <c r="AC304" s="6">
        <f t="shared" si="71"/>
        <v>965.25</v>
      </c>
      <c r="AD304" s="6">
        <f t="shared" si="72"/>
        <v>257.39999999999998</v>
      </c>
      <c r="AE304" s="6">
        <f t="shared" si="73"/>
        <v>2666.4</v>
      </c>
      <c r="AF304" s="5">
        <f t="shared" si="74"/>
        <v>17.776</v>
      </c>
      <c r="AG304" s="207"/>
    </row>
    <row r="305" spans="1:33" x14ac:dyDescent="0.2">
      <c r="A305" s="229">
        <v>29</v>
      </c>
      <c r="B305" s="1" t="str">
        <f t="shared" si="60"/>
        <v>3.01, Roller/Cultipacker 12'</v>
      </c>
      <c r="C305" s="155">
        <v>3.01</v>
      </c>
      <c r="D305" s="151" t="s">
        <v>436</v>
      </c>
      <c r="E305" s="151" t="s">
        <v>295</v>
      </c>
      <c r="F305" s="151" t="s">
        <v>11</v>
      </c>
      <c r="G305" s="151" t="str">
        <f t="shared" si="61"/>
        <v>Roller/Cultipacker 12'</v>
      </c>
      <c r="H305" s="30">
        <v>4171.3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208.73964772571949</v>
      </c>
      <c r="W305" s="9">
        <f t="shared" si="65"/>
        <v>0.69579882575239826</v>
      </c>
      <c r="X305" s="8">
        <f t="shared" si="66"/>
        <v>295.46708333333333</v>
      </c>
      <c r="Y305" s="7">
        <f t="shared" si="67"/>
        <v>0.98489027777777782</v>
      </c>
      <c r="Z305" s="2">
        <f t="shared" si="68"/>
        <v>1042.825</v>
      </c>
      <c r="AA305" s="2">
        <f t="shared" si="69"/>
        <v>260.70625000000001</v>
      </c>
      <c r="AB305" s="2">
        <f t="shared" si="70"/>
        <v>2607.0625</v>
      </c>
      <c r="AC305" s="6">
        <f t="shared" si="71"/>
        <v>234.635625</v>
      </c>
      <c r="AD305" s="6">
        <f t="shared" si="72"/>
        <v>62.569499999999998</v>
      </c>
      <c r="AE305" s="6">
        <f t="shared" si="73"/>
        <v>557.91137500000002</v>
      </c>
      <c r="AF305" s="5">
        <f t="shared" si="74"/>
        <v>1.8597045833333334</v>
      </c>
      <c r="AG305" s="207"/>
    </row>
    <row r="306" spans="1:33" x14ac:dyDescent="0.2">
      <c r="A306" s="229">
        <v>30</v>
      </c>
      <c r="B306" s="1" t="str">
        <f t="shared" si="60"/>
        <v>3.02, Roller/Cultipacker 20'</v>
      </c>
      <c r="C306" s="155">
        <v>3.02</v>
      </c>
      <c r="D306" s="151" t="s">
        <v>436</v>
      </c>
      <c r="E306" s="151" t="s">
        <v>295</v>
      </c>
      <c r="F306" s="151" t="s">
        <v>8</v>
      </c>
      <c r="G306" s="151" t="str">
        <f t="shared" si="61"/>
        <v>Roller/Cultipacker 20'</v>
      </c>
      <c r="H306" s="30">
        <v>16362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818.78505887570361</v>
      </c>
      <c r="W306" s="9">
        <f t="shared" si="65"/>
        <v>2.7292835295856785</v>
      </c>
      <c r="X306" s="8">
        <f t="shared" si="66"/>
        <v>1158.9750000000001</v>
      </c>
      <c r="Y306" s="7">
        <f t="shared" si="67"/>
        <v>3.8632500000000003</v>
      </c>
      <c r="Z306" s="2">
        <f t="shared" si="68"/>
        <v>4090.5</v>
      </c>
      <c r="AA306" s="2">
        <f t="shared" si="69"/>
        <v>1022.625</v>
      </c>
      <c r="AB306" s="2">
        <f t="shared" si="70"/>
        <v>10226.25</v>
      </c>
      <c r="AC306" s="6">
        <f t="shared" si="71"/>
        <v>920.36249999999995</v>
      </c>
      <c r="AD306" s="6">
        <f t="shared" si="72"/>
        <v>245.43</v>
      </c>
      <c r="AE306" s="6">
        <f t="shared" si="73"/>
        <v>2188.4175</v>
      </c>
      <c r="AF306" s="5">
        <f t="shared" si="74"/>
        <v>7.2947249999999997</v>
      </c>
      <c r="AG306" s="207"/>
    </row>
    <row r="307" spans="1:33" x14ac:dyDescent="0.2">
      <c r="A307" s="229">
        <v>172</v>
      </c>
      <c r="B307" s="1" t="str">
        <f t="shared" si="60"/>
        <v>3.03, Roller/Cultipacker 30'</v>
      </c>
      <c r="C307" s="155">
        <v>3.03</v>
      </c>
      <c r="D307" s="151" t="s">
        <v>436</v>
      </c>
      <c r="E307" s="151" t="s">
        <v>295</v>
      </c>
      <c r="F307" s="151" t="s">
        <v>44</v>
      </c>
      <c r="G307" s="151" t="str">
        <f t="shared" si="61"/>
        <v>Roller/Cultipacker 30'</v>
      </c>
      <c r="H307" s="30">
        <v>18281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914.81540528705136</v>
      </c>
      <c r="W307" s="9">
        <f t="shared" si="65"/>
        <v>3.0493846842901711</v>
      </c>
      <c r="X307" s="8">
        <f t="shared" si="66"/>
        <v>1294.9041666666667</v>
      </c>
      <c r="Y307" s="7">
        <f t="shared" si="67"/>
        <v>4.3163472222222223</v>
      </c>
      <c r="Z307" s="2">
        <f t="shared" si="68"/>
        <v>4570.25</v>
      </c>
      <c r="AA307" s="2">
        <f t="shared" si="69"/>
        <v>1142.5625</v>
      </c>
      <c r="AB307" s="2">
        <f t="shared" si="70"/>
        <v>11425.625</v>
      </c>
      <c r="AC307" s="6">
        <f t="shared" si="71"/>
        <v>1028.3062499999999</v>
      </c>
      <c r="AD307" s="6">
        <f t="shared" si="72"/>
        <v>274.21500000000003</v>
      </c>
      <c r="AE307" s="6">
        <f t="shared" si="73"/>
        <v>2445.0837499999998</v>
      </c>
      <c r="AF307" s="5">
        <f t="shared" si="74"/>
        <v>8.1502791666666656</v>
      </c>
      <c r="AG307" s="207"/>
    </row>
    <row r="308" spans="1:33" x14ac:dyDescent="0.2">
      <c r="A308" s="229">
        <v>717</v>
      </c>
      <c r="B308" s="1" t="str">
        <f t="shared" si="60"/>
        <v>3.04, Roller/Cultipacker 38'</v>
      </c>
      <c r="C308" s="155">
        <v>3.04</v>
      </c>
      <c r="D308" s="151" t="s">
        <v>436</v>
      </c>
      <c r="E308" s="151" t="s">
        <v>295</v>
      </c>
      <c r="F308" s="151" t="s">
        <v>41</v>
      </c>
      <c r="G308" s="151" t="str">
        <f t="shared" si="61"/>
        <v>Roller/Cultipacker 38'</v>
      </c>
      <c r="H308" s="30">
        <v>19796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990.62883666443133</v>
      </c>
      <c r="W308" s="9">
        <f t="shared" si="65"/>
        <v>3.3020961222147709</v>
      </c>
      <c r="X308" s="8">
        <f t="shared" si="66"/>
        <v>1402.2166666666665</v>
      </c>
      <c r="Y308" s="7">
        <f t="shared" si="67"/>
        <v>4.6740555555555545</v>
      </c>
      <c r="Z308" s="2">
        <f t="shared" si="68"/>
        <v>4949</v>
      </c>
      <c r="AA308" s="2">
        <f t="shared" si="69"/>
        <v>1237.25</v>
      </c>
      <c r="AB308" s="2">
        <f t="shared" si="70"/>
        <v>12372.5</v>
      </c>
      <c r="AC308" s="6">
        <f t="shared" si="71"/>
        <v>1113.5249999999999</v>
      </c>
      <c r="AD308" s="6">
        <f t="shared" si="72"/>
        <v>296.94</v>
      </c>
      <c r="AE308" s="6">
        <f t="shared" si="73"/>
        <v>2647.7149999999997</v>
      </c>
      <c r="AF308" s="5">
        <f t="shared" si="74"/>
        <v>8.8257166666666649</v>
      </c>
      <c r="AG308" s="207"/>
    </row>
    <row r="309" spans="1:33" x14ac:dyDescent="0.2">
      <c r="A309" s="229">
        <v>718</v>
      </c>
      <c r="B309" s="1" t="str">
        <f t="shared" si="60"/>
        <v>3.05, Roller/Stubble 20'</v>
      </c>
      <c r="C309" s="155">
        <v>3.05</v>
      </c>
      <c r="D309" s="151" t="s">
        <v>436</v>
      </c>
      <c r="E309" s="151" t="s">
        <v>296</v>
      </c>
      <c r="F309" s="151" t="s">
        <v>8</v>
      </c>
      <c r="G309" s="151" t="str">
        <f t="shared" si="61"/>
        <v>Roller/Stubble 20'</v>
      </c>
      <c r="H309" s="30">
        <v>13332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667.15819612094367</v>
      </c>
      <c r="W309" s="9">
        <f t="shared" si="65"/>
        <v>2.2238606537364789</v>
      </c>
      <c r="X309" s="8">
        <f t="shared" si="66"/>
        <v>944.35</v>
      </c>
      <c r="Y309" s="7">
        <f t="shared" si="67"/>
        <v>3.1478333333333333</v>
      </c>
      <c r="Z309" s="2">
        <f t="shared" si="68"/>
        <v>3333</v>
      </c>
      <c r="AA309" s="2">
        <f t="shared" si="69"/>
        <v>833.25</v>
      </c>
      <c r="AB309" s="2">
        <f t="shared" si="70"/>
        <v>8332.5</v>
      </c>
      <c r="AC309" s="6">
        <f t="shared" si="71"/>
        <v>749.92499999999995</v>
      </c>
      <c r="AD309" s="6">
        <f t="shared" si="72"/>
        <v>199.98000000000002</v>
      </c>
      <c r="AE309" s="6">
        <f t="shared" si="73"/>
        <v>1783.155</v>
      </c>
      <c r="AF309" s="5">
        <f t="shared" si="74"/>
        <v>5.9438500000000003</v>
      </c>
      <c r="AG309" s="207"/>
    </row>
    <row r="310" spans="1:33" x14ac:dyDescent="0.2">
      <c r="A310" s="229">
        <v>719</v>
      </c>
      <c r="B310" s="1" t="str">
        <f t="shared" si="60"/>
        <v>3.06, Roller/Stubble 32'</v>
      </c>
      <c r="C310" s="155">
        <v>3.06</v>
      </c>
      <c r="D310" s="151" t="s">
        <v>436</v>
      </c>
      <c r="E310" s="151" t="s">
        <v>296</v>
      </c>
      <c r="F310" s="151" t="s">
        <v>43</v>
      </c>
      <c r="G310" s="151" t="str">
        <f t="shared" si="61"/>
        <v>Roller/Stubble 32'</v>
      </c>
      <c r="H310" s="30">
        <v>22624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1132.1472419022073</v>
      </c>
      <c r="W310" s="9">
        <f t="shared" si="65"/>
        <v>3.7738241396740242</v>
      </c>
      <c r="X310" s="8">
        <f t="shared" si="66"/>
        <v>1602.5333333333335</v>
      </c>
      <c r="Y310" s="7">
        <f t="shared" si="67"/>
        <v>5.3417777777777786</v>
      </c>
      <c r="Z310" s="2">
        <f t="shared" si="68"/>
        <v>5656</v>
      </c>
      <c r="AA310" s="2">
        <f t="shared" si="69"/>
        <v>1414</v>
      </c>
      <c r="AB310" s="2">
        <f t="shared" si="70"/>
        <v>14140</v>
      </c>
      <c r="AC310" s="6">
        <f t="shared" si="71"/>
        <v>1272.5999999999999</v>
      </c>
      <c r="AD310" s="6">
        <f t="shared" si="72"/>
        <v>339.36</v>
      </c>
      <c r="AE310" s="6">
        <f t="shared" si="73"/>
        <v>3025.96</v>
      </c>
      <c r="AF310" s="5">
        <f t="shared" si="74"/>
        <v>10.086533333333334</v>
      </c>
      <c r="AG310" s="207"/>
    </row>
    <row r="311" spans="1:33" x14ac:dyDescent="0.2">
      <c r="A311" s="229">
        <v>485</v>
      </c>
      <c r="B311" s="1" t="str">
        <f t="shared" si="60"/>
        <v>3.07, Rotary Cutter  7'</v>
      </c>
      <c r="C311" s="155">
        <v>3.07</v>
      </c>
      <c r="D311" s="151" t="s">
        <v>436</v>
      </c>
      <c r="E311" s="151" t="s">
        <v>297</v>
      </c>
      <c r="F311" s="151" t="s">
        <v>42</v>
      </c>
      <c r="G311" s="151" t="str">
        <f t="shared" si="61"/>
        <v>Rotary Cutter  7'</v>
      </c>
      <c r="H311" s="30">
        <v>4423.8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112.51221334004524</v>
      </c>
      <c r="W311" s="9">
        <f t="shared" si="65"/>
        <v>0.60817412616240663</v>
      </c>
      <c r="X311" s="8">
        <f t="shared" si="66"/>
        <v>663.56999999999994</v>
      </c>
      <c r="Y311" s="7">
        <f t="shared" si="67"/>
        <v>3.5868648648648644</v>
      </c>
      <c r="Z311" s="2">
        <f t="shared" si="68"/>
        <v>1327.14</v>
      </c>
      <c r="AA311" s="2">
        <f t="shared" si="69"/>
        <v>309.666</v>
      </c>
      <c r="AB311" s="2">
        <f t="shared" si="70"/>
        <v>2875.4700000000003</v>
      </c>
      <c r="AC311" s="6">
        <f t="shared" si="71"/>
        <v>258.79230000000001</v>
      </c>
      <c r="AD311" s="6">
        <f t="shared" si="72"/>
        <v>69.011280000000014</v>
      </c>
      <c r="AE311" s="6">
        <f t="shared" si="73"/>
        <v>637.46958000000006</v>
      </c>
      <c r="AF311" s="5">
        <f t="shared" si="74"/>
        <v>3.4457815135135137</v>
      </c>
      <c r="AG311" s="207"/>
    </row>
    <row r="312" spans="1:33" x14ac:dyDescent="0.2">
      <c r="A312" s="229">
        <v>199</v>
      </c>
      <c r="B312" s="1" t="str">
        <f t="shared" si="60"/>
        <v>3.08, Rotary Cutter 12'</v>
      </c>
      <c r="C312" s="155">
        <v>3.08</v>
      </c>
      <c r="D312" s="151" t="s">
        <v>436</v>
      </c>
      <c r="E312" s="151" t="s">
        <v>297</v>
      </c>
      <c r="F312" s="151" t="s">
        <v>11</v>
      </c>
      <c r="G312" s="151" t="str">
        <f t="shared" si="61"/>
        <v>Rotary Cutter 12'</v>
      </c>
      <c r="H312" s="30">
        <v>12726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323.66527125218494</v>
      </c>
      <c r="W312" s="9">
        <f t="shared" si="65"/>
        <v>1.7495420067685672</v>
      </c>
      <c r="X312" s="8">
        <f t="shared" si="66"/>
        <v>1908.9</v>
      </c>
      <c r="Y312" s="7">
        <f t="shared" si="67"/>
        <v>10.318378378378378</v>
      </c>
      <c r="Z312" s="2">
        <f t="shared" si="68"/>
        <v>3817.8</v>
      </c>
      <c r="AA312" s="2">
        <f t="shared" si="69"/>
        <v>890.82</v>
      </c>
      <c r="AB312" s="2">
        <f t="shared" si="70"/>
        <v>8271.9</v>
      </c>
      <c r="AC312" s="6">
        <f t="shared" si="71"/>
        <v>744.47099999999989</v>
      </c>
      <c r="AD312" s="6">
        <f t="shared" si="72"/>
        <v>198.5256</v>
      </c>
      <c r="AE312" s="6">
        <f t="shared" si="73"/>
        <v>1833.8165999999999</v>
      </c>
      <c r="AF312" s="5">
        <f t="shared" si="74"/>
        <v>9.912522162162162</v>
      </c>
      <c r="AG312" s="207"/>
    </row>
    <row r="313" spans="1:33" x14ac:dyDescent="0.2">
      <c r="A313" s="229">
        <v>484</v>
      </c>
      <c r="B313" s="1" t="str">
        <f t="shared" si="60"/>
        <v>3.09, Rotary Cutter-Flex 15'</v>
      </c>
      <c r="C313" s="155">
        <v>3.09</v>
      </c>
      <c r="D313" s="151" t="s">
        <v>436</v>
      </c>
      <c r="E313" s="151" t="s">
        <v>298</v>
      </c>
      <c r="F313" s="151" t="s">
        <v>10</v>
      </c>
      <c r="G313" s="151" t="str">
        <f t="shared" si="61"/>
        <v>Rotary Cutter-Flex 15'</v>
      </c>
      <c r="H313" s="30">
        <v>19695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500.91053884266711</v>
      </c>
      <c r="W313" s="9">
        <f t="shared" si="65"/>
        <v>2.7076245342846872</v>
      </c>
      <c r="X313" s="8">
        <f t="shared" si="66"/>
        <v>2954.25</v>
      </c>
      <c r="Y313" s="7">
        <f t="shared" si="67"/>
        <v>15.968918918918918</v>
      </c>
      <c r="Z313" s="2">
        <f t="shared" si="68"/>
        <v>5908.5</v>
      </c>
      <c r="AA313" s="2">
        <f t="shared" si="69"/>
        <v>1378.65</v>
      </c>
      <c r="AB313" s="2">
        <f t="shared" si="70"/>
        <v>12801.75</v>
      </c>
      <c r="AC313" s="6">
        <f t="shared" si="71"/>
        <v>1152.1575</v>
      </c>
      <c r="AD313" s="6">
        <f t="shared" si="72"/>
        <v>307.24200000000002</v>
      </c>
      <c r="AE313" s="6">
        <f t="shared" si="73"/>
        <v>2838.0495000000001</v>
      </c>
      <c r="AF313" s="5">
        <f t="shared" si="74"/>
        <v>15.340808108108108</v>
      </c>
      <c r="AG313" s="207"/>
    </row>
    <row r="314" spans="1:33" x14ac:dyDescent="0.2">
      <c r="A314" s="229">
        <v>562</v>
      </c>
      <c r="B314" s="1" t="str">
        <f t="shared" si="60"/>
        <v>3.1, Rotary Cutter-Flex 20'</v>
      </c>
      <c r="C314" s="155">
        <v>3.1</v>
      </c>
      <c r="D314" s="151" t="s">
        <v>436</v>
      </c>
      <c r="E314" s="151" t="s">
        <v>298</v>
      </c>
      <c r="F314" s="151" t="s">
        <v>8</v>
      </c>
      <c r="G314" s="151" t="str">
        <f t="shared" si="61"/>
        <v>Rotary Cutter-Flex 20'</v>
      </c>
      <c r="H314" s="30">
        <v>27270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693.56843839753913</v>
      </c>
      <c r="W314" s="9">
        <f t="shared" si="65"/>
        <v>3.7490185859326441</v>
      </c>
      <c r="X314" s="8">
        <f t="shared" si="66"/>
        <v>4090.5</v>
      </c>
      <c r="Y314" s="7">
        <f t="shared" si="67"/>
        <v>22.110810810810811</v>
      </c>
      <c r="Z314" s="2">
        <f t="shared" si="68"/>
        <v>8181</v>
      </c>
      <c r="AA314" s="2">
        <f t="shared" si="69"/>
        <v>1908.9</v>
      </c>
      <c r="AB314" s="2">
        <f t="shared" si="70"/>
        <v>17725.5</v>
      </c>
      <c r="AC314" s="6">
        <f t="shared" si="71"/>
        <v>1595.2949999999998</v>
      </c>
      <c r="AD314" s="6">
        <f t="shared" si="72"/>
        <v>425.41200000000003</v>
      </c>
      <c r="AE314" s="6">
        <f t="shared" si="73"/>
        <v>3929.607</v>
      </c>
      <c r="AF314" s="5">
        <f t="shared" si="74"/>
        <v>21.241118918918918</v>
      </c>
      <c r="AG314" s="207"/>
    </row>
    <row r="315" spans="1:33" x14ac:dyDescent="0.2">
      <c r="A315" s="229">
        <v>626</v>
      </c>
      <c r="B315" s="1" t="str">
        <f t="shared" si="60"/>
        <v>3.11, Row Cond &amp; Inc-Fold. 26'</v>
      </c>
      <c r="C315" s="155">
        <v>3.11</v>
      </c>
      <c r="D315" s="151" t="s">
        <v>436</v>
      </c>
      <c r="E315" s="151" t="s">
        <v>299</v>
      </c>
      <c r="F315" s="151" t="s">
        <v>38</v>
      </c>
      <c r="G315" s="151" t="str">
        <f t="shared" si="61"/>
        <v>Row Cond &amp; Inc-Fold. 26'</v>
      </c>
      <c r="H315" s="30">
        <v>24947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268.15264876254878</v>
      </c>
      <c r="W315" s="9">
        <f t="shared" si="65"/>
        <v>2.6815264876254878</v>
      </c>
      <c r="X315" s="8">
        <f t="shared" si="66"/>
        <v>623.67499999999995</v>
      </c>
      <c r="Y315" s="7">
        <f t="shared" si="67"/>
        <v>6.2367499999999998</v>
      </c>
      <c r="Z315" s="2">
        <f t="shared" si="68"/>
        <v>7484.1</v>
      </c>
      <c r="AA315" s="2">
        <f t="shared" si="69"/>
        <v>1746.2900000000002</v>
      </c>
      <c r="AB315" s="2">
        <f t="shared" si="70"/>
        <v>16215.55</v>
      </c>
      <c r="AC315" s="6">
        <f t="shared" si="71"/>
        <v>1459.3995</v>
      </c>
      <c r="AD315" s="6">
        <f t="shared" si="72"/>
        <v>389.17320000000001</v>
      </c>
      <c r="AE315" s="6">
        <f t="shared" si="73"/>
        <v>3594.8627000000006</v>
      </c>
      <c r="AF315" s="5">
        <f t="shared" si="74"/>
        <v>35.948627000000009</v>
      </c>
      <c r="AG315" s="207"/>
    </row>
    <row r="316" spans="1:33" x14ac:dyDescent="0.2">
      <c r="A316" s="229">
        <v>176</v>
      </c>
      <c r="B316" s="1" t="str">
        <f t="shared" si="60"/>
        <v>3.12, Row Cond &amp; Inc-Fold. 38'</v>
      </c>
      <c r="C316" s="155">
        <v>3.12</v>
      </c>
      <c r="D316" s="151" t="s">
        <v>436</v>
      </c>
      <c r="E316" s="151" t="s">
        <v>299</v>
      </c>
      <c r="F316" s="151" t="s">
        <v>41</v>
      </c>
      <c r="G316" s="151" t="str">
        <f t="shared" si="61"/>
        <v>Row Cond &amp; Inc-Fold. 38'</v>
      </c>
      <c r="H316" s="30">
        <v>35653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383.23030369708391</v>
      </c>
      <c r="W316" s="9">
        <f t="shared" si="65"/>
        <v>3.8323030369708393</v>
      </c>
      <c r="X316" s="8">
        <f t="shared" si="66"/>
        <v>891.32500000000005</v>
      </c>
      <c r="Y316" s="7">
        <f t="shared" si="67"/>
        <v>8.9132499999999997</v>
      </c>
      <c r="Z316" s="2">
        <f t="shared" si="68"/>
        <v>10695.9</v>
      </c>
      <c r="AA316" s="2">
        <f t="shared" si="69"/>
        <v>2495.71</v>
      </c>
      <c r="AB316" s="2">
        <f t="shared" si="70"/>
        <v>23174.45</v>
      </c>
      <c r="AC316" s="6">
        <f t="shared" si="71"/>
        <v>2085.7004999999999</v>
      </c>
      <c r="AD316" s="6">
        <f t="shared" si="72"/>
        <v>556.18680000000006</v>
      </c>
      <c r="AE316" s="6">
        <f t="shared" si="73"/>
        <v>5137.5973000000004</v>
      </c>
      <c r="AF316" s="5">
        <f t="shared" si="74"/>
        <v>51.375973000000002</v>
      </c>
      <c r="AG316" s="207"/>
    </row>
    <row r="317" spans="1:33" x14ac:dyDescent="0.2">
      <c r="A317" s="229">
        <v>173</v>
      </c>
      <c r="B317" s="1" t="str">
        <f t="shared" si="60"/>
        <v>3.13, Row Cond &amp; Inc-Rigid 13'</v>
      </c>
      <c r="C317" s="155">
        <v>3.13</v>
      </c>
      <c r="D317" s="151" t="s">
        <v>436</v>
      </c>
      <c r="E317" s="151" t="s">
        <v>300</v>
      </c>
      <c r="F317" s="151" t="s">
        <v>40</v>
      </c>
      <c r="G317" s="151" t="str">
        <f t="shared" si="61"/>
        <v>Row Cond &amp; Inc-Rigid 13'</v>
      </c>
      <c r="H317" s="30">
        <v>13433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144.38988779521856</v>
      </c>
      <c r="W317" s="9">
        <f t="shared" si="65"/>
        <v>1.4438988779521855</v>
      </c>
      <c r="X317" s="8">
        <f t="shared" si="66"/>
        <v>335.82499999999999</v>
      </c>
      <c r="Y317" s="7">
        <f t="shared" si="67"/>
        <v>3.35825</v>
      </c>
      <c r="Z317" s="2">
        <f t="shared" si="68"/>
        <v>4029.9</v>
      </c>
      <c r="AA317" s="2">
        <f t="shared" si="69"/>
        <v>940.31000000000006</v>
      </c>
      <c r="AB317" s="2">
        <f t="shared" si="70"/>
        <v>8731.4500000000007</v>
      </c>
      <c r="AC317" s="6">
        <f t="shared" si="71"/>
        <v>785.83050000000003</v>
      </c>
      <c r="AD317" s="6">
        <f t="shared" si="72"/>
        <v>209.55480000000003</v>
      </c>
      <c r="AE317" s="6">
        <f t="shared" si="73"/>
        <v>1935.6953000000001</v>
      </c>
      <c r="AF317" s="5">
        <f t="shared" si="74"/>
        <v>19.356953000000001</v>
      </c>
      <c r="AG317" s="207"/>
    </row>
    <row r="318" spans="1:33" x14ac:dyDescent="0.2">
      <c r="A318" s="229">
        <v>174</v>
      </c>
      <c r="B318" s="1" t="str">
        <f t="shared" si="60"/>
        <v>3.14, Row Cond &amp; Inc-Rigid 21'</v>
      </c>
      <c r="C318" s="155">
        <v>3.14</v>
      </c>
      <c r="D318" s="151" t="s">
        <v>436</v>
      </c>
      <c r="E318" s="151" t="s">
        <v>300</v>
      </c>
      <c r="F318" s="151" t="s">
        <v>39</v>
      </c>
      <c r="G318" s="151" t="str">
        <f t="shared" si="61"/>
        <v>Row Cond &amp; Inc-Rigid 21'</v>
      </c>
      <c r="H318" s="30">
        <v>19897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213.87073605757939</v>
      </c>
      <c r="W318" s="9">
        <f t="shared" si="65"/>
        <v>2.1387073605757938</v>
      </c>
      <c r="X318" s="8">
        <f t="shared" si="66"/>
        <v>497.42500000000001</v>
      </c>
      <c r="Y318" s="7">
        <f t="shared" si="67"/>
        <v>4.9742500000000005</v>
      </c>
      <c r="Z318" s="2">
        <f t="shared" si="68"/>
        <v>5969.1</v>
      </c>
      <c r="AA318" s="2">
        <f t="shared" si="69"/>
        <v>1392.79</v>
      </c>
      <c r="AB318" s="2">
        <f t="shared" si="70"/>
        <v>12933.05</v>
      </c>
      <c r="AC318" s="6">
        <f t="shared" si="71"/>
        <v>1163.9744999999998</v>
      </c>
      <c r="AD318" s="6">
        <f t="shared" si="72"/>
        <v>310.39319999999998</v>
      </c>
      <c r="AE318" s="6">
        <f t="shared" si="73"/>
        <v>2867.1576999999997</v>
      </c>
      <c r="AF318" s="5">
        <f t="shared" si="74"/>
        <v>28.671576999999999</v>
      </c>
      <c r="AG318" s="207"/>
    </row>
    <row r="319" spans="1:33" x14ac:dyDescent="0.2">
      <c r="A319" s="229">
        <v>175</v>
      </c>
      <c r="B319" s="1" t="str">
        <f t="shared" si="60"/>
        <v>3.15, Row Cond &amp; Inc-Rigid 26'</v>
      </c>
      <c r="C319" s="155">
        <v>3.15</v>
      </c>
      <c r="D319" s="151" t="s">
        <v>436</v>
      </c>
      <c r="E319" s="151" t="s">
        <v>300</v>
      </c>
      <c r="F319" s="151" t="s">
        <v>38</v>
      </c>
      <c r="G319" s="151" t="str">
        <f t="shared" si="61"/>
        <v>Row Cond &amp; Inc-Rigid 26'</v>
      </c>
      <c r="H319" s="30">
        <v>18887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203.01435351658552</v>
      </c>
      <c r="W319" s="9">
        <f t="shared" si="65"/>
        <v>2.030143535165855</v>
      </c>
      <c r="X319" s="8">
        <f t="shared" si="66"/>
        <v>472.17500000000001</v>
      </c>
      <c r="Y319" s="7">
        <f t="shared" si="67"/>
        <v>4.7217500000000001</v>
      </c>
      <c r="Z319" s="2">
        <f t="shared" si="68"/>
        <v>5666.1</v>
      </c>
      <c r="AA319" s="2">
        <f t="shared" si="69"/>
        <v>1322.09</v>
      </c>
      <c r="AB319" s="2">
        <f t="shared" si="70"/>
        <v>12276.55</v>
      </c>
      <c r="AC319" s="6">
        <f t="shared" si="71"/>
        <v>1104.8895</v>
      </c>
      <c r="AD319" s="6">
        <f t="shared" si="72"/>
        <v>294.63720000000001</v>
      </c>
      <c r="AE319" s="6">
        <f t="shared" si="73"/>
        <v>2721.6167</v>
      </c>
      <c r="AF319" s="5">
        <f t="shared" si="74"/>
        <v>27.216166999999999</v>
      </c>
      <c r="AG319" s="207"/>
    </row>
    <row r="320" spans="1:33" x14ac:dyDescent="0.2">
      <c r="A320" s="229">
        <v>654</v>
      </c>
      <c r="B320" s="1" t="str">
        <f t="shared" si="60"/>
        <v>3.16, Row Cond Folding 26'</v>
      </c>
      <c r="C320" s="155">
        <v>3.16</v>
      </c>
      <c r="D320" s="151" t="s">
        <v>436</v>
      </c>
      <c r="E320" s="151" t="s">
        <v>301</v>
      </c>
      <c r="F320" s="151" t="s">
        <v>38</v>
      </c>
      <c r="G320" s="151" t="str">
        <f t="shared" si="61"/>
        <v>Row Cond Folding 26'</v>
      </c>
      <c r="H320" s="30">
        <v>18988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204.09999177068488</v>
      </c>
      <c r="W320" s="9">
        <f t="shared" si="65"/>
        <v>2.040999917706849</v>
      </c>
      <c r="X320" s="8">
        <f t="shared" si="66"/>
        <v>474.7</v>
      </c>
      <c r="Y320" s="7">
        <f t="shared" si="67"/>
        <v>4.7469999999999999</v>
      </c>
      <c r="Z320" s="2">
        <f t="shared" si="68"/>
        <v>5696.4</v>
      </c>
      <c r="AA320" s="2">
        <f t="shared" si="69"/>
        <v>1329.16</v>
      </c>
      <c r="AB320" s="2">
        <f t="shared" si="70"/>
        <v>12342.2</v>
      </c>
      <c r="AC320" s="6">
        <f t="shared" si="71"/>
        <v>1110.798</v>
      </c>
      <c r="AD320" s="6">
        <f t="shared" si="72"/>
        <v>296.21280000000002</v>
      </c>
      <c r="AE320" s="6">
        <f t="shared" si="73"/>
        <v>2736.1707999999999</v>
      </c>
      <c r="AF320" s="5">
        <f t="shared" si="74"/>
        <v>27.361708</v>
      </c>
      <c r="AG320" s="207"/>
    </row>
    <row r="321" spans="1:33" x14ac:dyDescent="0.2">
      <c r="A321" s="229">
        <v>180</v>
      </c>
      <c r="B321" s="1" t="str">
        <f t="shared" si="60"/>
        <v>3.17, Row Cond Folding 38'</v>
      </c>
      <c r="C321" s="155">
        <v>3.17</v>
      </c>
      <c r="D321" s="151" t="s">
        <v>436</v>
      </c>
      <c r="E321" s="151" t="s">
        <v>301</v>
      </c>
      <c r="F321" s="151" t="s">
        <v>41</v>
      </c>
      <c r="G321" s="151" t="str">
        <f t="shared" si="61"/>
        <v>Row Cond Folding 38'</v>
      </c>
      <c r="H321" s="30">
        <v>28280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303.97871114782856</v>
      </c>
      <c r="W321" s="9">
        <f t="shared" si="65"/>
        <v>3.0397871114782857</v>
      </c>
      <c r="X321" s="8">
        <f t="shared" si="66"/>
        <v>707</v>
      </c>
      <c r="Y321" s="7">
        <f t="shared" si="67"/>
        <v>7.07</v>
      </c>
      <c r="Z321" s="2">
        <f t="shared" si="68"/>
        <v>8484</v>
      </c>
      <c r="AA321" s="2">
        <f t="shared" si="69"/>
        <v>1979.6</v>
      </c>
      <c r="AB321" s="2">
        <f t="shared" si="70"/>
        <v>18382</v>
      </c>
      <c r="AC321" s="6">
        <f t="shared" si="71"/>
        <v>1654.3799999999999</v>
      </c>
      <c r="AD321" s="6">
        <f t="shared" si="72"/>
        <v>441.16800000000001</v>
      </c>
      <c r="AE321" s="6">
        <f t="shared" si="73"/>
        <v>4075.1479999999997</v>
      </c>
      <c r="AF321" s="5">
        <f t="shared" si="74"/>
        <v>40.751479999999994</v>
      </c>
      <c r="AG321" s="207"/>
    </row>
    <row r="322" spans="1:33" x14ac:dyDescent="0.2">
      <c r="A322" s="229">
        <v>177</v>
      </c>
      <c r="B322" s="1" t="str">
        <f t="shared" si="60"/>
        <v>3.18, Row Cond Rigid 13'</v>
      </c>
      <c r="C322" s="155">
        <v>3.18</v>
      </c>
      <c r="D322" s="151" t="s">
        <v>436</v>
      </c>
      <c r="E322" s="151" t="s">
        <v>302</v>
      </c>
      <c r="F322" s="151" t="s">
        <v>40</v>
      </c>
      <c r="G322" s="151" t="str">
        <f t="shared" si="61"/>
        <v>Row Cond Rigid 13'</v>
      </c>
      <c r="H322" s="30">
        <v>7373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79.251592549255292</v>
      </c>
      <c r="W322" s="9">
        <f t="shared" si="65"/>
        <v>0.7925159254925529</v>
      </c>
      <c r="X322" s="8">
        <f t="shared" si="66"/>
        <v>184.32499999999999</v>
      </c>
      <c r="Y322" s="7">
        <f t="shared" si="67"/>
        <v>1.8432499999999998</v>
      </c>
      <c r="Z322" s="2">
        <f t="shared" si="68"/>
        <v>2211.9</v>
      </c>
      <c r="AA322" s="2">
        <f t="shared" si="69"/>
        <v>516.11</v>
      </c>
      <c r="AB322" s="2">
        <f t="shared" si="70"/>
        <v>4792.45</v>
      </c>
      <c r="AC322" s="6">
        <f t="shared" si="71"/>
        <v>431.32049999999998</v>
      </c>
      <c r="AD322" s="6">
        <f t="shared" si="72"/>
        <v>115.0188</v>
      </c>
      <c r="AE322" s="6">
        <f t="shared" si="73"/>
        <v>1062.4493</v>
      </c>
      <c r="AF322" s="5">
        <f t="shared" si="74"/>
        <v>10.624492999999999</v>
      </c>
      <c r="AG322" s="207"/>
    </row>
    <row r="323" spans="1:33" x14ac:dyDescent="0.2">
      <c r="A323" s="229">
        <v>178</v>
      </c>
      <c r="B323" s="1" t="str">
        <f t="shared" si="60"/>
        <v>3.19, Row Cond Rigid 21'</v>
      </c>
      <c r="C323" s="155">
        <v>3.19</v>
      </c>
      <c r="D323" s="151" t="s">
        <v>436</v>
      </c>
      <c r="E323" s="151" t="s">
        <v>302</v>
      </c>
      <c r="F323" s="151" t="s">
        <v>39</v>
      </c>
      <c r="G323" s="151" t="str">
        <f t="shared" si="61"/>
        <v>Row Cond Rigid 21'</v>
      </c>
      <c r="H323" s="30">
        <v>12120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130.27659049192653</v>
      </c>
      <c r="W323" s="9">
        <f t="shared" si="65"/>
        <v>1.3027659049192652</v>
      </c>
      <c r="X323" s="8">
        <f t="shared" si="66"/>
        <v>303</v>
      </c>
      <c r="Y323" s="7">
        <f t="shared" si="67"/>
        <v>3.03</v>
      </c>
      <c r="Z323" s="2">
        <f t="shared" si="68"/>
        <v>3636</v>
      </c>
      <c r="AA323" s="2">
        <f t="shared" si="69"/>
        <v>848.4</v>
      </c>
      <c r="AB323" s="2">
        <f t="shared" si="70"/>
        <v>7878</v>
      </c>
      <c r="AC323" s="6">
        <f t="shared" si="71"/>
        <v>709.02</v>
      </c>
      <c r="AD323" s="6">
        <f t="shared" si="72"/>
        <v>189.072</v>
      </c>
      <c r="AE323" s="6">
        <f t="shared" si="73"/>
        <v>1746.4920000000002</v>
      </c>
      <c r="AF323" s="5">
        <f t="shared" si="74"/>
        <v>17.464920000000003</v>
      </c>
      <c r="AG323" s="207"/>
    </row>
    <row r="324" spans="1:33" x14ac:dyDescent="0.2">
      <c r="A324" s="229">
        <v>179</v>
      </c>
      <c r="B324" s="1" t="str">
        <f t="shared" si="60"/>
        <v>3.2, Row Cond Rigid 26'</v>
      </c>
      <c r="C324" s="155">
        <v>3.2</v>
      </c>
      <c r="D324" s="151" t="s">
        <v>436</v>
      </c>
      <c r="E324" s="151" t="s">
        <v>302</v>
      </c>
      <c r="F324" s="151" t="s">
        <v>38</v>
      </c>
      <c r="G324" s="151" t="str">
        <f t="shared" si="61"/>
        <v>Row Cond Rigid 26'</v>
      </c>
      <c r="H324" s="30">
        <v>12928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138.96169652472165</v>
      </c>
      <c r="W324" s="9">
        <f t="shared" si="65"/>
        <v>1.3896169652472166</v>
      </c>
      <c r="X324" s="8">
        <f t="shared" si="66"/>
        <v>323.2</v>
      </c>
      <c r="Y324" s="7">
        <f t="shared" si="67"/>
        <v>3.2319999999999998</v>
      </c>
      <c r="Z324" s="2">
        <f t="shared" si="68"/>
        <v>3878.4</v>
      </c>
      <c r="AA324" s="2">
        <f t="shared" si="69"/>
        <v>904.96</v>
      </c>
      <c r="AB324" s="2">
        <f t="shared" si="70"/>
        <v>8403.2000000000007</v>
      </c>
      <c r="AC324" s="6">
        <f t="shared" si="71"/>
        <v>756.28800000000001</v>
      </c>
      <c r="AD324" s="6">
        <f t="shared" si="72"/>
        <v>201.67680000000001</v>
      </c>
      <c r="AE324" s="6">
        <f t="shared" si="73"/>
        <v>1862.9248</v>
      </c>
      <c r="AF324" s="5">
        <f t="shared" si="74"/>
        <v>18.629248</v>
      </c>
      <c r="AG324" s="207"/>
    </row>
    <row r="325" spans="1:33" x14ac:dyDescent="0.2">
      <c r="A325" s="229">
        <v>615</v>
      </c>
      <c r="B325" s="1" t="str">
        <f t="shared" ref="B325:B383" si="75">CONCATENATE(C325,D325,E325,F325)</f>
        <v>3.21, Row Cond./Roll-Fold. 26'</v>
      </c>
      <c r="C325" s="155">
        <v>3.21</v>
      </c>
      <c r="D325" s="151" t="s">
        <v>436</v>
      </c>
      <c r="E325" s="151" t="s">
        <v>471</v>
      </c>
      <c r="F325" s="151" t="s">
        <v>38</v>
      </c>
      <c r="G325" s="151" t="str">
        <f t="shared" ref="G325:G383" si="76">CONCATENATE(E325,F325)</f>
        <v>Row Cond./Roll-Fold. 26'</v>
      </c>
      <c r="H325" s="30">
        <v>33835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702.25998146660277</v>
      </c>
      <c r="W325" s="9">
        <f t="shared" ref="W325:W383" si="80">V325/P325</f>
        <v>4.3891248841662671</v>
      </c>
      <c r="X325" s="8">
        <f t="shared" ref="X325:X383" si="81">(H325*N325/100)/O325</f>
        <v>1353.4</v>
      </c>
      <c r="Y325" s="7">
        <f t="shared" ref="Y325:Y383" si="82">X325/P325</f>
        <v>8.4587500000000002</v>
      </c>
      <c r="Z325" s="2">
        <f t="shared" ref="Z325:Z383" si="83">H325*M325/100</f>
        <v>10150.5</v>
      </c>
      <c r="AA325" s="2">
        <f t="shared" ref="AA325:AA383" si="84">(H325-Z325)/O325</f>
        <v>2368.4499999999998</v>
      </c>
      <c r="AB325" s="2">
        <f t="shared" ref="AB325:AB383" si="85">(Z325+H325)/2</f>
        <v>21992.75</v>
      </c>
      <c r="AC325" s="6">
        <f t="shared" ref="AC325:AC383" si="86">AB325*intir</f>
        <v>1979.3474999999999</v>
      </c>
      <c r="AD325" s="6">
        <f t="shared" ref="AD325:AD383" si="87">AB325*itr</f>
        <v>527.82600000000002</v>
      </c>
      <c r="AE325" s="6">
        <f t="shared" ref="AE325:AE383" si="88">AA325+AC325+AD325</f>
        <v>4875.6234999999997</v>
      </c>
      <c r="AF325" s="5">
        <f t="shared" ref="AF325:AF383" si="89">AE325/P325</f>
        <v>30.472646874999999</v>
      </c>
      <c r="AG325" s="207"/>
    </row>
    <row r="326" spans="1:33" x14ac:dyDescent="0.2">
      <c r="A326" s="229">
        <v>617</v>
      </c>
      <c r="B326" s="1" t="str">
        <f t="shared" si="75"/>
        <v>3.22, Row Cond./Roll-Fold. 30'</v>
      </c>
      <c r="C326" s="155">
        <v>3.22</v>
      </c>
      <c r="D326" s="151" t="s">
        <v>436</v>
      </c>
      <c r="E326" s="151" t="s">
        <v>471</v>
      </c>
      <c r="F326" s="151" t="s">
        <v>44</v>
      </c>
      <c r="G326" s="151" t="str">
        <f t="shared" si="76"/>
        <v>Row Cond./Roll-Fold. 30'</v>
      </c>
      <c r="H326" s="30">
        <v>36461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756.76374122221966</v>
      </c>
      <c r="W326" s="9">
        <f t="shared" si="80"/>
        <v>4.7297733826388733</v>
      </c>
      <c r="X326" s="8">
        <f t="shared" si="81"/>
        <v>1458.44</v>
      </c>
      <c r="Y326" s="7">
        <f t="shared" si="82"/>
        <v>9.1152499999999996</v>
      </c>
      <c r="Z326" s="2">
        <f t="shared" si="83"/>
        <v>10938.3</v>
      </c>
      <c r="AA326" s="2">
        <f t="shared" si="84"/>
        <v>2552.27</v>
      </c>
      <c r="AB326" s="2">
        <f t="shared" si="85"/>
        <v>23699.65</v>
      </c>
      <c r="AC326" s="6">
        <f t="shared" si="86"/>
        <v>2132.9684999999999</v>
      </c>
      <c r="AD326" s="6">
        <f t="shared" si="87"/>
        <v>568.79160000000002</v>
      </c>
      <c r="AE326" s="6">
        <f t="shared" si="88"/>
        <v>5254.0300999999999</v>
      </c>
      <c r="AF326" s="5">
        <f t="shared" si="89"/>
        <v>32.837688125</v>
      </c>
      <c r="AG326" s="207"/>
    </row>
    <row r="327" spans="1:33" x14ac:dyDescent="0.2">
      <c r="A327" s="229">
        <v>619</v>
      </c>
      <c r="B327" s="1" t="str">
        <f t="shared" si="75"/>
        <v>3.23, Row Cond./Roll-Fold. 40'</v>
      </c>
      <c r="C327" s="155">
        <v>3.23</v>
      </c>
      <c r="D327" s="151" t="s">
        <v>436</v>
      </c>
      <c r="E327" s="151" t="s">
        <v>471</v>
      </c>
      <c r="F327" s="151" t="s">
        <v>16</v>
      </c>
      <c r="G327" s="151" t="str">
        <f t="shared" si="76"/>
        <v>Row Cond./Roll-Fold. 40'</v>
      </c>
      <c r="H327" s="30">
        <v>45248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939.14170655832243</v>
      </c>
      <c r="W327" s="9">
        <f t="shared" si="80"/>
        <v>5.8696356659895148</v>
      </c>
      <c r="X327" s="8">
        <f t="shared" si="81"/>
        <v>1809.92</v>
      </c>
      <c r="Y327" s="7">
        <f t="shared" si="82"/>
        <v>11.312000000000001</v>
      </c>
      <c r="Z327" s="2">
        <f t="shared" si="83"/>
        <v>13574.4</v>
      </c>
      <c r="AA327" s="2">
        <f t="shared" si="84"/>
        <v>3167.3599999999997</v>
      </c>
      <c r="AB327" s="2">
        <f t="shared" si="85"/>
        <v>29411.200000000001</v>
      </c>
      <c r="AC327" s="6">
        <f t="shared" si="86"/>
        <v>2647.0079999999998</v>
      </c>
      <c r="AD327" s="6">
        <f t="shared" si="87"/>
        <v>705.86880000000008</v>
      </c>
      <c r="AE327" s="6">
        <f t="shared" si="88"/>
        <v>6520.2367999999997</v>
      </c>
      <c r="AF327" s="5">
        <f t="shared" si="89"/>
        <v>40.751480000000001</v>
      </c>
      <c r="AG327" s="207"/>
    </row>
    <row r="328" spans="1:33" x14ac:dyDescent="0.2">
      <c r="A328" s="229">
        <v>612</v>
      </c>
      <c r="B328" s="1" t="str">
        <f t="shared" si="75"/>
        <v>3.24, Row Cond./Roll-Rigid 21'</v>
      </c>
      <c r="C328" s="155">
        <v>3.24</v>
      </c>
      <c r="D328" s="151" t="s">
        <v>436</v>
      </c>
      <c r="E328" s="151" t="s">
        <v>472</v>
      </c>
      <c r="F328" s="151" t="s">
        <v>39</v>
      </c>
      <c r="G328" s="151" t="str">
        <f t="shared" si="76"/>
        <v>Row Cond./Roll-Rigid 21'</v>
      </c>
      <c r="H328" s="30">
        <v>24139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501.01533006124794</v>
      </c>
      <c r="W328" s="9">
        <f t="shared" si="80"/>
        <v>3.1313458128827998</v>
      </c>
      <c r="X328" s="8">
        <f t="shared" si="81"/>
        <v>965.56000000000006</v>
      </c>
      <c r="Y328" s="7">
        <f t="shared" si="82"/>
        <v>6.0347500000000007</v>
      </c>
      <c r="Z328" s="2">
        <f t="shared" si="83"/>
        <v>7241.7</v>
      </c>
      <c r="AA328" s="2">
        <f t="shared" si="84"/>
        <v>1689.73</v>
      </c>
      <c r="AB328" s="2">
        <f t="shared" si="85"/>
        <v>15690.35</v>
      </c>
      <c r="AC328" s="6">
        <f t="shared" si="86"/>
        <v>1412.1315</v>
      </c>
      <c r="AD328" s="6">
        <f t="shared" si="87"/>
        <v>376.5684</v>
      </c>
      <c r="AE328" s="6">
        <f t="shared" si="88"/>
        <v>3478.4299000000001</v>
      </c>
      <c r="AF328" s="5">
        <f t="shared" si="89"/>
        <v>21.740186874999999</v>
      </c>
      <c r="AG328" s="207"/>
    </row>
    <row r="329" spans="1:33" x14ac:dyDescent="0.2">
      <c r="A329" s="229">
        <v>614</v>
      </c>
      <c r="B329" s="1" t="str">
        <f t="shared" si="75"/>
        <v>3.25, Row Cond./Roll-Rigid 26'</v>
      </c>
      <c r="C329" s="155">
        <v>3.25</v>
      </c>
      <c r="D329" s="151" t="s">
        <v>436</v>
      </c>
      <c r="E329" s="151" t="s">
        <v>472</v>
      </c>
      <c r="F329" s="151" t="s">
        <v>38</v>
      </c>
      <c r="G329" s="151" t="str">
        <f t="shared" si="76"/>
        <v>Row Cond./Roll-Rigid 26'</v>
      </c>
      <c r="H329" s="30">
        <v>27472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570.19317898183863</v>
      </c>
      <c r="W329" s="9">
        <f t="shared" si="80"/>
        <v>3.5637073686364915</v>
      </c>
      <c r="X329" s="8">
        <f t="shared" si="81"/>
        <v>1098.8799999999999</v>
      </c>
      <c r="Y329" s="7">
        <f t="shared" si="82"/>
        <v>6.8679999999999994</v>
      </c>
      <c r="Z329" s="2">
        <f t="shared" si="83"/>
        <v>8241.6</v>
      </c>
      <c r="AA329" s="2">
        <f t="shared" si="84"/>
        <v>1923.0400000000002</v>
      </c>
      <c r="AB329" s="2">
        <f t="shared" si="85"/>
        <v>17856.8</v>
      </c>
      <c r="AC329" s="6">
        <f t="shared" si="86"/>
        <v>1607.1119999999999</v>
      </c>
      <c r="AD329" s="6">
        <f t="shared" si="87"/>
        <v>428.56319999999999</v>
      </c>
      <c r="AE329" s="6">
        <f t="shared" si="88"/>
        <v>3958.7152000000001</v>
      </c>
      <c r="AF329" s="5">
        <f t="shared" si="89"/>
        <v>24.741970000000002</v>
      </c>
      <c r="AG329" s="207"/>
    </row>
    <row r="330" spans="1:33" x14ac:dyDescent="0.2">
      <c r="A330" s="229">
        <v>187</v>
      </c>
      <c r="B330" s="1" t="str">
        <f t="shared" si="75"/>
        <v>3.26, Spin Spreader 5 ton</v>
      </c>
      <c r="C330" s="155">
        <v>3.26</v>
      </c>
      <c r="D330" s="151" t="s">
        <v>436</v>
      </c>
      <c r="E330" s="151" t="s">
        <v>303</v>
      </c>
      <c r="F330" s="151" t="s">
        <v>37</v>
      </c>
      <c r="G330" s="151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207"/>
    </row>
    <row r="331" spans="1:33" x14ac:dyDescent="0.2">
      <c r="A331" s="229">
        <v>735</v>
      </c>
      <c r="B331" s="1" t="str">
        <f t="shared" si="75"/>
        <v>3.27, Spray (ATV Ropewick) 75"</v>
      </c>
      <c r="C331" s="155">
        <v>3.27</v>
      </c>
      <c r="D331" s="151" t="s">
        <v>436</v>
      </c>
      <c r="E331" s="151" t="s">
        <v>304</v>
      </c>
      <c r="F331" s="151" t="s">
        <v>36</v>
      </c>
      <c r="G331" s="151" t="str">
        <f t="shared" si="76"/>
        <v>Spray (ATV Ropewick) 75"</v>
      </c>
      <c r="H331" s="235">
        <v>660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18.721890189790056</v>
      </c>
      <c r="W331" s="9">
        <f t="shared" si="80"/>
        <v>9.3609450948950276E-2</v>
      </c>
      <c r="X331" s="8">
        <f t="shared" si="81"/>
        <v>61.875</v>
      </c>
      <c r="Y331" s="7">
        <f t="shared" si="82"/>
        <v>0.30937500000000001</v>
      </c>
      <c r="Z331" s="2">
        <f t="shared" si="83"/>
        <v>264</v>
      </c>
      <c r="AA331" s="2">
        <f t="shared" si="84"/>
        <v>49.5</v>
      </c>
      <c r="AB331" s="2">
        <f t="shared" si="85"/>
        <v>462</v>
      </c>
      <c r="AC331" s="6">
        <f t="shared" si="86"/>
        <v>41.58</v>
      </c>
      <c r="AD331" s="6">
        <f t="shared" si="87"/>
        <v>11.088000000000001</v>
      </c>
      <c r="AE331" s="6">
        <f t="shared" si="88"/>
        <v>102.16800000000001</v>
      </c>
      <c r="AF331" s="5">
        <f t="shared" si="89"/>
        <v>0.51084000000000007</v>
      </c>
      <c r="AG331" s="207"/>
    </row>
    <row r="332" spans="1:33" x14ac:dyDescent="0.2">
      <c r="A332" s="229">
        <v>734</v>
      </c>
      <c r="B332" s="1" t="str">
        <f t="shared" si="75"/>
        <v>3.28, Spray (ATV) 12'/17'</v>
      </c>
      <c r="C332" s="155">
        <v>3.28</v>
      </c>
      <c r="D332" s="151" t="s">
        <v>436</v>
      </c>
      <c r="E332" s="151" t="s">
        <v>305</v>
      </c>
      <c r="F332" s="151" t="s">
        <v>35</v>
      </c>
      <c r="G332" s="151" t="str">
        <f t="shared" si="76"/>
        <v>Spray (ATV) 12'/17'</v>
      </c>
      <c r="H332" s="235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07"/>
    </row>
    <row r="333" spans="1:33" x14ac:dyDescent="0.2">
      <c r="A333" s="229">
        <v>733</v>
      </c>
      <c r="B333" s="1" t="str">
        <f t="shared" si="75"/>
        <v>3.29, Spray (ATV) 20'</v>
      </c>
      <c r="C333" s="155">
        <v>3.29</v>
      </c>
      <c r="D333" s="151" t="s">
        <v>436</v>
      </c>
      <c r="E333" s="151" t="s">
        <v>305</v>
      </c>
      <c r="F333" s="151" t="s">
        <v>8</v>
      </c>
      <c r="G333" s="151" t="str">
        <f t="shared" si="76"/>
        <v>Spray (ATV) 20'</v>
      </c>
      <c r="H333" s="235">
        <v>1950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55.314675560743346</v>
      </c>
      <c r="W333" s="9">
        <f t="shared" si="80"/>
        <v>0.27657337780371671</v>
      </c>
      <c r="X333" s="8">
        <f t="shared" si="81"/>
        <v>182.8125</v>
      </c>
      <c r="Y333" s="7">
        <f t="shared" si="82"/>
        <v>0.9140625</v>
      </c>
      <c r="Z333" s="2">
        <f t="shared" si="83"/>
        <v>780</v>
      </c>
      <c r="AA333" s="2">
        <f t="shared" si="84"/>
        <v>146.25</v>
      </c>
      <c r="AB333" s="2">
        <f t="shared" si="85"/>
        <v>1365</v>
      </c>
      <c r="AC333" s="6">
        <f t="shared" si="86"/>
        <v>122.85</v>
      </c>
      <c r="AD333" s="6">
        <f t="shared" si="87"/>
        <v>32.76</v>
      </c>
      <c r="AE333" s="6">
        <f t="shared" si="88"/>
        <v>301.86</v>
      </c>
      <c r="AF333" s="5">
        <f t="shared" si="89"/>
        <v>1.5093000000000001</v>
      </c>
      <c r="AG333" s="207"/>
    </row>
    <row r="334" spans="1:33" x14ac:dyDescent="0.2">
      <c r="A334" s="229">
        <v>188</v>
      </c>
      <c r="B334" s="1" t="str">
        <f t="shared" si="75"/>
        <v>3.3, Spray (Band) 27' Fold</v>
      </c>
      <c r="C334" s="155">
        <v>3.3</v>
      </c>
      <c r="D334" s="151" t="s">
        <v>436</v>
      </c>
      <c r="E334" s="151" t="s">
        <v>306</v>
      </c>
      <c r="F334" s="151" t="s">
        <v>29</v>
      </c>
      <c r="G334" s="151" t="str">
        <f t="shared" si="76"/>
        <v>Spray (Band) 27' Fold</v>
      </c>
      <c r="H334" s="235">
        <v>5440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154.31376156433018</v>
      </c>
      <c r="W334" s="9">
        <f t="shared" si="80"/>
        <v>0.77156880782165094</v>
      </c>
      <c r="X334" s="8">
        <f t="shared" si="81"/>
        <v>510</v>
      </c>
      <c r="Y334" s="7">
        <f t="shared" si="82"/>
        <v>2.5499999999999998</v>
      </c>
      <c r="Z334" s="2">
        <f t="shared" si="83"/>
        <v>2176</v>
      </c>
      <c r="AA334" s="2">
        <f t="shared" si="84"/>
        <v>408</v>
      </c>
      <c r="AB334" s="2">
        <f t="shared" si="85"/>
        <v>3808</v>
      </c>
      <c r="AC334" s="6">
        <f t="shared" si="86"/>
        <v>342.71999999999997</v>
      </c>
      <c r="AD334" s="6">
        <f t="shared" si="87"/>
        <v>91.391999999999996</v>
      </c>
      <c r="AE334" s="6">
        <f t="shared" si="88"/>
        <v>842.11200000000008</v>
      </c>
      <c r="AF334" s="5">
        <f t="shared" si="89"/>
        <v>4.2105600000000001</v>
      </c>
      <c r="AG334" s="207"/>
    </row>
    <row r="335" spans="1:33" x14ac:dyDescent="0.2">
      <c r="A335" s="229">
        <v>189</v>
      </c>
      <c r="B335" s="1" t="str">
        <f t="shared" si="75"/>
        <v>3.31, Spray (Band) 40' Fold</v>
      </c>
      <c r="C335" s="155">
        <v>3.31</v>
      </c>
      <c r="D335" s="151" t="s">
        <v>436</v>
      </c>
      <c r="E335" s="151" t="s">
        <v>306</v>
      </c>
      <c r="F335" s="151" t="s">
        <v>26</v>
      </c>
      <c r="G335" s="151" t="str">
        <f t="shared" si="76"/>
        <v>Spray (Band) 40' Fold</v>
      </c>
      <c r="H335" s="235">
        <v>7810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221.54236724584902</v>
      </c>
      <c r="W335" s="9">
        <f t="shared" si="80"/>
        <v>1.1077118362292451</v>
      </c>
      <c r="X335" s="8">
        <f t="shared" si="81"/>
        <v>732.1875</v>
      </c>
      <c r="Y335" s="7">
        <f t="shared" si="82"/>
        <v>3.6609375000000002</v>
      </c>
      <c r="Z335" s="2">
        <f t="shared" si="83"/>
        <v>3124</v>
      </c>
      <c r="AA335" s="2">
        <f t="shared" si="84"/>
        <v>585.75</v>
      </c>
      <c r="AB335" s="2">
        <f t="shared" si="85"/>
        <v>5467</v>
      </c>
      <c r="AC335" s="6">
        <f t="shared" si="86"/>
        <v>492.03</v>
      </c>
      <c r="AD335" s="6">
        <f t="shared" si="87"/>
        <v>131.208</v>
      </c>
      <c r="AE335" s="6">
        <f t="shared" si="88"/>
        <v>1208.9880000000001</v>
      </c>
      <c r="AF335" s="5">
        <f t="shared" si="89"/>
        <v>6.0449400000000004</v>
      </c>
      <c r="AG335" s="207"/>
    </row>
    <row r="336" spans="1:33" x14ac:dyDescent="0.2">
      <c r="A336" s="229">
        <v>354</v>
      </c>
      <c r="B336" s="1" t="str">
        <f t="shared" si="75"/>
        <v>3.32, Spray (Band) 50' Fold</v>
      </c>
      <c r="C336" s="155">
        <v>3.32</v>
      </c>
      <c r="D336" s="151" t="s">
        <v>436</v>
      </c>
      <c r="E336" s="151" t="s">
        <v>306</v>
      </c>
      <c r="F336" s="151" t="s">
        <v>34</v>
      </c>
      <c r="G336" s="151" t="str">
        <f t="shared" si="76"/>
        <v>Spray (Band) 50' Fold</v>
      </c>
      <c r="H336" s="235">
        <v>6940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196.86351199567122</v>
      </c>
      <c r="W336" s="9">
        <f t="shared" si="80"/>
        <v>0.98431755997835613</v>
      </c>
      <c r="X336" s="8">
        <f t="shared" si="81"/>
        <v>650.625</v>
      </c>
      <c r="Y336" s="7">
        <f t="shared" si="82"/>
        <v>3.2531249999999998</v>
      </c>
      <c r="Z336" s="2">
        <f t="shared" si="83"/>
        <v>2776</v>
      </c>
      <c r="AA336" s="2">
        <f t="shared" si="84"/>
        <v>520.5</v>
      </c>
      <c r="AB336" s="2">
        <f t="shared" si="85"/>
        <v>4858</v>
      </c>
      <c r="AC336" s="6">
        <f t="shared" si="86"/>
        <v>437.21999999999997</v>
      </c>
      <c r="AD336" s="6">
        <f t="shared" si="87"/>
        <v>116.592</v>
      </c>
      <c r="AE336" s="6">
        <f t="shared" si="88"/>
        <v>1074.3120000000001</v>
      </c>
      <c r="AF336" s="5">
        <f t="shared" si="89"/>
        <v>5.3715600000000006</v>
      </c>
      <c r="AG336" s="207"/>
    </row>
    <row r="337" spans="1:33" x14ac:dyDescent="0.2">
      <c r="A337" s="229">
        <v>355</v>
      </c>
      <c r="B337" s="1" t="str">
        <f t="shared" si="75"/>
        <v>3.33, Spray (Band) 53' Fold</v>
      </c>
      <c r="C337" s="155">
        <v>3.33</v>
      </c>
      <c r="D337" s="151" t="s">
        <v>436</v>
      </c>
      <c r="E337" s="151" t="s">
        <v>306</v>
      </c>
      <c r="F337" s="151" t="s">
        <v>33</v>
      </c>
      <c r="G337" s="151" t="str">
        <f t="shared" si="76"/>
        <v>Spray (Band) 53' Fold</v>
      </c>
      <c r="H337" s="235">
        <v>9620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272.88573276633383</v>
      </c>
      <c r="W337" s="9">
        <f t="shared" si="80"/>
        <v>1.3644286638316692</v>
      </c>
      <c r="X337" s="8">
        <f t="shared" si="81"/>
        <v>901.875</v>
      </c>
      <c r="Y337" s="7">
        <f t="shared" si="82"/>
        <v>4.5093750000000004</v>
      </c>
      <c r="Z337" s="2">
        <f t="shared" si="83"/>
        <v>3848</v>
      </c>
      <c r="AA337" s="2">
        <f t="shared" si="84"/>
        <v>721.5</v>
      </c>
      <c r="AB337" s="2">
        <f t="shared" si="85"/>
        <v>6734</v>
      </c>
      <c r="AC337" s="6">
        <f t="shared" si="86"/>
        <v>606.05999999999995</v>
      </c>
      <c r="AD337" s="6">
        <f t="shared" si="87"/>
        <v>161.61600000000001</v>
      </c>
      <c r="AE337" s="6">
        <f t="shared" si="88"/>
        <v>1489.1759999999999</v>
      </c>
      <c r="AF337" s="5">
        <f t="shared" si="89"/>
        <v>7.4458799999999998</v>
      </c>
      <c r="AG337" s="207"/>
    </row>
    <row r="338" spans="1:33" x14ac:dyDescent="0.2">
      <c r="A338" s="229">
        <v>190</v>
      </c>
      <c r="B338" s="1" t="str">
        <f t="shared" si="75"/>
        <v>3.34, Spray (Band) 60' Fold</v>
      </c>
      <c r="C338" s="155">
        <v>3.34</v>
      </c>
      <c r="D338" s="151" t="s">
        <v>436</v>
      </c>
      <c r="E338" s="151" t="s">
        <v>306</v>
      </c>
      <c r="F338" s="151" t="s">
        <v>32</v>
      </c>
      <c r="G338" s="151" t="str">
        <f t="shared" si="76"/>
        <v>Spray (Band) 60' Fold</v>
      </c>
      <c r="H338" s="235">
        <v>18600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527.61690534862885</v>
      </c>
      <c r="W338" s="9">
        <f t="shared" si="80"/>
        <v>2.6380845267431443</v>
      </c>
      <c r="X338" s="8">
        <f t="shared" si="81"/>
        <v>1743.75</v>
      </c>
      <c r="Y338" s="7">
        <f t="shared" si="82"/>
        <v>8.71875</v>
      </c>
      <c r="Z338" s="2">
        <f t="shared" si="83"/>
        <v>7440</v>
      </c>
      <c r="AA338" s="2">
        <f t="shared" si="84"/>
        <v>1395</v>
      </c>
      <c r="AB338" s="2">
        <f t="shared" si="85"/>
        <v>13020</v>
      </c>
      <c r="AC338" s="6">
        <f t="shared" si="86"/>
        <v>1171.8</v>
      </c>
      <c r="AD338" s="6">
        <f t="shared" si="87"/>
        <v>312.48</v>
      </c>
      <c r="AE338" s="6">
        <f t="shared" si="88"/>
        <v>2879.28</v>
      </c>
      <c r="AF338" s="5">
        <f t="shared" si="89"/>
        <v>14.396400000000002</v>
      </c>
      <c r="AG338" s="207"/>
    </row>
    <row r="339" spans="1:33" x14ac:dyDescent="0.2">
      <c r="A339" s="229">
        <v>449</v>
      </c>
      <c r="B339" s="1" t="str">
        <f t="shared" si="75"/>
        <v>3.35, Spray (Bcast/HB) 13' Rigid</v>
      </c>
      <c r="C339" s="155">
        <v>3.35</v>
      </c>
      <c r="D339" s="151" t="s">
        <v>436</v>
      </c>
      <c r="E339" s="151" t="s">
        <v>307</v>
      </c>
      <c r="F339" s="151" t="s">
        <v>31</v>
      </c>
      <c r="G339" s="151" t="str">
        <f t="shared" si="76"/>
        <v>Spray (Bcast/HB) 13' Rigid</v>
      </c>
      <c r="H339" s="235">
        <v>5480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155.44842157583258</v>
      </c>
      <c r="W339" s="9">
        <f t="shared" si="80"/>
        <v>0.77724210787916292</v>
      </c>
      <c r="X339" s="8">
        <f t="shared" si="81"/>
        <v>513.75</v>
      </c>
      <c r="Y339" s="7">
        <f t="shared" si="82"/>
        <v>2.5687500000000001</v>
      </c>
      <c r="Z339" s="2">
        <f t="shared" si="83"/>
        <v>2192</v>
      </c>
      <c r="AA339" s="2">
        <f t="shared" si="84"/>
        <v>411</v>
      </c>
      <c r="AB339" s="2">
        <f t="shared" si="85"/>
        <v>3836</v>
      </c>
      <c r="AC339" s="6">
        <f t="shared" si="86"/>
        <v>345.24</v>
      </c>
      <c r="AD339" s="6">
        <f t="shared" si="87"/>
        <v>92.064000000000007</v>
      </c>
      <c r="AE339" s="6">
        <f t="shared" si="88"/>
        <v>848.30399999999997</v>
      </c>
      <c r="AF339" s="5">
        <f t="shared" si="89"/>
        <v>4.2415199999999995</v>
      </c>
      <c r="AG339" s="207"/>
    </row>
    <row r="340" spans="1:33" x14ac:dyDescent="0.2">
      <c r="A340" s="229">
        <v>448</v>
      </c>
      <c r="B340" s="1" t="str">
        <f t="shared" si="75"/>
        <v>3.36, Spray (Bcast/HB) 20' Rigid</v>
      </c>
      <c r="C340" s="155">
        <v>3.36</v>
      </c>
      <c r="D340" s="151" t="s">
        <v>436</v>
      </c>
      <c r="E340" s="151" t="s">
        <v>307</v>
      </c>
      <c r="F340" s="151" t="s">
        <v>30</v>
      </c>
      <c r="G340" s="151" t="str">
        <f t="shared" si="76"/>
        <v>Spray (Bcast/HB) 20' Rigid</v>
      </c>
      <c r="H340" s="235">
        <v>6450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182.96392685476647</v>
      </c>
      <c r="W340" s="9">
        <f t="shared" si="80"/>
        <v>0.91481963427383239</v>
      </c>
      <c r="X340" s="8">
        <f t="shared" si="81"/>
        <v>604.6875</v>
      </c>
      <c r="Y340" s="7">
        <f t="shared" si="82"/>
        <v>3.0234375</v>
      </c>
      <c r="Z340" s="2">
        <f t="shared" si="83"/>
        <v>2580</v>
      </c>
      <c r="AA340" s="2">
        <f t="shared" si="84"/>
        <v>483.75</v>
      </c>
      <c r="AB340" s="2">
        <f t="shared" si="85"/>
        <v>4515</v>
      </c>
      <c r="AC340" s="6">
        <f t="shared" si="86"/>
        <v>406.34999999999997</v>
      </c>
      <c r="AD340" s="6">
        <f t="shared" si="87"/>
        <v>108.36</v>
      </c>
      <c r="AE340" s="6">
        <f t="shared" si="88"/>
        <v>998.45999999999992</v>
      </c>
      <c r="AF340" s="5">
        <f t="shared" si="89"/>
        <v>4.9922999999999993</v>
      </c>
      <c r="AG340" s="207"/>
    </row>
    <row r="341" spans="1:33" x14ac:dyDescent="0.2">
      <c r="A341" s="229">
        <v>292</v>
      </c>
      <c r="B341" s="1" t="str">
        <f t="shared" si="75"/>
        <v>3.37, Spray (Bcast/HB) 27' Fold</v>
      </c>
      <c r="C341" s="155">
        <v>3.37</v>
      </c>
      <c r="D341" s="151" t="s">
        <v>436</v>
      </c>
      <c r="E341" s="151" t="s">
        <v>307</v>
      </c>
      <c r="F341" s="151" t="s">
        <v>29</v>
      </c>
      <c r="G341" s="151" t="str">
        <f t="shared" si="76"/>
        <v>Spray (Bcast/HB) 27' Fold</v>
      </c>
      <c r="H341" s="235">
        <v>7830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222.10969725160024</v>
      </c>
      <c r="W341" s="9">
        <f t="shared" si="80"/>
        <v>1.1105484862580013</v>
      </c>
      <c r="X341" s="8">
        <f t="shared" si="81"/>
        <v>734.0625</v>
      </c>
      <c r="Y341" s="7">
        <f t="shared" si="82"/>
        <v>3.6703125000000001</v>
      </c>
      <c r="Z341" s="2">
        <f t="shared" si="83"/>
        <v>3132</v>
      </c>
      <c r="AA341" s="2">
        <f t="shared" si="84"/>
        <v>587.25</v>
      </c>
      <c r="AB341" s="2">
        <f t="shared" si="85"/>
        <v>5481</v>
      </c>
      <c r="AC341" s="6">
        <f t="shared" si="86"/>
        <v>493.28999999999996</v>
      </c>
      <c r="AD341" s="6">
        <f t="shared" si="87"/>
        <v>131.54400000000001</v>
      </c>
      <c r="AE341" s="6">
        <f t="shared" si="88"/>
        <v>1212.0840000000001</v>
      </c>
      <c r="AF341" s="5">
        <f t="shared" si="89"/>
        <v>6.0604200000000006</v>
      </c>
      <c r="AG341" s="207"/>
    </row>
    <row r="342" spans="1:33" x14ac:dyDescent="0.2">
      <c r="A342" s="229">
        <v>447</v>
      </c>
      <c r="B342" s="1" t="str">
        <f t="shared" si="75"/>
        <v>3.38, Spray (Bcast/HB) 27' Rigid</v>
      </c>
      <c r="C342" s="155">
        <v>3.38</v>
      </c>
      <c r="D342" s="151" t="s">
        <v>436</v>
      </c>
      <c r="E342" s="151" t="s">
        <v>307</v>
      </c>
      <c r="F342" s="151" t="s">
        <v>28</v>
      </c>
      <c r="G342" s="151" t="str">
        <f t="shared" si="76"/>
        <v>Spray (Bcast/HB) 27' Rigid</v>
      </c>
      <c r="H342" s="235">
        <v>10700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303.52155307689941</v>
      </c>
      <c r="W342" s="9">
        <f t="shared" si="80"/>
        <v>1.517607765384497</v>
      </c>
      <c r="X342" s="8">
        <f t="shared" si="81"/>
        <v>1003.125</v>
      </c>
      <c r="Y342" s="7">
        <f t="shared" si="82"/>
        <v>5.015625</v>
      </c>
      <c r="Z342" s="2">
        <f t="shared" si="83"/>
        <v>4280</v>
      </c>
      <c r="AA342" s="2">
        <f t="shared" si="84"/>
        <v>802.5</v>
      </c>
      <c r="AB342" s="2">
        <f t="shared" si="85"/>
        <v>7490</v>
      </c>
      <c r="AC342" s="6">
        <f t="shared" si="86"/>
        <v>674.1</v>
      </c>
      <c r="AD342" s="6">
        <f t="shared" si="87"/>
        <v>179.76</v>
      </c>
      <c r="AE342" s="6">
        <f t="shared" si="88"/>
        <v>1656.36</v>
      </c>
      <c r="AF342" s="5">
        <f t="shared" si="89"/>
        <v>8.2817999999999987</v>
      </c>
      <c r="AG342" s="207"/>
    </row>
    <row r="343" spans="1:33" x14ac:dyDescent="0.2">
      <c r="A343" s="229">
        <v>299</v>
      </c>
      <c r="B343" s="1" t="str">
        <f t="shared" si="75"/>
        <v>3.39, Spray (Bcast/HB) 30' Fold</v>
      </c>
      <c r="C343" s="155">
        <v>3.39</v>
      </c>
      <c r="D343" s="151" t="s">
        <v>436</v>
      </c>
      <c r="E343" s="151" t="s">
        <v>307</v>
      </c>
      <c r="F343" s="151" t="s">
        <v>27</v>
      </c>
      <c r="G343" s="151" t="str">
        <f t="shared" si="76"/>
        <v>Spray (Bcast/HB) 30' Fold</v>
      </c>
      <c r="H343" s="235">
        <v>16500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468.0472547447514</v>
      </c>
      <c r="W343" s="9">
        <f t="shared" si="80"/>
        <v>2.340236273723757</v>
      </c>
      <c r="X343" s="8">
        <f t="shared" si="81"/>
        <v>1546.875</v>
      </c>
      <c r="Y343" s="7">
        <f t="shared" si="82"/>
        <v>7.734375</v>
      </c>
      <c r="Z343" s="2">
        <f t="shared" si="83"/>
        <v>6600</v>
      </c>
      <c r="AA343" s="2">
        <f t="shared" si="84"/>
        <v>1237.5</v>
      </c>
      <c r="AB343" s="2">
        <f t="shared" si="85"/>
        <v>11550</v>
      </c>
      <c r="AC343" s="6">
        <f t="shared" si="86"/>
        <v>1039.5</v>
      </c>
      <c r="AD343" s="6">
        <f t="shared" si="87"/>
        <v>277.2</v>
      </c>
      <c r="AE343" s="6">
        <f t="shared" si="88"/>
        <v>2554.1999999999998</v>
      </c>
      <c r="AF343" s="5">
        <f t="shared" si="89"/>
        <v>12.770999999999999</v>
      </c>
      <c r="AG343" s="207"/>
    </row>
    <row r="344" spans="1:33" x14ac:dyDescent="0.2">
      <c r="A344" s="229">
        <v>297</v>
      </c>
      <c r="B344" s="1" t="str">
        <f t="shared" si="75"/>
        <v>3.4, Spray (Bcast/HB) 40' Fold</v>
      </c>
      <c r="C344" s="155">
        <v>3.4</v>
      </c>
      <c r="D344" s="151" t="s">
        <v>436</v>
      </c>
      <c r="E344" s="151" t="s">
        <v>307</v>
      </c>
      <c r="F344" s="151" t="s">
        <v>26</v>
      </c>
      <c r="G344" s="151" t="str">
        <f t="shared" si="76"/>
        <v>Spray (Bcast/HB) 40' Fold</v>
      </c>
      <c r="H344" s="235">
        <v>16100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456.70065462972713</v>
      </c>
      <c r="W344" s="9">
        <f t="shared" si="80"/>
        <v>2.2835032731486358</v>
      </c>
      <c r="X344" s="8">
        <f t="shared" si="81"/>
        <v>1509.375</v>
      </c>
      <c r="Y344" s="7">
        <f t="shared" si="82"/>
        <v>7.546875</v>
      </c>
      <c r="Z344" s="2">
        <f t="shared" si="83"/>
        <v>6440</v>
      </c>
      <c r="AA344" s="2">
        <f t="shared" si="84"/>
        <v>1207.5</v>
      </c>
      <c r="AB344" s="2">
        <f t="shared" si="85"/>
        <v>11270</v>
      </c>
      <c r="AC344" s="6">
        <f t="shared" si="86"/>
        <v>1014.3</v>
      </c>
      <c r="AD344" s="6">
        <f t="shared" si="87"/>
        <v>270.48</v>
      </c>
      <c r="AE344" s="6">
        <f t="shared" si="88"/>
        <v>2492.2800000000002</v>
      </c>
      <c r="AF344" s="5">
        <f t="shared" si="89"/>
        <v>12.461400000000001</v>
      </c>
      <c r="AG344" s="207"/>
    </row>
    <row r="345" spans="1:33" x14ac:dyDescent="0.2">
      <c r="A345" s="229">
        <v>620</v>
      </c>
      <c r="B345" s="1" t="str">
        <f t="shared" si="75"/>
        <v>3.41, Spray (Bcast/HB/HD) 27'</v>
      </c>
      <c r="C345" s="155">
        <v>3.41</v>
      </c>
      <c r="D345" s="151" t="s">
        <v>436</v>
      </c>
      <c r="E345" s="151" t="s">
        <v>308</v>
      </c>
      <c r="F345" s="151" t="s">
        <v>17</v>
      </c>
      <c r="G345" s="151" t="str">
        <f t="shared" si="76"/>
        <v>Spray (Bcast/HB/HD) 27'</v>
      </c>
      <c r="H345" s="235">
        <v>10700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303.52155307689941</v>
      </c>
      <c r="W345" s="9">
        <f t="shared" si="80"/>
        <v>1.517607765384497</v>
      </c>
      <c r="X345" s="8">
        <f t="shared" si="81"/>
        <v>1003.125</v>
      </c>
      <c r="Y345" s="7">
        <f t="shared" si="82"/>
        <v>5.015625</v>
      </c>
      <c r="Z345" s="2">
        <f t="shared" si="83"/>
        <v>4280</v>
      </c>
      <c r="AA345" s="2">
        <f t="shared" si="84"/>
        <v>802.5</v>
      </c>
      <c r="AB345" s="2">
        <f t="shared" si="85"/>
        <v>7490</v>
      </c>
      <c r="AC345" s="6">
        <f t="shared" si="86"/>
        <v>674.1</v>
      </c>
      <c r="AD345" s="6">
        <f t="shared" si="87"/>
        <v>179.76</v>
      </c>
      <c r="AE345" s="6">
        <f t="shared" si="88"/>
        <v>1656.36</v>
      </c>
      <c r="AF345" s="5">
        <f t="shared" si="89"/>
        <v>8.2817999999999987</v>
      </c>
      <c r="AG345" s="207"/>
    </row>
    <row r="346" spans="1:33" x14ac:dyDescent="0.2">
      <c r="A346" s="229">
        <v>309</v>
      </c>
      <c r="B346" s="1" t="str">
        <f t="shared" si="75"/>
        <v>3.42, Spray (Bcast/HB/HD) 40'</v>
      </c>
      <c r="C346" s="155">
        <v>3.42</v>
      </c>
      <c r="D346" s="151" t="s">
        <v>436</v>
      </c>
      <c r="E346" s="151" t="s">
        <v>308</v>
      </c>
      <c r="F346" s="151" t="s">
        <v>16</v>
      </c>
      <c r="G346" s="151" t="str">
        <f t="shared" si="76"/>
        <v>Spray (Bcast/HB/HD) 40'</v>
      </c>
      <c r="H346" s="235">
        <v>16100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456.70065462972713</v>
      </c>
      <c r="W346" s="9">
        <f t="shared" si="80"/>
        <v>2.2835032731486358</v>
      </c>
      <c r="X346" s="8">
        <f t="shared" si="81"/>
        <v>1509.375</v>
      </c>
      <c r="Y346" s="7">
        <f t="shared" si="82"/>
        <v>7.546875</v>
      </c>
      <c r="Z346" s="2">
        <f t="shared" si="83"/>
        <v>6440</v>
      </c>
      <c r="AA346" s="2">
        <f t="shared" si="84"/>
        <v>1207.5</v>
      </c>
      <c r="AB346" s="2">
        <f t="shared" si="85"/>
        <v>11270</v>
      </c>
      <c r="AC346" s="6">
        <f t="shared" si="86"/>
        <v>1014.3</v>
      </c>
      <c r="AD346" s="6">
        <f t="shared" si="87"/>
        <v>270.48</v>
      </c>
      <c r="AE346" s="6">
        <f t="shared" si="88"/>
        <v>2492.2800000000002</v>
      </c>
      <c r="AF346" s="5">
        <f t="shared" si="89"/>
        <v>12.461400000000001</v>
      </c>
      <c r="AG346" s="207"/>
    </row>
    <row r="347" spans="1:33" x14ac:dyDescent="0.2">
      <c r="A347" s="229">
        <v>191</v>
      </c>
      <c r="B347" s="1" t="str">
        <f t="shared" si="75"/>
        <v>3.43, Spray (Broadcast) 27'</v>
      </c>
      <c r="C347" s="155">
        <v>3.43</v>
      </c>
      <c r="D347" s="151" t="s">
        <v>436</v>
      </c>
      <c r="E347" s="151" t="s">
        <v>309</v>
      </c>
      <c r="F347" s="151" t="s">
        <v>17</v>
      </c>
      <c r="G347" s="151" t="str">
        <f t="shared" si="76"/>
        <v>Spray (Broadcast) 27'</v>
      </c>
      <c r="H347" s="235">
        <v>5440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154.31376156433018</v>
      </c>
      <c r="W347" s="9">
        <f t="shared" si="80"/>
        <v>0.77156880782165094</v>
      </c>
      <c r="X347" s="8">
        <f t="shared" si="81"/>
        <v>510</v>
      </c>
      <c r="Y347" s="7">
        <f t="shared" si="82"/>
        <v>2.5499999999999998</v>
      </c>
      <c r="Z347" s="2">
        <f t="shared" si="83"/>
        <v>2176</v>
      </c>
      <c r="AA347" s="2">
        <f t="shared" si="84"/>
        <v>408</v>
      </c>
      <c r="AB347" s="2">
        <f t="shared" si="85"/>
        <v>3808</v>
      </c>
      <c r="AC347" s="6">
        <f t="shared" si="86"/>
        <v>342.71999999999997</v>
      </c>
      <c r="AD347" s="6">
        <f t="shared" si="87"/>
        <v>91.391999999999996</v>
      </c>
      <c r="AE347" s="6">
        <f t="shared" si="88"/>
        <v>842.11200000000008</v>
      </c>
      <c r="AF347" s="5">
        <f t="shared" si="89"/>
        <v>4.2105600000000001</v>
      </c>
      <c r="AG347" s="207"/>
    </row>
    <row r="348" spans="1:33" x14ac:dyDescent="0.2">
      <c r="A348" s="229">
        <v>192</v>
      </c>
      <c r="B348" s="1" t="str">
        <f t="shared" si="75"/>
        <v>3.44, Spray (Broadcast) 40'</v>
      </c>
      <c r="C348" s="155">
        <v>3.44</v>
      </c>
      <c r="D348" s="151" t="s">
        <v>436</v>
      </c>
      <c r="E348" s="151" t="s">
        <v>309</v>
      </c>
      <c r="F348" s="151" t="s">
        <v>16</v>
      </c>
      <c r="G348" s="151" t="str">
        <f t="shared" si="76"/>
        <v>Spray (Broadcast) 40'</v>
      </c>
      <c r="H348" s="235">
        <v>7810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221.54236724584902</v>
      </c>
      <c r="W348" s="9">
        <f t="shared" si="80"/>
        <v>1.1077118362292451</v>
      </c>
      <c r="X348" s="8">
        <f t="shared" si="81"/>
        <v>732.1875</v>
      </c>
      <c r="Y348" s="7">
        <f t="shared" si="82"/>
        <v>3.6609375000000002</v>
      </c>
      <c r="Z348" s="2">
        <f t="shared" si="83"/>
        <v>3124</v>
      </c>
      <c r="AA348" s="2">
        <f t="shared" si="84"/>
        <v>585.75</v>
      </c>
      <c r="AB348" s="2">
        <f t="shared" si="85"/>
        <v>5467</v>
      </c>
      <c r="AC348" s="6">
        <f t="shared" si="86"/>
        <v>492.03</v>
      </c>
      <c r="AD348" s="6">
        <f t="shared" si="87"/>
        <v>131.208</v>
      </c>
      <c r="AE348" s="6">
        <f t="shared" si="88"/>
        <v>1208.9880000000001</v>
      </c>
      <c r="AF348" s="5">
        <f t="shared" si="89"/>
        <v>6.0449400000000004</v>
      </c>
      <c r="AG348" s="207"/>
    </row>
    <row r="349" spans="1:33" x14ac:dyDescent="0.2">
      <c r="A349" s="229">
        <v>356</v>
      </c>
      <c r="B349" s="1" t="str">
        <f t="shared" si="75"/>
        <v>3.45, Spray (Broadcast) 50'</v>
      </c>
      <c r="C349" s="155">
        <v>3.45</v>
      </c>
      <c r="D349" s="151" t="s">
        <v>436</v>
      </c>
      <c r="E349" s="151" t="s">
        <v>309</v>
      </c>
      <c r="F349" s="151" t="s">
        <v>15</v>
      </c>
      <c r="G349" s="151" t="str">
        <f t="shared" si="76"/>
        <v>Spray (Broadcast) 50'</v>
      </c>
      <c r="H349" s="235">
        <v>6940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196.86351199567122</v>
      </c>
      <c r="W349" s="9">
        <f t="shared" si="80"/>
        <v>0.98431755997835613</v>
      </c>
      <c r="X349" s="8">
        <f t="shared" si="81"/>
        <v>650.625</v>
      </c>
      <c r="Y349" s="7">
        <f t="shared" si="82"/>
        <v>3.2531249999999998</v>
      </c>
      <c r="Z349" s="2">
        <f t="shared" si="83"/>
        <v>2776</v>
      </c>
      <c r="AA349" s="2">
        <f t="shared" si="84"/>
        <v>520.5</v>
      </c>
      <c r="AB349" s="2">
        <f t="shared" si="85"/>
        <v>4858</v>
      </c>
      <c r="AC349" s="6">
        <f t="shared" si="86"/>
        <v>437.21999999999997</v>
      </c>
      <c r="AD349" s="6">
        <f t="shared" si="87"/>
        <v>116.592</v>
      </c>
      <c r="AE349" s="6">
        <f t="shared" si="88"/>
        <v>1074.3120000000001</v>
      </c>
      <c r="AF349" s="5">
        <f t="shared" si="89"/>
        <v>5.3715600000000006</v>
      </c>
      <c r="AG349" s="207"/>
    </row>
    <row r="350" spans="1:33" x14ac:dyDescent="0.2">
      <c r="A350" s="229">
        <v>357</v>
      </c>
      <c r="B350" s="1" t="str">
        <f t="shared" si="75"/>
        <v>3.46, Spray (Broadcast) 53'</v>
      </c>
      <c r="C350" s="155">
        <v>3.46</v>
      </c>
      <c r="D350" s="151" t="s">
        <v>436</v>
      </c>
      <c r="E350" s="151" t="s">
        <v>309</v>
      </c>
      <c r="F350" s="151" t="s">
        <v>14</v>
      </c>
      <c r="G350" s="151" t="str">
        <f t="shared" si="76"/>
        <v>Spray (Broadcast) 53'</v>
      </c>
      <c r="H350" s="235">
        <v>9620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272.88573276633383</v>
      </c>
      <c r="W350" s="9">
        <f t="shared" si="80"/>
        <v>1.3644286638316692</v>
      </c>
      <c r="X350" s="8">
        <f t="shared" si="81"/>
        <v>901.875</v>
      </c>
      <c r="Y350" s="7">
        <f t="shared" si="82"/>
        <v>4.5093750000000004</v>
      </c>
      <c r="Z350" s="2">
        <f t="shared" si="83"/>
        <v>3848</v>
      </c>
      <c r="AA350" s="2">
        <f t="shared" si="84"/>
        <v>721.5</v>
      </c>
      <c r="AB350" s="2">
        <f t="shared" si="85"/>
        <v>6734</v>
      </c>
      <c r="AC350" s="6">
        <f t="shared" si="86"/>
        <v>606.05999999999995</v>
      </c>
      <c r="AD350" s="6">
        <f t="shared" si="87"/>
        <v>161.61600000000001</v>
      </c>
      <c r="AE350" s="6">
        <f t="shared" si="88"/>
        <v>1489.1759999999999</v>
      </c>
      <c r="AF350" s="5">
        <f t="shared" si="89"/>
        <v>7.4458799999999998</v>
      </c>
      <c r="AG350" s="207"/>
    </row>
    <row r="351" spans="1:33" x14ac:dyDescent="0.2">
      <c r="A351" s="229">
        <v>193</v>
      </c>
      <c r="B351" s="1" t="str">
        <f t="shared" si="75"/>
        <v>3.47, Spray (Broadcast) 60'</v>
      </c>
      <c r="C351" s="155">
        <v>3.47</v>
      </c>
      <c r="D351" s="151" t="s">
        <v>436</v>
      </c>
      <c r="E351" s="151" t="s">
        <v>309</v>
      </c>
      <c r="F351" s="151" t="s">
        <v>13</v>
      </c>
      <c r="G351" s="151" t="str">
        <f t="shared" si="76"/>
        <v>Spray (Broadcast) 60'</v>
      </c>
      <c r="H351" s="235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207"/>
    </row>
    <row r="352" spans="1:33" x14ac:dyDescent="0.2">
      <c r="A352" s="229">
        <v>319</v>
      </c>
      <c r="B352" s="1" t="str">
        <f t="shared" si="75"/>
        <v>3.48, Spray (Direct/Hood)  8R-30</v>
      </c>
      <c r="C352" s="155">
        <v>3.48</v>
      </c>
      <c r="D352" s="151" t="s">
        <v>436</v>
      </c>
      <c r="E352" s="151" t="s">
        <v>310</v>
      </c>
      <c r="F352" s="151" t="s">
        <v>25</v>
      </c>
      <c r="G352" s="151" t="str">
        <f t="shared" si="76"/>
        <v>Spray (Direct/Hood)  8R-30</v>
      </c>
      <c r="H352" s="235">
        <v>15600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442.51740448594677</v>
      </c>
      <c r="W352" s="9">
        <f t="shared" si="80"/>
        <v>2.2125870224297337</v>
      </c>
      <c r="X352" s="8">
        <f t="shared" si="81"/>
        <v>1462.5</v>
      </c>
      <c r="Y352" s="7">
        <f t="shared" si="82"/>
        <v>7.3125</v>
      </c>
      <c r="Z352" s="2">
        <f t="shared" si="83"/>
        <v>6240</v>
      </c>
      <c r="AA352" s="2">
        <f t="shared" si="84"/>
        <v>1170</v>
      </c>
      <c r="AB352" s="2">
        <f t="shared" si="85"/>
        <v>10920</v>
      </c>
      <c r="AC352" s="6">
        <f t="shared" si="86"/>
        <v>982.8</v>
      </c>
      <c r="AD352" s="6">
        <f t="shared" si="87"/>
        <v>262.08</v>
      </c>
      <c r="AE352" s="6">
        <f t="shared" si="88"/>
        <v>2414.88</v>
      </c>
      <c r="AF352" s="5">
        <f t="shared" si="89"/>
        <v>12.074400000000001</v>
      </c>
      <c r="AG352" s="207"/>
    </row>
    <row r="353" spans="1:33" x14ac:dyDescent="0.2">
      <c r="A353" s="229">
        <v>8</v>
      </c>
      <c r="B353" s="1" t="str">
        <f t="shared" si="75"/>
        <v>3.49, Spray (Direct/Hood)  8R-36</v>
      </c>
      <c r="C353" s="155">
        <v>3.49</v>
      </c>
      <c r="D353" s="151" t="s">
        <v>436</v>
      </c>
      <c r="E353" s="151" t="s">
        <v>310</v>
      </c>
      <c r="F353" s="151" t="s">
        <v>199</v>
      </c>
      <c r="G353" s="151" t="str">
        <f t="shared" si="76"/>
        <v>Spray (Direct/Hood)  8R-36</v>
      </c>
      <c r="H353" s="235">
        <v>16600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470.88390477350742</v>
      </c>
      <c r="W353" s="9">
        <f t="shared" si="80"/>
        <v>2.3544195238675369</v>
      </c>
      <c r="X353" s="8">
        <f t="shared" si="81"/>
        <v>1556.25</v>
      </c>
      <c r="Y353" s="7">
        <f t="shared" si="82"/>
        <v>7.78125</v>
      </c>
      <c r="Z353" s="2">
        <f t="shared" si="83"/>
        <v>6640</v>
      </c>
      <c r="AA353" s="2">
        <f t="shared" si="84"/>
        <v>1245</v>
      </c>
      <c r="AB353" s="2">
        <f t="shared" si="85"/>
        <v>11620</v>
      </c>
      <c r="AC353" s="6">
        <f t="shared" si="86"/>
        <v>1045.8</v>
      </c>
      <c r="AD353" s="6">
        <f t="shared" si="87"/>
        <v>278.88</v>
      </c>
      <c r="AE353" s="6">
        <f t="shared" si="88"/>
        <v>2569.6800000000003</v>
      </c>
      <c r="AF353" s="5">
        <f t="shared" si="89"/>
        <v>12.848400000000002</v>
      </c>
      <c r="AG353" s="207"/>
    </row>
    <row r="354" spans="1:33" x14ac:dyDescent="0.2">
      <c r="A354" s="229">
        <v>318</v>
      </c>
      <c r="B354" s="1" t="str">
        <f t="shared" si="75"/>
        <v>3.5, Spray (Direct/Hood) 12R-30</v>
      </c>
      <c r="C354" s="155">
        <v>3.5</v>
      </c>
      <c r="D354" s="151" t="s">
        <v>436</v>
      </c>
      <c r="E354" s="151" t="s">
        <v>310</v>
      </c>
      <c r="F354" s="151" t="s">
        <v>6</v>
      </c>
      <c r="G354" s="151" t="str">
        <f t="shared" si="76"/>
        <v>Spray (Direct/Hood) 12R-30</v>
      </c>
      <c r="H354" s="235">
        <v>22200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629.73630638384736</v>
      </c>
      <c r="W354" s="9">
        <f t="shared" si="80"/>
        <v>3.1486815319192369</v>
      </c>
      <c r="X354" s="8">
        <f t="shared" si="81"/>
        <v>2081.25</v>
      </c>
      <c r="Y354" s="7">
        <f t="shared" si="82"/>
        <v>10.40625</v>
      </c>
      <c r="Z354" s="2">
        <f t="shared" si="83"/>
        <v>8880</v>
      </c>
      <c r="AA354" s="2">
        <f t="shared" si="84"/>
        <v>1665</v>
      </c>
      <c r="AB354" s="2">
        <f t="shared" si="85"/>
        <v>15540</v>
      </c>
      <c r="AC354" s="6">
        <f t="shared" si="86"/>
        <v>1398.6</v>
      </c>
      <c r="AD354" s="6">
        <f t="shared" si="87"/>
        <v>372.96</v>
      </c>
      <c r="AE354" s="6">
        <f t="shared" si="88"/>
        <v>3436.56</v>
      </c>
      <c r="AF354" s="5">
        <f t="shared" si="89"/>
        <v>17.1828</v>
      </c>
      <c r="AG354" s="207"/>
    </row>
    <row r="355" spans="1:33" x14ac:dyDescent="0.2">
      <c r="A355" s="229">
        <v>361</v>
      </c>
      <c r="B355" s="1" t="str">
        <f t="shared" si="75"/>
        <v>3.51, Spray (Direct/Hood) 12R-36</v>
      </c>
      <c r="C355" s="155">
        <v>3.51</v>
      </c>
      <c r="D355" s="151" t="s">
        <v>436</v>
      </c>
      <c r="E355" s="151" t="s">
        <v>310</v>
      </c>
      <c r="F355" s="151" t="s">
        <v>200</v>
      </c>
      <c r="G355" s="151" t="str">
        <f t="shared" si="76"/>
        <v>Spray (Direct/Hood) 12R-36</v>
      </c>
      <c r="H355" s="235">
        <v>22500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638.24625647011555</v>
      </c>
      <c r="W355" s="9">
        <f t="shared" si="80"/>
        <v>3.1912312823505777</v>
      </c>
      <c r="X355" s="8">
        <f t="shared" si="81"/>
        <v>2109.375</v>
      </c>
      <c r="Y355" s="7">
        <f t="shared" si="82"/>
        <v>10.546875</v>
      </c>
      <c r="Z355" s="2">
        <f t="shared" si="83"/>
        <v>9000</v>
      </c>
      <c r="AA355" s="2">
        <f t="shared" si="84"/>
        <v>1687.5</v>
      </c>
      <c r="AB355" s="2">
        <f t="shared" si="85"/>
        <v>15750</v>
      </c>
      <c r="AC355" s="6">
        <f t="shared" si="86"/>
        <v>1417.5</v>
      </c>
      <c r="AD355" s="6">
        <f t="shared" si="87"/>
        <v>378</v>
      </c>
      <c r="AE355" s="6">
        <f t="shared" si="88"/>
        <v>3483</v>
      </c>
      <c r="AF355" s="5">
        <f t="shared" si="89"/>
        <v>17.414999999999999</v>
      </c>
      <c r="AG355" s="207"/>
    </row>
    <row r="356" spans="1:33" x14ac:dyDescent="0.2">
      <c r="A356" s="229">
        <v>360</v>
      </c>
      <c r="B356" s="1" t="str">
        <f t="shared" si="75"/>
        <v>3.52, Spray (Direct/Layby)  8R-30</v>
      </c>
      <c r="C356" s="155">
        <v>3.52</v>
      </c>
      <c r="D356" s="151" t="s">
        <v>436</v>
      </c>
      <c r="E356" s="151" t="s">
        <v>311</v>
      </c>
      <c r="F356" s="151" t="s">
        <v>25</v>
      </c>
      <c r="G356" s="151" t="str">
        <f t="shared" si="76"/>
        <v>Spray (Direct/Layby)  8R-30</v>
      </c>
      <c r="H356" s="235">
        <v>12700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360.25455365202077</v>
      </c>
      <c r="W356" s="9">
        <f t="shared" si="80"/>
        <v>1.801272768260104</v>
      </c>
      <c r="X356" s="8">
        <f t="shared" si="81"/>
        <v>1190.625</v>
      </c>
      <c r="Y356" s="7">
        <f t="shared" si="82"/>
        <v>5.953125</v>
      </c>
      <c r="Z356" s="2">
        <f t="shared" si="83"/>
        <v>5080</v>
      </c>
      <c r="AA356" s="2">
        <f t="shared" si="84"/>
        <v>952.5</v>
      </c>
      <c r="AB356" s="2">
        <f t="shared" si="85"/>
        <v>8890</v>
      </c>
      <c r="AC356" s="6">
        <f t="shared" si="86"/>
        <v>800.1</v>
      </c>
      <c r="AD356" s="6">
        <f t="shared" si="87"/>
        <v>213.36</v>
      </c>
      <c r="AE356" s="6">
        <f t="shared" si="88"/>
        <v>1965.96</v>
      </c>
      <c r="AF356" s="5">
        <f t="shared" si="89"/>
        <v>9.8298000000000005</v>
      </c>
      <c r="AG356" s="207"/>
    </row>
    <row r="357" spans="1:33" x14ac:dyDescent="0.2">
      <c r="A357" s="229">
        <v>10</v>
      </c>
      <c r="B357" s="1" t="str">
        <f t="shared" si="75"/>
        <v>3.53, Spray (Direct/Layby)  8R-36</v>
      </c>
      <c r="C357" s="155">
        <v>3.53</v>
      </c>
      <c r="D357" s="151" t="s">
        <v>436</v>
      </c>
      <c r="E357" s="151" t="s">
        <v>311</v>
      </c>
      <c r="F357" s="151" t="s">
        <v>199</v>
      </c>
      <c r="G357" s="151" t="str">
        <f t="shared" si="76"/>
        <v>Spray (Direct/Layby)  8R-36</v>
      </c>
      <c r="H357" s="235">
        <v>12700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360.25455365202077</v>
      </c>
      <c r="W357" s="9">
        <f t="shared" si="80"/>
        <v>1.801272768260104</v>
      </c>
      <c r="X357" s="8">
        <f t="shared" si="81"/>
        <v>1190.625</v>
      </c>
      <c r="Y357" s="7">
        <f t="shared" si="82"/>
        <v>5.953125</v>
      </c>
      <c r="Z357" s="2">
        <f t="shared" si="83"/>
        <v>5080</v>
      </c>
      <c r="AA357" s="2">
        <f t="shared" si="84"/>
        <v>952.5</v>
      </c>
      <c r="AB357" s="2">
        <f t="shared" si="85"/>
        <v>8890</v>
      </c>
      <c r="AC357" s="6">
        <f t="shared" si="86"/>
        <v>800.1</v>
      </c>
      <c r="AD357" s="6">
        <f t="shared" si="87"/>
        <v>213.36</v>
      </c>
      <c r="AE357" s="6">
        <f t="shared" si="88"/>
        <v>1965.96</v>
      </c>
      <c r="AF357" s="5">
        <f t="shared" si="89"/>
        <v>9.8298000000000005</v>
      </c>
      <c r="AG357" s="207"/>
    </row>
    <row r="358" spans="1:33" x14ac:dyDescent="0.2">
      <c r="A358" s="229">
        <v>11</v>
      </c>
      <c r="B358" s="1" t="str">
        <f t="shared" si="75"/>
        <v>3.54, Spray (Direct/Layby) 10R-30</v>
      </c>
      <c r="C358" s="155">
        <v>3.54</v>
      </c>
      <c r="D358" s="151" t="s">
        <v>436</v>
      </c>
      <c r="E358" s="151" t="s">
        <v>311</v>
      </c>
      <c r="F358" s="151" t="s">
        <v>24</v>
      </c>
      <c r="G358" s="151" t="str">
        <f t="shared" si="76"/>
        <v>Spray (Direct/Layby) 10R-30</v>
      </c>
      <c r="H358" s="235">
        <v>10000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283.66500287560689</v>
      </c>
      <c r="W358" s="9">
        <f t="shared" si="80"/>
        <v>1.4183250143780344</v>
      </c>
      <c r="X358" s="8">
        <f t="shared" si="81"/>
        <v>937.5</v>
      </c>
      <c r="Y358" s="7">
        <f t="shared" si="82"/>
        <v>4.6875</v>
      </c>
      <c r="Z358" s="2">
        <f t="shared" si="83"/>
        <v>4000</v>
      </c>
      <c r="AA358" s="2">
        <f t="shared" si="84"/>
        <v>750</v>
      </c>
      <c r="AB358" s="2">
        <f t="shared" si="85"/>
        <v>7000</v>
      </c>
      <c r="AC358" s="6">
        <f t="shared" si="86"/>
        <v>630</v>
      </c>
      <c r="AD358" s="6">
        <f t="shared" si="87"/>
        <v>168</v>
      </c>
      <c r="AE358" s="6">
        <f t="shared" si="88"/>
        <v>1548</v>
      </c>
      <c r="AF358" s="5">
        <f t="shared" si="89"/>
        <v>7.74</v>
      </c>
      <c r="AG358" s="207"/>
    </row>
    <row r="359" spans="1:33" x14ac:dyDescent="0.2">
      <c r="A359" s="229">
        <v>288</v>
      </c>
      <c r="B359" s="1" t="str">
        <f t="shared" si="75"/>
        <v>3.55, Spray (Direct/Layby) 16R-20</v>
      </c>
      <c r="C359" s="155">
        <v>3.55</v>
      </c>
      <c r="D359" s="151" t="s">
        <v>436</v>
      </c>
      <c r="E359" s="151" t="s">
        <v>311</v>
      </c>
      <c r="F359" s="151" t="s">
        <v>23</v>
      </c>
      <c r="G359" s="151" t="str">
        <f t="shared" si="76"/>
        <v>Spray (Direct/Layby) 16R-20</v>
      </c>
      <c r="H359" s="235">
        <v>11000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312.0315031631676</v>
      </c>
      <c r="W359" s="9">
        <f t="shared" si="80"/>
        <v>1.5601575158158381</v>
      </c>
      <c r="X359" s="8">
        <f t="shared" si="81"/>
        <v>1031.25</v>
      </c>
      <c r="Y359" s="7">
        <f t="shared" si="82"/>
        <v>5.15625</v>
      </c>
      <c r="Z359" s="2">
        <f t="shared" si="83"/>
        <v>4400</v>
      </c>
      <c r="AA359" s="2">
        <f t="shared" si="84"/>
        <v>825</v>
      </c>
      <c r="AB359" s="2">
        <f t="shared" si="85"/>
        <v>7700</v>
      </c>
      <c r="AC359" s="6">
        <f t="shared" si="86"/>
        <v>693</v>
      </c>
      <c r="AD359" s="6">
        <f t="shared" si="87"/>
        <v>184.8</v>
      </c>
      <c r="AE359" s="6">
        <f t="shared" si="88"/>
        <v>1702.8</v>
      </c>
      <c r="AF359" s="5">
        <f t="shared" si="89"/>
        <v>8.5139999999999993</v>
      </c>
      <c r="AG359" s="207"/>
    </row>
    <row r="360" spans="1:33" x14ac:dyDescent="0.2">
      <c r="A360" s="229">
        <v>363</v>
      </c>
      <c r="B360" s="1" t="str">
        <f t="shared" si="75"/>
        <v>3.56, Spray (Direct/Layby) 12R-30</v>
      </c>
      <c r="C360" s="155">
        <v>3.56</v>
      </c>
      <c r="D360" s="151" t="s">
        <v>436</v>
      </c>
      <c r="E360" s="151" t="s">
        <v>311</v>
      </c>
      <c r="F360" s="151" t="s">
        <v>6</v>
      </c>
      <c r="G360" s="151" t="str">
        <f t="shared" si="76"/>
        <v>Spray (Direct/Layby) 12R-30</v>
      </c>
      <c r="H360" s="235">
        <v>17400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493.57710500355603</v>
      </c>
      <c r="W360" s="9">
        <f t="shared" si="80"/>
        <v>2.4678855250177802</v>
      </c>
      <c r="X360" s="8">
        <f t="shared" si="81"/>
        <v>1631.25</v>
      </c>
      <c r="Y360" s="7">
        <f t="shared" si="82"/>
        <v>8.15625</v>
      </c>
      <c r="Z360" s="2">
        <f t="shared" si="83"/>
        <v>6960</v>
      </c>
      <c r="AA360" s="2">
        <f t="shared" si="84"/>
        <v>1305</v>
      </c>
      <c r="AB360" s="2">
        <f t="shared" si="85"/>
        <v>12180</v>
      </c>
      <c r="AC360" s="6">
        <f t="shared" si="86"/>
        <v>1096.2</v>
      </c>
      <c r="AD360" s="6">
        <f t="shared" si="87"/>
        <v>292.32</v>
      </c>
      <c r="AE360" s="6">
        <f t="shared" si="88"/>
        <v>2693.52</v>
      </c>
      <c r="AF360" s="5">
        <f t="shared" si="89"/>
        <v>13.467599999999999</v>
      </c>
      <c r="AG360" s="207"/>
    </row>
    <row r="361" spans="1:33" x14ac:dyDescent="0.2">
      <c r="A361" s="229">
        <v>266</v>
      </c>
      <c r="B361" s="1" t="str">
        <f t="shared" si="75"/>
        <v>3.57, Spray (Direct/Layby)  8R-36 2x1</v>
      </c>
      <c r="C361" s="155">
        <v>3.57</v>
      </c>
      <c r="D361" s="151" t="s">
        <v>436</v>
      </c>
      <c r="E361" s="151" t="s">
        <v>311</v>
      </c>
      <c r="F361" s="151" t="s">
        <v>203</v>
      </c>
      <c r="G361" s="151" t="str">
        <f t="shared" si="76"/>
        <v>Spray (Direct/Layby)  8R-36 2x1</v>
      </c>
      <c r="H361" s="235">
        <v>17300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490.74045497479995</v>
      </c>
      <c r="W361" s="9">
        <f t="shared" si="80"/>
        <v>2.4537022748739998</v>
      </c>
      <c r="X361" s="8">
        <f t="shared" si="81"/>
        <v>1621.875</v>
      </c>
      <c r="Y361" s="7">
        <f t="shared" si="82"/>
        <v>8.109375</v>
      </c>
      <c r="Z361" s="2">
        <f t="shared" si="83"/>
        <v>6920</v>
      </c>
      <c r="AA361" s="2">
        <f t="shared" si="84"/>
        <v>1297.5</v>
      </c>
      <c r="AB361" s="2">
        <f t="shared" si="85"/>
        <v>12110</v>
      </c>
      <c r="AC361" s="6">
        <f t="shared" si="86"/>
        <v>1089.8999999999999</v>
      </c>
      <c r="AD361" s="6">
        <f t="shared" si="87"/>
        <v>290.64</v>
      </c>
      <c r="AE361" s="6">
        <f t="shared" si="88"/>
        <v>2678.0399999999995</v>
      </c>
      <c r="AF361" s="5">
        <f t="shared" si="89"/>
        <v>13.390199999999998</v>
      </c>
      <c r="AG361" s="207"/>
    </row>
    <row r="362" spans="1:33" x14ac:dyDescent="0.2">
      <c r="A362" s="229">
        <v>12</v>
      </c>
      <c r="B362" s="1" t="str">
        <f t="shared" si="75"/>
        <v>3.58, Spray (Direct/Layby) 12R-36</v>
      </c>
      <c r="C362" s="155">
        <v>3.58</v>
      </c>
      <c r="D362" s="151" t="s">
        <v>436</v>
      </c>
      <c r="E362" s="151" t="s">
        <v>311</v>
      </c>
      <c r="F362" s="151" t="s">
        <v>200</v>
      </c>
      <c r="G362" s="151" t="str">
        <f t="shared" si="76"/>
        <v>Spray (Direct/Layby) 12R-36</v>
      </c>
      <c r="H362" s="235">
        <v>17300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490.74045497479995</v>
      </c>
      <c r="W362" s="9">
        <f t="shared" si="80"/>
        <v>2.4537022748739998</v>
      </c>
      <c r="X362" s="8">
        <f t="shared" si="81"/>
        <v>1621.875</v>
      </c>
      <c r="Y362" s="7">
        <f t="shared" si="82"/>
        <v>8.109375</v>
      </c>
      <c r="Z362" s="2">
        <f t="shared" si="83"/>
        <v>6920</v>
      </c>
      <c r="AA362" s="2">
        <f t="shared" si="84"/>
        <v>1297.5</v>
      </c>
      <c r="AB362" s="2">
        <f t="shared" si="85"/>
        <v>12110</v>
      </c>
      <c r="AC362" s="6">
        <f t="shared" si="86"/>
        <v>1089.8999999999999</v>
      </c>
      <c r="AD362" s="6">
        <f t="shared" si="87"/>
        <v>290.64</v>
      </c>
      <c r="AE362" s="6">
        <f t="shared" si="88"/>
        <v>2678.0399999999995</v>
      </c>
      <c r="AF362" s="5">
        <f t="shared" si="89"/>
        <v>13.390199999999998</v>
      </c>
      <c r="AG362" s="207"/>
    </row>
    <row r="363" spans="1:33" x14ac:dyDescent="0.2">
      <c r="A363" s="229">
        <v>709</v>
      </c>
      <c r="B363" s="1" t="str">
        <f t="shared" si="75"/>
        <v>3.59, Spray (Levee Leaper) 50'</v>
      </c>
      <c r="C363" s="155">
        <v>3.59</v>
      </c>
      <c r="D363" s="151" t="s">
        <v>436</v>
      </c>
      <c r="E363" s="151" t="s">
        <v>312</v>
      </c>
      <c r="F363" s="151" t="s">
        <v>15</v>
      </c>
      <c r="G363" s="151" t="str">
        <f t="shared" si="76"/>
        <v>Spray (Levee Leaper) 50'</v>
      </c>
      <c r="H363" s="235">
        <v>12900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365.92785370953294</v>
      </c>
      <c r="W363" s="9">
        <f t="shared" si="80"/>
        <v>1.8296392685476648</v>
      </c>
      <c r="X363" s="8">
        <f t="shared" si="81"/>
        <v>1209.375</v>
      </c>
      <c r="Y363" s="7">
        <f t="shared" si="82"/>
        <v>6.046875</v>
      </c>
      <c r="Z363" s="2">
        <f t="shared" si="83"/>
        <v>5160</v>
      </c>
      <c r="AA363" s="2">
        <f t="shared" si="84"/>
        <v>967.5</v>
      </c>
      <c r="AB363" s="2">
        <f t="shared" si="85"/>
        <v>9030</v>
      </c>
      <c r="AC363" s="6">
        <f t="shared" si="86"/>
        <v>812.69999999999993</v>
      </c>
      <c r="AD363" s="6">
        <f t="shared" si="87"/>
        <v>216.72</v>
      </c>
      <c r="AE363" s="6">
        <f t="shared" si="88"/>
        <v>1996.9199999999998</v>
      </c>
      <c r="AF363" s="5">
        <f t="shared" si="89"/>
        <v>9.9845999999999986</v>
      </c>
      <c r="AG363" s="207"/>
    </row>
    <row r="364" spans="1:33" x14ac:dyDescent="0.2">
      <c r="A364" s="229">
        <v>703</v>
      </c>
      <c r="B364" s="1" t="str">
        <f t="shared" si="75"/>
        <v>3.6, Spray (Pull Type)  60'</v>
      </c>
      <c r="C364" s="155">
        <v>3.6</v>
      </c>
      <c r="D364" s="151" t="s">
        <v>436</v>
      </c>
      <c r="E364" s="151" t="s">
        <v>313</v>
      </c>
      <c r="F364" s="151" t="s">
        <v>22</v>
      </c>
      <c r="G364" s="151" t="str">
        <f t="shared" si="76"/>
        <v>Spray (Pull Type)  60'</v>
      </c>
      <c r="H364" s="235">
        <v>36400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1032.540610467209</v>
      </c>
      <c r="W364" s="9">
        <f t="shared" si="80"/>
        <v>5.1627030523360453</v>
      </c>
      <c r="X364" s="8">
        <f t="shared" si="81"/>
        <v>3412.5</v>
      </c>
      <c r="Y364" s="7">
        <f t="shared" si="82"/>
        <v>17.0625</v>
      </c>
      <c r="Z364" s="2">
        <f t="shared" si="83"/>
        <v>14560</v>
      </c>
      <c r="AA364" s="2">
        <f t="shared" si="84"/>
        <v>2730</v>
      </c>
      <c r="AB364" s="2">
        <f t="shared" si="85"/>
        <v>25480</v>
      </c>
      <c r="AC364" s="6">
        <f t="shared" si="86"/>
        <v>2293.1999999999998</v>
      </c>
      <c r="AD364" s="6">
        <f t="shared" si="87"/>
        <v>611.52</v>
      </c>
      <c r="AE364" s="6">
        <f t="shared" si="88"/>
        <v>5634.7199999999993</v>
      </c>
      <c r="AF364" s="5">
        <f t="shared" si="89"/>
        <v>28.173599999999997</v>
      </c>
      <c r="AG364" s="207"/>
    </row>
    <row r="365" spans="1:33" x14ac:dyDescent="0.2">
      <c r="A365" s="229">
        <v>704</v>
      </c>
      <c r="B365" s="1" t="str">
        <f t="shared" si="75"/>
        <v>3.61, Spray (Pull Type)  80'</v>
      </c>
      <c r="C365" s="155">
        <v>3.61</v>
      </c>
      <c r="D365" s="151" t="s">
        <v>436</v>
      </c>
      <c r="E365" s="151" t="s">
        <v>313</v>
      </c>
      <c r="F365" s="151" t="s">
        <v>21</v>
      </c>
      <c r="G365" s="151" t="str">
        <f t="shared" si="76"/>
        <v>Spray (Pull Type)  80'</v>
      </c>
      <c r="H365" s="235">
        <v>50300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1426.8349644643026</v>
      </c>
      <c r="W365" s="9">
        <f t="shared" si="80"/>
        <v>7.1341748223215129</v>
      </c>
      <c r="X365" s="8">
        <f t="shared" si="81"/>
        <v>4715.625</v>
      </c>
      <c r="Y365" s="7">
        <f t="shared" si="82"/>
        <v>23.578125</v>
      </c>
      <c r="Z365" s="2">
        <f t="shared" si="83"/>
        <v>20120</v>
      </c>
      <c r="AA365" s="2">
        <f t="shared" si="84"/>
        <v>3772.5</v>
      </c>
      <c r="AB365" s="2">
        <f t="shared" si="85"/>
        <v>35210</v>
      </c>
      <c r="AC365" s="6">
        <f t="shared" si="86"/>
        <v>3168.9</v>
      </c>
      <c r="AD365" s="6">
        <f t="shared" si="87"/>
        <v>845.04</v>
      </c>
      <c r="AE365" s="6">
        <f t="shared" si="88"/>
        <v>7786.44</v>
      </c>
      <c r="AF365" s="5">
        <f t="shared" si="89"/>
        <v>38.932199999999995</v>
      </c>
      <c r="AG365" s="207"/>
    </row>
    <row r="366" spans="1:33" x14ac:dyDescent="0.2">
      <c r="A366" s="229">
        <v>705</v>
      </c>
      <c r="B366" s="1" t="str">
        <f t="shared" si="75"/>
        <v>3.62, Spray (Pull Type)  90'</v>
      </c>
      <c r="C366" s="155">
        <v>3.62</v>
      </c>
      <c r="D366" s="151" t="s">
        <v>436</v>
      </c>
      <c r="E366" s="151" t="s">
        <v>313</v>
      </c>
      <c r="F366" s="151" t="s">
        <v>20</v>
      </c>
      <c r="G366" s="151" t="str">
        <f t="shared" si="76"/>
        <v>Spray (Pull Type)  90'</v>
      </c>
      <c r="H366" s="235">
        <v>51000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1446.6915146655952</v>
      </c>
      <c r="W366" s="9">
        <f t="shared" si="80"/>
        <v>7.2334575733279758</v>
      </c>
      <c r="X366" s="8">
        <f t="shared" si="81"/>
        <v>4781.25</v>
      </c>
      <c r="Y366" s="7">
        <f t="shared" si="82"/>
        <v>23.90625</v>
      </c>
      <c r="Z366" s="2">
        <f t="shared" si="83"/>
        <v>20400</v>
      </c>
      <c r="AA366" s="2">
        <f t="shared" si="84"/>
        <v>3825</v>
      </c>
      <c r="AB366" s="2">
        <f t="shared" si="85"/>
        <v>35700</v>
      </c>
      <c r="AC366" s="6">
        <f t="shared" si="86"/>
        <v>3213</v>
      </c>
      <c r="AD366" s="6">
        <f t="shared" si="87"/>
        <v>856.80000000000007</v>
      </c>
      <c r="AE366" s="6">
        <f t="shared" si="88"/>
        <v>7894.8</v>
      </c>
      <c r="AF366" s="5">
        <f t="shared" si="89"/>
        <v>39.474000000000004</v>
      </c>
      <c r="AG366" s="207"/>
    </row>
    <row r="367" spans="1:33" x14ac:dyDescent="0.2">
      <c r="A367" s="229">
        <v>706</v>
      </c>
      <c r="B367" s="1" t="str">
        <f t="shared" si="75"/>
        <v>3.63, Spray (Pull Type) 100'</v>
      </c>
      <c r="C367" s="155">
        <v>3.63</v>
      </c>
      <c r="D367" s="151" t="s">
        <v>436</v>
      </c>
      <c r="E367" s="151" t="s">
        <v>313</v>
      </c>
      <c r="F367" s="151" t="s">
        <v>19</v>
      </c>
      <c r="G367" s="151" t="str">
        <f t="shared" si="76"/>
        <v>Spray (Pull Type) 100'</v>
      </c>
      <c r="H367" s="235">
        <v>64800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1838.1492186339326</v>
      </c>
      <c r="W367" s="9">
        <f t="shared" si="80"/>
        <v>9.190746093169663</v>
      </c>
      <c r="X367" s="8">
        <f t="shared" si="81"/>
        <v>6075</v>
      </c>
      <c r="Y367" s="7">
        <f t="shared" si="82"/>
        <v>30.375</v>
      </c>
      <c r="Z367" s="2">
        <f t="shared" si="83"/>
        <v>25920</v>
      </c>
      <c r="AA367" s="2">
        <f t="shared" si="84"/>
        <v>4860</v>
      </c>
      <c r="AB367" s="2">
        <f t="shared" si="85"/>
        <v>45360</v>
      </c>
      <c r="AC367" s="6">
        <f t="shared" si="86"/>
        <v>4082.3999999999996</v>
      </c>
      <c r="AD367" s="6">
        <f t="shared" si="87"/>
        <v>1088.6400000000001</v>
      </c>
      <c r="AE367" s="6">
        <f t="shared" si="88"/>
        <v>10031.039999999999</v>
      </c>
      <c r="AF367" s="5">
        <f t="shared" si="89"/>
        <v>50.155199999999994</v>
      </c>
      <c r="AG367" s="207"/>
    </row>
    <row r="368" spans="1:33" x14ac:dyDescent="0.2">
      <c r="A368" s="229">
        <v>707</v>
      </c>
      <c r="B368" s="1" t="str">
        <f t="shared" si="75"/>
        <v>3.64, Spray (Pull Type) 120'</v>
      </c>
      <c r="C368" s="155">
        <v>3.64</v>
      </c>
      <c r="D368" s="151" t="s">
        <v>436</v>
      </c>
      <c r="E368" s="151" t="s">
        <v>313</v>
      </c>
      <c r="F368" s="151" t="s">
        <v>18</v>
      </c>
      <c r="G368" s="151" t="str">
        <f t="shared" si="76"/>
        <v>Spray (Pull Type) 120'</v>
      </c>
      <c r="H368" s="235">
        <v>76600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2172.8739220271486</v>
      </c>
      <c r="W368" s="9">
        <f t="shared" si="80"/>
        <v>10.864369610135743</v>
      </c>
      <c r="X368" s="8">
        <f t="shared" si="81"/>
        <v>7181.25</v>
      </c>
      <c r="Y368" s="7">
        <f t="shared" si="82"/>
        <v>35.90625</v>
      </c>
      <c r="Z368" s="2">
        <f t="shared" si="83"/>
        <v>30640</v>
      </c>
      <c r="AA368" s="2">
        <f t="shared" si="84"/>
        <v>5745</v>
      </c>
      <c r="AB368" s="2">
        <f t="shared" si="85"/>
        <v>53620</v>
      </c>
      <c r="AC368" s="6">
        <f t="shared" si="86"/>
        <v>4825.8</v>
      </c>
      <c r="AD368" s="6">
        <f t="shared" si="87"/>
        <v>1286.8800000000001</v>
      </c>
      <c r="AE368" s="6">
        <f t="shared" si="88"/>
        <v>11857.68</v>
      </c>
      <c r="AF368" s="5">
        <f t="shared" si="89"/>
        <v>59.288400000000003</v>
      </c>
      <c r="AG368" s="207"/>
    </row>
    <row r="369" spans="1:33" x14ac:dyDescent="0.2">
      <c r="A369" s="229">
        <v>708</v>
      </c>
      <c r="B369" s="1" t="str">
        <f t="shared" si="75"/>
        <v>3.65, Spray (Ropewick) 20'</v>
      </c>
      <c r="C369" s="155">
        <v>3.65</v>
      </c>
      <c r="D369" s="151" t="s">
        <v>436</v>
      </c>
      <c r="E369" s="151" t="s">
        <v>314</v>
      </c>
      <c r="F369" s="151" t="s">
        <v>8</v>
      </c>
      <c r="G369" s="151" t="str">
        <f t="shared" si="76"/>
        <v>Spray (Ropewick) 20'</v>
      </c>
      <c r="H369" s="235">
        <v>3440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97.580760989208784</v>
      </c>
      <c r="W369" s="9">
        <f t="shared" si="80"/>
        <v>0.48790380494604391</v>
      </c>
      <c r="X369" s="8">
        <f t="shared" si="81"/>
        <v>322.5</v>
      </c>
      <c r="Y369" s="7">
        <f t="shared" si="82"/>
        <v>1.6125</v>
      </c>
      <c r="Z369" s="2">
        <f t="shared" si="83"/>
        <v>1376</v>
      </c>
      <c r="AA369" s="2">
        <f t="shared" si="84"/>
        <v>258</v>
      </c>
      <c r="AB369" s="2">
        <f t="shared" si="85"/>
        <v>2408</v>
      </c>
      <c r="AC369" s="6">
        <f t="shared" si="86"/>
        <v>216.72</v>
      </c>
      <c r="AD369" s="6">
        <f t="shared" si="87"/>
        <v>57.792000000000002</v>
      </c>
      <c r="AE369" s="6">
        <f t="shared" si="88"/>
        <v>532.51200000000006</v>
      </c>
      <c r="AF369" s="5">
        <f t="shared" si="89"/>
        <v>2.6625600000000005</v>
      </c>
      <c r="AG369" s="207"/>
    </row>
    <row r="370" spans="1:33" x14ac:dyDescent="0.2">
      <c r="A370" s="229">
        <v>194</v>
      </c>
      <c r="B370" s="1" t="str">
        <f t="shared" si="75"/>
        <v>3.66, Spray (Spot) 27'</v>
      </c>
      <c r="C370" s="155">
        <v>3.66</v>
      </c>
      <c r="D370" s="151" t="s">
        <v>436</v>
      </c>
      <c r="E370" s="151" t="s">
        <v>315</v>
      </c>
      <c r="F370" s="151" t="s">
        <v>17</v>
      </c>
      <c r="G370" s="151" t="str">
        <f t="shared" si="76"/>
        <v>Spray (Spot) 27'</v>
      </c>
      <c r="H370" s="235">
        <v>5440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154.31376156433018</v>
      </c>
      <c r="W370" s="9">
        <f t="shared" si="80"/>
        <v>0.77156880782165094</v>
      </c>
      <c r="X370" s="8">
        <f t="shared" si="81"/>
        <v>510</v>
      </c>
      <c r="Y370" s="7">
        <f t="shared" si="82"/>
        <v>2.5499999999999998</v>
      </c>
      <c r="Z370" s="2">
        <f t="shared" si="83"/>
        <v>2176</v>
      </c>
      <c r="AA370" s="2">
        <f t="shared" si="84"/>
        <v>408</v>
      </c>
      <c r="AB370" s="2">
        <f t="shared" si="85"/>
        <v>3808</v>
      </c>
      <c r="AC370" s="6">
        <f t="shared" si="86"/>
        <v>342.71999999999997</v>
      </c>
      <c r="AD370" s="6">
        <f t="shared" si="87"/>
        <v>91.391999999999996</v>
      </c>
      <c r="AE370" s="6">
        <f t="shared" si="88"/>
        <v>842.11200000000008</v>
      </c>
      <c r="AF370" s="5">
        <f t="shared" si="89"/>
        <v>4.2105600000000001</v>
      </c>
      <c r="AG370" s="207"/>
    </row>
    <row r="371" spans="1:33" x14ac:dyDescent="0.2">
      <c r="A371" s="229">
        <v>195</v>
      </c>
      <c r="B371" s="1" t="str">
        <f t="shared" si="75"/>
        <v>3.67, Spray (Spot) 40'</v>
      </c>
      <c r="C371" s="155">
        <v>3.67</v>
      </c>
      <c r="D371" s="151" t="s">
        <v>436</v>
      </c>
      <c r="E371" s="151" t="s">
        <v>315</v>
      </c>
      <c r="F371" s="151" t="s">
        <v>16</v>
      </c>
      <c r="G371" s="151" t="str">
        <f t="shared" si="76"/>
        <v>Spray (Spot) 40'</v>
      </c>
      <c r="H371" s="235">
        <v>7810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221.54236724584902</v>
      </c>
      <c r="W371" s="9">
        <f t="shared" si="80"/>
        <v>1.1077118362292451</v>
      </c>
      <c r="X371" s="8">
        <f t="shared" si="81"/>
        <v>732.1875</v>
      </c>
      <c r="Y371" s="7">
        <f t="shared" si="82"/>
        <v>3.6609375000000002</v>
      </c>
      <c r="Z371" s="2">
        <f t="shared" si="83"/>
        <v>3124</v>
      </c>
      <c r="AA371" s="2">
        <f t="shared" si="84"/>
        <v>585.75</v>
      </c>
      <c r="AB371" s="2">
        <f t="shared" si="85"/>
        <v>5467</v>
      </c>
      <c r="AC371" s="6">
        <f t="shared" si="86"/>
        <v>492.03</v>
      </c>
      <c r="AD371" s="6">
        <f t="shared" si="87"/>
        <v>131.208</v>
      </c>
      <c r="AE371" s="6">
        <f t="shared" si="88"/>
        <v>1208.9880000000001</v>
      </c>
      <c r="AF371" s="5">
        <f t="shared" si="89"/>
        <v>6.0449400000000004</v>
      </c>
      <c r="AG371" s="207"/>
    </row>
    <row r="372" spans="1:33" x14ac:dyDescent="0.2">
      <c r="A372" s="229">
        <v>358</v>
      </c>
      <c r="B372" s="1" t="str">
        <f t="shared" si="75"/>
        <v>3.68, Spray (Spot) 50'</v>
      </c>
      <c r="C372" s="155">
        <v>3.68</v>
      </c>
      <c r="D372" s="151" t="s">
        <v>436</v>
      </c>
      <c r="E372" s="151" t="s">
        <v>315</v>
      </c>
      <c r="F372" s="151" t="s">
        <v>15</v>
      </c>
      <c r="G372" s="151" t="str">
        <f t="shared" si="76"/>
        <v>Spray (Spot) 50'</v>
      </c>
      <c r="H372" s="235">
        <v>6940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196.86351199567122</v>
      </c>
      <c r="W372" s="9">
        <f t="shared" si="80"/>
        <v>0.98431755997835613</v>
      </c>
      <c r="X372" s="8">
        <f t="shared" si="81"/>
        <v>650.625</v>
      </c>
      <c r="Y372" s="7">
        <f t="shared" si="82"/>
        <v>3.2531249999999998</v>
      </c>
      <c r="Z372" s="2">
        <f t="shared" si="83"/>
        <v>2776</v>
      </c>
      <c r="AA372" s="2">
        <f t="shared" si="84"/>
        <v>520.5</v>
      </c>
      <c r="AB372" s="2">
        <f t="shared" si="85"/>
        <v>4858</v>
      </c>
      <c r="AC372" s="6">
        <f t="shared" si="86"/>
        <v>437.21999999999997</v>
      </c>
      <c r="AD372" s="6">
        <f t="shared" si="87"/>
        <v>116.592</v>
      </c>
      <c r="AE372" s="6">
        <f t="shared" si="88"/>
        <v>1074.3120000000001</v>
      </c>
      <c r="AF372" s="5">
        <f t="shared" si="89"/>
        <v>5.3715600000000006</v>
      </c>
      <c r="AG372" s="207"/>
    </row>
    <row r="373" spans="1:33" x14ac:dyDescent="0.2">
      <c r="A373" s="229">
        <v>359</v>
      </c>
      <c r="B373" s="1" t="str">
        <f t="shared" si="75"/>
        <v>3.69, Spray (Spot) 53'</v>
      </c>
      <c r="C373" s="155">
        <v>3.69</v>
      </c>
      <c r="D373" s="151" t="s">
        <v>436</v>
      </c>
      <c r="E373" s="151" t="s">
        <v>315</v>
      </c>
      <c r="F373" s="151" t="s">
        <v>14</v>
      </c>
      <c r="G373" s="151" t="str">
        <f t="shared" si="76"/>
        <v>Spray (Spot) 53'</v>
      </c>
      <c r="H373" s="235">
        <v>9620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272.88573276633383</v>
      </c>
      <c r="W373" s="9">
        <f t="shared" si="80"/>
        <v>1.3644286638316692</v>
      </c>
      <c r="X373" s="8">
        <f t="shared" si="81"/>
        <v>901.875</v>
      </c>
      <c r="Y373" s="7">
        <f t="shared" si="82"/>
        <v>4.5093750000000004</v>
      </c>
      <c r="Z373" s="2">
        <f t="shared" si="83"/>
        <v>3848</v>
      </c>
      <c r="AA373" s="2">
        <f t="shared" si="84"/>
        <v>721.5</v>
      </c>
      <c r="AB373" s="2">
        <f t="shared" si="85"/>
        <v>6734</v>
      </c>
      <c r="AC373" s="6">
        <f t="shared" si="86"/>
        <v>606.05999999999995</v>
      </c>
      <c r="AD373" s="6">
        <f t="shared" si="87"/>
        <v>161.61600000000001</v>
      </c>
      <c r="AE373" s="6">
        <f t="shared" si="88"/>
        <v>1489.1759999999999</v>
      </c>
      <c r="AF373" s="5">
        <f t="shared" si="89"/>
        <v>7.4458799999999998</v>
      </c>
      <c r="AG373" s="207"/>
    </row>
    <row r="374" spans="1:33" x14ac:dyDescent="0.2">
      <c r="A374" s="229">
        <v>196</v>
      </c>
      <c r="B374" s="1" t="str">
        <f t="shared" si="75"/>
        <v>3.7, Spray (Spot) 60'</v>
      </c>
      <c r="C374" s="155">
        <v>3.7</v>
      </c>
      <c r="D374" s="151" t="s">
        <v>436</v>
      </c>
      <c r="E374" s="151" t="s">
        <v>315</v>
      </c>
      <c r="F374" s="151" t="s">
        <v>13</v>
      </c>
      <c r="G374" s="151" t="str">
        <f t="shared" si="76"/>
        <v>Spray (Spot) 60'</v>
      </c>
      <c r="H374" s="235">
        <v>18600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527.61690534862885</v>
      </c>
      <c r="W374" s="9">
        <f t="shared" si="80"/>
        <v>2.6380845267431443</v>
      </c>
      <c r="X374" s="8">
        <f t="shared" si="81"/>
        <v>1743.75</v>
      </c>
      <c r="Y374" s="7">
        <f t="shared" si="82"/>
        <v>8.71875</v>
      </c>
      <c r="Z374" s="2">
        <f t="shared" si="83"/>
        <v>7440</v>
      </c>
      <c r="AA374" s="2">
        <f t="shared" si="84"/>
        <v>1395</v>
      </c>
      <c r="AB374" s="2">
        <f t="shared" si="85"/>
        <v>13020</v>
      </c>
      <c r="AC374" s="6">
        <f t="shared" si="86"/>
        <v>1171.8</v>
      </c>
      <c r="AD374" s="6">
        <f t="shared" si="87"/>
        <v>312.48</v>
      </c>
      <c r="AE374" s="6">
        <f t="shared" si="88"/>
        <v>2879.28</v>
      </c>
      <c r="AF374" s="5">
        <f t="shared" si="89"/>
        <v>14.396400000000002</v>
      </c>
      <c r="AG374" s="207"/>
    </row>
    <row r="375" spans="1:33" x14ac:dyDescent="0.2">
      <c r="A375" s="229"/>
      <c r="B375" s="1" t="str">
        <f t="shared" si="75"/>
        <v>3.71, ST Plant Rigid 6R-36</v>
      </c>
      <c r="C375" s="155">
        <v>3.71</v>
      </c>
      <c r="D375" s="151" t="s">
        <v>436</v>
      </c>
      <c r="E375" s="151" t="s">
        <v>417</v>
      </c>
      <c r="F375" s="151" t="s">
        <v>206</v>
      </c>
      <c r="G375" s="151" t="str">
        <f t="shared" si="76"/>
        <v>ST Plant Rigid 6R-36</v>
      </c>
      <c r="H375" s="30">
        <v>35754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677.97887602589481</v>
      </c>
      <c r="W375" s="9">
        <f t="shared" si="80"/>
        <v>4.5198591735059654</v>
      </c>
      <c r="X375" s="8">
        <f t="shared" si="81"/>
        <v>1608.9299999999998</v>
      </c>
      <c r="Y375" s="7">
        <f t="shared" si="82"/>
        <v>10.726199999999999</v>
      </c>
      <c r="Z375" s="2">
        <f t="shared" si="83"/>
        <v>16089.3</v>
      </c>
      <c r="AA375" s="2">
        <f t="shared" si="84"/>
        <v>1966.47</v>
      </c>
      <c r="AB375" s="2">
        <f t="shared" si="85"/>
        <v>25921.65</v>
      </c>
      <c r="AC375" s="6">
        <f t="shared" si="86"/>
        <v>2332.9485</v>
      </c>
      <c r="AD375" s="6">
        <f t="shared" si="87"/>
        <v>622.11959999999999</v>
      </c>
      <c r="AE375" s="6">
        <f t="shared" si="88"/>
        <v>4921.5380999999998</v>
      </c>
      <c r="AF375" s="5">
        <f t="shared" si="89"/>
        <v>32.810254</v>
      </c>
      <c r="AG375" s="207"/>
    </row>
    <row r="376" spans="1:33" x14ac:dyDescent="0.2">
      <c r="A376" s="229"/>
      <c r="B376" s="1" t="str">
        <f t="shared" si="75"/>
        <v>3.72, ST Plant Rigid 8R-36</v>
      </c>
      <c r="C376" s="155">
        <v>3.72</v>
      </c>
      <c r="D376" s="151" t="s">
        <v>436</v>
      </c>
      <c r="E376" s="151" t="s">
        <v>417</v>
      </c>
      <c r="F376" s="151" t="s">
        <v>205</v>
      </c>
      <c r="G376" s="151" t="str">
        <f t="shared" si="76"/>
        <v>ST Plant Rigid 8R-36</v>
      </c>
      <c r="H376" s="30">
        <v>39390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746.92588036751135</v>
      </c>
      <c r="W376" s="9">
        <f t="shared" si="80"/>
        <v>4.9795058691167426</v>
      </c>
      <c r="X376" s="8">
        <f t="shared" si="81"/>
        <v>1772.55</v>
      </c>
      <c r="Y376" s="7">
        <f t="shared" si="82"/>
        <v>11.817</v>
      </c>
      <c r="Z376" s="2">
        <f t="shared" si="83"/>
        <v>17725.5</v>
      </c>
      <c r="AA376" s="2">
        <f t="shared" si="84"/>
        <v>2166.4499999999998</v>
      </c>
      <c r="AB376" s="2">
        <f t="shared" si="85"/>
        <v>28557.75</v>
      </c>
      <c r="AC376" s="6">
        <f t="shared" si="86"/>
        <v>2570.1974999999998</v>
      </c>
      <c r="AD376" s="6">
        <f t="shared" si="87"/>
        <v>685.38599999999997</v>
      </c>
      <c r="AE376" s="6">
        <f t="shared" si="88"/>
        <v>5422.0334999999995</v>
      </c>
      <c r="AF376" s="5">
        <f t="shared" si="89"/>
        <v>36.146889999999999</v>
      </c>
      <c r="AG376" s="207"/>
    </row>
    <row r="377" spans="1:33" x14ac:dyDescent="0.2">
      <c r="A377" s="229">
        <v>693</v>
      </c>
      <c r="B377" s="1" t="str">
        <f t="shared" si="75"/>
        <v>3.73, Strip Till 12R-30</v>
      </c>
      <c r="C377" s="155">
        <v>3.73</v>
      </c>
      <c r="D377" s="151" t="s">
        <v>436</v>
      </c>
      <c r="E377" s="151" t="s">
        <v>316</v>
      </c>
      <c r="F377" s="151" t="s">
        <v>6</v>
      </c>
      <c r="G377" s="151" t="str">
        <f t="shared" si="76"/>
        <v>Strip Till 12R-30</v>
      </c>
      <c r="H377" s="30">
        <v>47975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909.71741839632784</v>
      </c>
      <c r="W377" s="9">
        <f t="shared" si="80"/>
        <v>6.0647827893088522</v>
      </c>
      <c r="X377" s="8">
        <f t="shared" si="81"/>
        <v>3118.375</v>
      </c>
      <c r="Y377" s="7">
        <f t="shared" si="82"/>
        <v>20.789166666666667</v>
      </c>
      <c r="Z377" s="2">
        <f t="shared" si="83"/>
        <v>14392.5</v>
      </c>
      <c r="AA377" s="2">
        <f t="shared" si="84"/>
        <v>3358.25</v>
      </c>
      <c r="AB377" s="2">
        <f t="shared" si="85"/>
        <v>31183.75</v>
      </c>
      <c r="AC377" s="6">
        <f t="shared" si="86"/>
        <v>2806.5374999999999</v>
      </c>
      <c r="AD377" s="6">
        <f t="shared" si="87"/>
        <v>748.41</v>
      </c>
      <c r="AE377" s="6">
        <f t="shared" si="88"/>
        <v>6913.1975000000002</v>
      </c>
      <c r="AF377" s="5">
        <f t="shared" si="89"/>
        <v>46.087983333333334</v>
      </c>
      <c r="AG377" s="207"/>
    </row>
    <row r="378" spans="1:33" x14ac:dyDescent="0.2">
      <c r="A378" s="229">
        <v>202</v>
      </c>
      <c r="B378" s="1" t="str">
        <f t="shared" si="75"/>
        <v>3.74, Subsoiler 3 shank</v>
      </c>
      <c r="C378" s="155">
        <v>3.74</v>
      </c>
      <c r="D378" s="151" t="s">
        <v>436</v>
      </c>
      <c r="E378" s="151" t="s">
        <v>317</v>
      </c>
      <c r="F378" s="151" t="s">
        <v>5</v>
      </c>
      <c r="G378" s="151" t="str">
        <f t="shared" si="76"/>
        <v>Subsoiler 3 shank</v>
      </c>
      <c r="H378" s="30">
        <v>3585.5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38.54015802052826</v>
      </c>
      <c r="W378" s="9">
        <f t="shared" si="80"/>
        <v>0.38540158020528259</v>
      </c>
      <c r="X378" s="8">
        <f t="shared" si="81"/>
        <v>119.51666666666667</v>
      </c>
      <c r="Y378" s="7">
        <f t="shared" si="82"/>
        <v>1.1951666666666667</v>
      </c>
      <c r="Z378" s="2">
        <f t="shared" si="83"/>
        <v>1075.6500000000001</v>
      </c>
      <c r="AA378" s="2">
        <f t="shared" si="84"/>
        <v>167.32333333333332</v>
      </c>
      <c r="AB378" s="2">
        <f t="shared" si="85"/>
        <v>2330.5749999999998</v>
      </c>
      <c r="AC378" s="6">
        <f t="shared" si="86"/>
        <v>209.75174999999999</v>
      </c>
      <c r="AD378" s="6">
        <f t="shared" si="87"/>
        <v>55.933799999999998</v>
      </c>
      <c r="AE378" s="6">
        <f t="shared" si="88"/>
        <v>433.0088833333333</v>
      </c>
      <c r="AF378" s="5">
        <f t="shared" si="89"/>
        <v>4.3300888333333329</v>
      </c>
      <c r="AG378" s="207"/>
    </row>
    <row r="379" spans="1:33" x14ac:dyDescent="0.2">
      <c r="A379" s="229">
        <v>217</v>
      </c>
      <c r="B379" s="1" t="str">
        <f t="shared" si="75"/>
        <v>3.75, Subsoiler 4 shank</v>
      </c>
      <c r="C379" s="155">
        <v>3.75</v>
      </c>
      <c r="D379" s="151" t="s">
        <v>436</v>
      </c>
      <c r="E379" s="151" t="s">
        <v>317</v>
      </c>
      <c r="F379" s="151" t="s">
        <v>3</v>
      </c>
      <c r="G379" s="151" t="str">
        <f t="shared" si="76"/>
        <v>Subsoiler 4 shank</v>
      </c>
      <c r="H379" s="30">
        <v>8312.2999999999993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89.348028312379597</v>
      </c>
      <c r="W379" s="9">
        <f t="shared" si="80"/>
        <v>0.89348028312379602</v>
      </c>
      <c r="X379" s="8">
        <f t="shared" si="81"/>
        <v>277.07666666666665</v>
      </c>
      <c r="Y379" s="7">
        <f t="shared" si="82"/>
        <v>2.7707666666666664</v>
      </c>
      <c r="Z379" s="2">
        <f t="shared" si="83"/>
        <v>2493.6899999999996</v>
      </c>
      <c r="AA379" s="2">
        <f t="shared" si="84"/>
        <v>387.90733333333333</v>
      </c>
      <c r="AB379" s="2">
        <f t="shared" si="85"/>
        <v>5402.994999999999</v>
      </c>
      <c r="AC379" s="6">
        <f t="shared" si="86"/>
        <v>486.26954999999987</v>
      </c>
      <c r="AD379" s="6">
        <f t="shared" si="87"/>
        <v>129.67187999999999</v>
      </c>
      <c r="AE379" s="6">
        <f t="shared" si="88"/>
        <v>1003.8487633333332</v>
      </c>
      <c r="AF379" s="5">
        <f t="shared" si="89"/>
        <v>10.038487633333332</v>
      </c>
      <c r="AG379" s="207"/>
    </row>
    <row r="380" spans="1:33" x14ac:dyDescent="0.2">
      <c r="A380" s="229">
        <v>203</v>
      </c>
      <c r="B380" s="1" t="str">
        <f t="shared" si="75"/>
        <v>3.76, Subsoiler 5 shank</v>
      </c>
      <c r="C380" s="155">
        <v>3.76</v>
      </c>
      <c r="D380" s="151" t="s">
        <v>436</v>
      </c>
      <c r="E380" s="151" t="s">
        <v>317</v>
      </c>
      <c r="F380" s="151" t="s">
        <v>4</v>
      </c>
      <c r="G380" s="151" t="str">
        <f t="shared" si="76"/>
        <v>Subsoiler 5 shank</v>
      </c>
      <c r="H380" s="30">
        <v>11211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120.50584620503204</v>
      </c>
      <c r="W380" s="9">
        <f t="shared" si="80"/>
        <v>1.2050584620503204</v>
      </c>
      <c r="X380" s="8">
        <f t="shared" si="81"/>
        <v>373.7</v>
      </c>
      <c r="Y380" s="7">
        <f t="shared" si="82"/>
        <v>3.7370000000000001</v>
      </c>
      <c r="Z380" s="2">
        <f t="shared" si="83"/>
        <v>3363.3</v>
      </c>
      <c r="AA380" s="2">
        <f t="shared" si="84"/>
        <v>523.17999999999995</v>
      </c>
      <c r="AB380" s="2">
        <f t="shared" si="85"/>
        <v>7287.15</v>
      </c>
      <c r="AC380" s="6">
        <f t="shared" si="86"/>
        <v>655.84349999999995</v>
      </c>
      <c r="AD380" s="6">
        <f t="shared" si="87"/>
        <v>174.89159999999998</v>
      </c>
      <c r="AE380" s="6">
        <f t="shared" si="88"/>
        <v>1353.9150999999997</v>
      </c>
      <c r="AF380" s="5">
        <f t="shared" si="89"/>
        <v>13.539150999999997</v>
      </c>
      <c r="AG380" s="207"/>
    </row>
    <row r="381" spans="1:33" x14ac:dyDescent="0.2">
      <c r="A381" s="229">
        <v>218</v>
      </c>
      <c r="B381" s="1" t="str">
        <f t="shared" si="75"/>
        <v>3.77, Subsoiler low-till 4 shank</v>
      </c>
      <c r="C381" s="155">
        <v>3.77</v>
      </c>
      <c r="D381" s="151" t="s">
        <v>436</v>
      </c>
      <c r="E381" s="151" t="s">
        <v>318</v>
      </c>
      <c r="F381" s="151" t="s">
        <v>3</v>
      </c>
      <c r="G381" s="151" t="str">
        <f t="shared" si="76"/>
        <v>Subsoiler low-till 4 shank</v>
      </c>
      <c r="H381" s="30">
        <v>12524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134.61914350832407</v>
      </c>
      <c r="W381" s="9">
        <f t="shared" si="80"/>
        <v>1.3461914350832407</v>
      </c>
      <c r="X381" s="8">
        <f t="shared" si="81"/>
        <v>417.46666666666664</v>
      </c>
      <c r="Y381" s="7">
        <f t="shared" si="82"/>
        <v>4.1746666666666661</v>
      </c>
      <c r="Z381" s="2">
        <f t="shared" si="83"/>
        <v>3757.2</v>
      </c>
      <c r="AA381" s="2">
        <f t="shared" si="84"/>
        <v>584.45333333333326</v>
      </c>
      <c r="AB381" s="2">
        <f t="shared" si="85"/>
        <v>8140.6</v>
      </c>
      <c r="AC381" s="6">
        <f t="shared" si="86"/>
        <v>732.654</v>
      </c>
      <c r="AD381" s="6">
        <f t="shared" si="87"/>
        <v>195.37440000000001</v>
      </c>
      <c r="AE381" s="6">
        <f t="shared" si="88"/>
        <v>1512.4817333333333</v>
      </c>
      <c r="AF381" s="5">
        <f t="shared" si="89"/>
        <v>15.124817333333333</v>
      </c>
      <c r="AG381" s="207"/>
    </row>
    <row r="382" spans="1:33" x14ac:dyDescent="0.2">
      <c r="A382" s="229">
        <v>219</v>
      </c>
      <c r="B382" s="1" t="str">
        <f t="shared" si="75"/>
        <v>3.78, Subsoiler low-till 6 shank</v>
      </c>
      <c r="C382" s="155">
        <v>3.78</v>
      </c>
      <c r="D382" s="151" t="s">
        <v>436</v>
      </c>
      <c r="E382" s="151" t="s">
        <v>318</v>
      </c>
      <c r="F382" s="151" t="s">
        <v>2</v>
      </c>
      <c r="G382" s="151" t="str">
        <f t="shared" si="76"/>
        <v>Subsoiler low-till 6 shank</v>
      </c>
      <c r="H382" s="30">
        <v>14948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160.6744616067094</v>
      </c>
      <c r="W382" s="9">
        <f t="shared" si="80"/>
        <v>1.606744616067094</v>
      </c>
      <c r="X382" s="8">
        <f t="shared" si="81"/>
        <v>498.26666666666665</v>
      </c>
      <c r="Y382" s="7">
        <f t="shared" si="82"/>
        <v>4.9826666666666668</v>
      </c>
      <c r="Z382" s="2">
        <f t="shared" si="83"/>
        <v>4484.3999999999996</v>
      </c>
      <c r="AA382" s="2">
        <f t="shared" si="84"/>
        <v>697.57333333333338</v>
      </c>
      <c r="AB382" s="2">
        <f t="shared" si="85"/>
        <v>9716.2000000000007</v>
      </c>
      <c r="AC382" s="6">
        <f t="shared" si="86"/>
        <v>874.45800000000008</v>
      </c>
      <c r="AD382" s="6">
        <f t="shared" si="87"/>
        <v>233.18880000000001</v>
      </c>
      <c r="AE382" s="6">
        <f t="shared" si="88"/>
        <v>1805.2201333333333</v>
      </c>
      <c r="AF382" s="5">
        <f t="shared" si="89"/>
        <v>18.052201333333333</v>
      </c>
      <c r="AG382" s="207"/>
    </row>
    <row r="383" spans="1:33" x14ac:dyDescent="0.2">
      <c r="A383" s="229">
        <v>311</v>
      </c>
      <c r="B383" s="1" t="str">
        <f t="shared" si="75"/>
        <v>3.79, Subsoiler low-till 8 shank</v>
      </c>
      <c r="C383" s="155">
        <v>3.79</v>
      </c>
      <c r="D383" s="151" t="s">
        <v>436</v>
      </c>
      <c r="E383" s="151" t="s">
        <v>318</v>
      </c>
      <c r="F383" s="151" t="s">
        <v>1</v>
      </c>
      <c r="G383" s="151" t="str">
        <f t="shared" si="76"/>
        <v>Subsoiler low-till 8 shank</v>
      </c>
      <c r="H383" s="30">
        <v>22422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241.01169241006409</v>
      </c>
      <c r="W383" s="9">
        <f t="shared" si="80"/>
        <v>2.4101169241006408</v>
      </c>
      <c r="X383" s="8">
        <f t="shared" si="81"/>
        <v>747.4</v>
      </c>
      <c r="Y383" s="7">
        <f t="shared" si="82"/>
        <v>7.4740000000000002</v>
      </c>
      <c r="Z383" s="2">
        <f t="shared" si="83"/>
        <v>6726.6</v>
      </c>
      <c r="AA383" s="2">
        <f t="shared" si="84"/>
        <v>1046.3599999999999</v>
      </c>
      <c r="AB383" s="2">
        <f t="shared" si="85"/>
        <v>14574.3</v>
      </c>
      <c r="AC383" s="6">
        <f t="shared" si="86"/>
        <v>1311.6869999999999</v>
      </c>
      <c r="AD383" s="6">
        <f t="shared" si="87"/>
        <v>349.78319999999997</v>
      </c>
      <c r="AE383" s="6">
        <f t="shared" si="88"/>
        <v>2707.8301999999994</v>
      </c>
      <c r="AF383" s="5">
        <f t="shared" si="89"/>
        <v>27.078301999999994</v>
      </c>
      <c r="AG383" s="207"/>
    </row>
    <row r="384" spans="1:33" x14ac:dyDescent="0.2">
      <c r="D384" s="151"/>
    </row>
    <row r="385" spans="1:32" x14ac:dyDescent="0.2">
      <c r="D385" s="151"/>
    </row>
    <row r="386" spans="1:32" x14ac:dyDescent="0.2">
      <c r="A386" s="229">
        <v>268</v>
      </c>
      <c r="B386" s="1" t="str">
        <f t="shared" ref="B386:B417" si="90">CONCATENATE(C386,D386,E386,F386)</f>
        <v>0.01, Boll Buggy 4R-30 (250)</v>
      </c>
      <c r="C386" s="155">
        <v>0.01</v>
      </c>
      <c r="D386" s="151" t="s">
        <v>436</v>
      </c>
      <c r="E386" s="151" t="s">
        <v>319</v>
      </c>
      <c r="F386" s="151" t="s">
        <v>225</v>
      </c>
      <c r="G386" s="151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</row>
    <row r="387" spans="1:32" x14ac:dyDescent="0.2">
      <c r="A387" s="229">
        <v>465</v>
      </c>
      <c r="B387" s="1" t="str">
        <f t="shared" si="90"/>
        <v>0.02, Boll Buggy 4R-30 (325)</v>
      </c>
      <c r="C387" s="155">
        <v>0.02</v>
      </c>
      <c r="D387" s="151" t="s">
        <v>436</v>
      </c>
      <c r="E387" s="151" t="s">
        <v>319</v>
      </c>
      <c r="F387" s="151" t="s">
        <v>335</v>
      </c>
      <c r="G387" s="151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</row>
    <row r="388" spans="1:32" x14ac:dyDescent="0.2">
      <c r="A388" s="229">
        <v>229</v>
      </c>
      <c r="B388" s="1" t="str">
        <f t="shared" si="90"/>
        <v>0.03, Boll Buggy 4R-36 (255)</v>
      </c>
      <c r="C388" s="155">
        <v>0.03</v>
      </c>
      <c r="D388" s="151" t="s">
        <v>436</v>
      </c>
      <c r="E388" s="151" t="s">
        <v>319</v>
      </c>
      <c r="F388" s="151" t="s">
        <v>226</v>
      </c>
      <c r="G388" s="151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</row>
    <row r="389" spans="1:32" x14ac:dyDescent="0.2">
      <c r="A389" s="229">
        <v>269</v>
      </c>
      <c r="B389" s="1" t="str">
        <f t="shared" si="90"/>
        <v>0.04, Boll Buggy 4R-36 (325)</v>
      </c>
      <c r="C389" s="155">
        <v>0.04</v>
      </c>
      <c r="D389" s="151" t="s">
        <v>436</v>
      </c>
      <c r="E389" s="151" t="s">
        <v>319</v>
      </c>
      <c r="F389" s="151" t="s">
        <v>337</v>
      </c>
      <c r="G389" s="151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</row>
    <row r="390" spans="1:32" x14ac:dyDescent="0.2">
      <c r="A390" s="229">
        <v>270</v>
      </c>
      <c r="B390" s="1" t="str">
        <f t="shared" si="90"/>
        <v>0.05, Boll Buggy 5R-30 (255)</v>
      </c>
      <c r="C390" s="155">
        <v>0.05</v>
      </c>
      <c r="D390" s="151" t="s">
        <v>436</v>
      </c>
      <c r="E390" s="151" t="s">
        <v>319</v>
      </c>
      <c r="F390" s="151" t="s">
        <v>336</v>
      </c>
      <c r="G390" s="151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</row>
    <row r="391" spans="1:32" x14ac:dyDescent="0.2">
      <c r="A391" s="229">
        <v>466</v>
      </c>
      <c r="B391" s="1" t="str">
        <f t="shared" si="90"/>
        <v>0.06, Boll Buggy 6R-30 (325)</v>
      </c>
      <c r="C391" s="155">
        <v>0.06</v>
      </c>
      <c r="D391" s="151" t="s">
        <v>436</v>
      </c>
      <c r="E391" s="151" t="s">
        <v>319</v>
      </c>
      <c r="F391" s="151" t="s">
        <v>338</v>
      </c>
      <c r="G391" s="151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</row>
    <row r="392" spans="1:32" x14ac:dyDescent="0.2">
      <c r="A392" s="229">
        <v>271</v>
      </c>
      <c r="B392" s="1" t="str">
        <f t="shared" si="90"/>
        <v>0.07, Boll Buggy 5R-36 (250)</v>
      </c>
      <c r="C392" s="155">
        <v>7.0000000000000007E-2</v>
      </c>
      <c r="D392" s="151" t="s">
        <v>436</v>
      </c>
      <c r="E392" s="151" t="s">
        <v>319</v>
      </c>
      <c r="F392" s="151" t="s">
        <v>229</v>
      </c>
      <c r="G392" s="151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</row>
    <row r="393" spans="1:32" x14ac:dyDescent="0.2">
      <c r="A393" s="229">
        <v>226</v>
      </c>
      <c r="B393" s="1" t="str">
        <f t="shared" si="90"/>
        <v>0.08, Boll Buggy 4R2x1 (350)</v>
      </c>
      <c r="C393" s="155">
        <v>0.08</v>
      </c>
      <c r="D393" s="151" t="s">
        <v>436</v>
      </c>
      <c r="E393" s="151" t="s">
        <v>319</v>
      </c>
      <c r="F393" s="151" t="s">
        <v>230</v>
      </c>
      <c r="G393" s="151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</row>
    <row r="394" spans="1:32" x14ac:dyDescent="0.2">
      <c r="A394" s="229">
        <v>225</v>
      </c>
      <c r="B394" s="1" t="str">
        <f t="shared" si="90"/>
        <v>0.09, Boll Buggy 6R-36 (330)</v>
      </c>
      <c r="C394" s="155">
        <v>0.09</v>
      </c>
      <c r="D394" s="151" t="s">
        <v>436</v>
      </c>
      <c r="E394" s="151" t="s">
        <v>319</v>
      </c>
      <c r="F394" s="151" t="s">
        <v>339</v>
      </c>
      <c r="G394" s="151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</row>
    <row r="395" spans="1:32" x14ac:dyDescent="0.2">
      <c r="A395" s="229">
        <v>489</v>
      </c>
      <c r="B395" s="1" t="str">
        <f t="shared" si="90"/>
        <v>0.1, Boll Buggy-Stripper 4R-36</v>
      </c>
      <c r="C395" s="155">
        <v>0.1</v>
      </c>
      <c r="D395" s="151" t="s">
        <v>436</v>
      </c>
      <c r="E395" s="151" t="s">
        <v>320</v>
      </c>
      <c r="F395" s="151" t="s">
        <v>73</v>
      </c>
      <c r="G395" s="151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29">
        <v>491</v>
      </c>
      <c r="B396" s="1" t="str">
        <f t="shared" si="90"/>
        <v>0.11, Boll Buggy-Stripper 4R-36</v>
      </c>
      <c r="C396" s="155">
        <v>0.11</v>
      </c>
      <c r="D396" s="151" t="s">
        <v>436</v>
      </c>
      <c r="E396" s="151" t="s">
        <v>320</v>
      </c>
      <c r="F396" s="151" t="s">
        <v>73</v>
      </c>
      <c r="G396" s="151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</row>
    <row r="397" spans="1:32" x14ac:dyDescent="0.2">
      <c r="A397" s="229">
        <v>493</v>
      </c>
      <c r="B397" s="1" t="str">
        <f t="shared" si="90"/>
        <v>0.12, Boll Buggy-Stripper 5R-30</v>
      </c>
      <c r="C397" s="155">
        <v>0.12</v>
      </c>
      <c r="D397" s="151" t="s">
        <v>436</v>
      </c>
      <c r="E397" s="151" t="s">
        <v>320</v>
      </c>
      <c r="F397" s="151" t="s">
        <v>72</v>
      </c>
      <c r="G397" s="151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</row>
    <row r="398" spans="1:32" x14ac:dyDescent="0.2">
      <c r="A398" s="229">
        <v>228</v>
      </c>
      <c r="B398" s="1" t="str">
        <f t="shared" si="90"/>
        <v>0.13, Boll Buggy-Stripper 13' Bcast</v>
      </c>
      <c r="C398" s="155">
        <v>0.13</v>
      </c>
      <c r="D398" s="151" t="s">
        <v>436</v>
      </c>
      <c r="E398" s="151" t="s">
        <v>320</v>
      </c>
      <c r="F398" s="151" t="s">
        <v>71</v>
      </c>
      <c r="G398" s="151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29">
        <v>490</v>
      </c>
      <c r="B399" s="1" t="str">
        <f t="shared" si="90"/>
        <v>0.14, Boll Buggy-Stripper 4R-30 2x1</v>
      </c>
      <c r="C399" s="155">
        <v>0.14000000000000001</v>
      </c>
      <c r="D399" s="151" t="s">
        <v>436</v>
      </c>
      <c r="E399" s="151" t="s">
        <v>320</v>
      </c>
      <c r="F399" s="151" t="s">
        <v>70</v>
      </c>
      <c r="G399" s="151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</row>
    <row r="400" spans="1:32" x14ac:dyDescent="0.2">
      <c r="A400" s="229">
        <v>495</v>
      </c>
      <c r="B400" s="1" t="str">
        <f t="shared" si="90"/>
        <v>0.15, Boll Buggy-Stripper 6R-30</v>
      </c>
      <c r="C400" s="155">
        <v>0.15</v>
      </c>
      <c r="D400" s="151" t="s">
        <v>436</v>
      </c>
      <c r="E400" s="151" t="s">
        <v>320</v>
      </c>
      <c r="F400" s="151" t="s">
        <v>47</v>
      </c>
      <c r="G400" s="151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</row>
    <row r="401" spans="1:32" x14ac:dyDescent="0.2">
      <c r="A401" s="229">
        <v>494</v>
      </c>
      <c r="B401" s="1" t="str">
        <f t="shared" si="90"/>
        <v>0.16, Boll Buggy-Stripper 5R-36</v>
      </c>
      <c r="C401" s="155">
        <v>0.16</v>
      </c>
      <c r="D401" s="151" t="s">
        <v>436</v>
      </c>
      <c r="E401" s="151" t="s">
        <v>320</v>
      </c>
      <c r="F401" s="151" t="s">
        <v>207</v>
      </c>
      <c r="G401" s="151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</row>
    <row r="402" spans="1:32" x14ac:dyDescent="0.2">
      <c r="A402" s="229">
        <v>487</v>
      </c>
      <c r="B402" s="1" t="str">
        <f t="shared" si="90"/>
        <v>0.17, Boll Buggy-Stripper 16' Bcast</v>
      </c>
      <c r="C402" s="155">
        <v>0.17</v>
      </c>
      <c r="D402" s="151" t="s">
        <v>436</v>
      </c>
      <c r="E402" s="151" t="s">
        <v>320</v>
      </c>
      <c r="F402" s="151" t="s">
        <v>69</v>
      </c>
      <c r="G402" s="151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</row>
    <row r="403" spans="1:32" x14ac:dyDescent="0.2">
      <c r="A403" s="229">
        <v>492</v>
      </c>
      <c r="B403" s="1" t="str">
        <f t="shared" si="90"/>
        <v>0.18, Boll Buggy-Stripper 4R-36 2x1</v>
      </c>
      <c r="C403" s="155">
        <v>0.18</v>
      </c>
      <c r="D403" s="151" t="s">
        <v>436</v>
      </c>
      <c r="E403" s="151" t="s">
        <v>320</v>
      </c>
      <c r="F403" s="151" t="s">
        <v>208</v>
      </c>
      <c r="G403" s="151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</row>
    <row r="404" spans="1:32" x14ac:dyDescent="0.2">
      <c r="A404" s="229">
        <v>677</v>
      </c>
      <c r="B404" s="1" t="str">
        <f t="shared" si="90"/>
        <v>0.19, Boll Buggy-Stripper 6R-36</v>
      </c>
      <c r="C404" s="155">
        <v>0.19</v>
      </c>
      <c r="D404" s="151" t="s">
        <v>436</v>
      </c>
      <c r="E404" s="151" t="s">
        <v>320</v>
      </c>
      <c r="F404" s="151" t="s">
        <v>206</v>
      </c>
      <c r="G404" s="151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</row>
    <row r="405" spans="1:32" x14ac:dyDescent="0.2">
      <c r="A405" s="229">
        <v>488</v>
      </c>
      <c r="B405" s="1" t="str">
        <f t="shared" si="90"/>
        <v>0.2, Boll Buggy-Stripper 19' Bcast</v>
      </c>
      <c r="C405" s="155">
        <v>0.2</v>
      </c>
      <c r="D405" s="151" t="s">
        <v>436</v>
      </c>
      <c r="E405" s="151" t="s">
        <v>320</v>
      </c>
      <c r="F405" s="151" t="s">
        <v>68</v>
      </c>
      <c r="G405" s="151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</row>
    <row r="406" spans="1:32" x14ac:dyDescent="0.2">
      <c r="A406" s="229">
        <v>679</v>
      </c>
      <c r="B406" s="1" t="str">
        <f t="shared" si="90"/>
        <v>0.21, Boll Buggy-Stripper 8R-30</v>
      </c>
      <c r="C406" s="155">
        <v>0.21</v>
      </c>
      <c r="D406" s="151" t="s">
        <v>436</v>
      </c>
      <c r="E406" s="151" t="s">
        <v>320</v>
      </c>
      <c r="F406" s="151" t="s">
        <v>96</v>
      </c>
      <c r="G406" s="151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</row>
    <row r="407" spans="1:32" x14ac:dyDescent="0.2">
      <c r="A407" s="229">
        <v>680</v>
      </c>
      <c r="B407" s="1" t="str">
        <f t="shared" si="90"/>
        <v>0.22, Boll Buggy-Stripper 8R-36</v>
      </c>
      <c r="C407" s="155">
        <v>0.22</v>
      </c>
      <c r="D407" s="151" t="s">
        <v>436</v>
      </c>
      <c r="E407" s="151" t="s">
        <v>320</v>
      </c>
      <c r="F407" s="151" t="s">
        <v>205</v>
      </c>
      <c r="G407" s="151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</row>
    <row r="408" spans="1:32" x14ac:dyDescent="0.2">
      <c r="A408" s="229">
        <v>207</v>
      </c>
      <c r="B408" s="1" t="str">
        <f t="shared" si="90"/>
        <v>0.23, Grain Cart Corn  500 bu</v>
      </c>
      <c r="C408" s="155">
        <v>0.23</v>
      </c>
      <c r="D408" s="151" t="s">
        <v>436</v>
      </c>
      <c r="E408" s="151" t="s">
        <v>321</v>
      </c>
      <c r="F408" s="151" t="s">
        <v>90</v>
      </c>
      <c r="G408" s="151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29">
        <v>206</v>
      </c>
      <c r="B409" s="1" t="str">
        <f t="shared" si="90"/>
        <v>0.24, Grain Cart Corn  700 bu</v>
      </c>
      <c r="C409" s="155">
        <v>0.24</v>
      </c>
      <c r="D409" s="151" t="s">
        <v>436</v>
      </c>
      <c r="E409" s="151" t="s">
        <v>321</v>
      </c>
      <c r="F409" s="151" t="s">
        <v>89</v>
      </c>
      <c r="G409" s="151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29">
        <v>712</v>
      </c>
      <c r="B410" s="1" t="str">
        <f t="shared" si="90"/>
        <v>0.25, Grain Cart Corn 1000 bu</v>
      </c>
      <c r="C410" s="155">
        <v>0.25</v>
      </c>
      <c r="D410" s="151" t="s">
        <v>436</v>
      </c>
      <c r="E410" s="151" t="s">
        <v>321</v>
      </c>
      <c r="F410" s="151" t="s">
        <v>88</v>
      </c>
      <c r="G410" s="151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29">
        <v>687</v>
      </c>
      <c r="B411" s="1" t="str">
        <f t="shared" si="90"/>
        <v>0.26, Grain Cart Soybean  500 bu</v>
      </c>
      <c r="C411" s="155">
        <v>0.26</v>
      </c>
      <c r="D411" s="151" t="s">
        <v>436</v>
      </c>
      <c r="E411" s="151" t="s">
        <v>322</v>
      </c>
      <c r="F411" s="151" t="s">
        <v>90</v>
      </c>
      <c r="G411" s="151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29">
        <v>688</v>
      </c>
      <c r="B412" s="1" t="str">
        <f t="shared" si="90"/>
        <v>0.27, Grain Cart Soybean  700 bu</v>
      </c>
      <c r="C412" s="155">
        <v>0.27</v>
      </c>
      <c r="D412" s="151" t="s">
        <v>436</v>
      </c>
      <c r="E412" s="151" t="s">
        <v>322</v>
      </c>
      <c r="F412" s="151" t="s">
        <v>89</v>
      </c>
      <c r="G412" s="151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29">
        <v>714</v>
      </c>
      <c r="B413" s="1" t="str">
        <f t="shared" si="90"/>
        <v>0.28, Grain Cart Soybean 1000 bu</v>
      </c>
      <c r="C413" s="155">
        <v>0.28000000000000003</v>
      </c>
      <c r="D413" s="151" t="s">
        <v>436</v>
      </c>
      <c r="E413" s="151" t="s">
        <v>322</v>
      </c>
      <c r="F413" s="151" t="s">
        <v>88</v>
      </c>
      <c r="G413" s="151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29">
        <v>689</v>
      </c>
      <c r="B414" s="1" t="str">
        <f t="shared" si="90"/>
        <v>0.29, Grain Cart Wht/Sor  500 bu</v>
      </c>
      <c r="C414" s="155">
        <v>0.28999999999999998</v>
      </c>
      <c r="D414" s="151" t="s">
        <v>436</v>
      </c>
      <c r="E414" s="151" t="s">
        <v>323</v>
      </c>
      <c r="F414" s="151" t="s">
        <v>90</v>
      </c>
      <c r="G414" s="151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29">
        <v>690</v>
      </c>
      <c r="B415" s="1" t="str">
        <f t="shared" si="90"/>
        <v>0.3, Grain Cart Wht/Sor  700 bu</v>
      </c>
      <c r="C415" s="155">
        <v>0.3</v>
      </c>
      <c r="D415" s="151" t="s">
        <v>436</v>
      </c>
      <c r="E415" s="151" t="s">
        <v>323</v>
      </c>
      <c r="F415" s="151" t="s">
        <v>89</v>
      </c>
      <c r="G415" s="151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29">
        <v>715</v>
      </c>
      <c r="B416" s="1" t="str">
        <f t="shared" si="90"/>
        <v>0.31, Grain Cart Wht/Sor 1000 bu</v>
      </c>
      <c r="C416" s="155">
        <v>0.31</v>
      </c>
      <c r="D416" s="151" t="s">
        <v>436</v>
      </c>
      <c r="E416" s="151" t="s">
        <v>323</v>
      </c>
      <c r="F416" s="151" t="s">
        <v>88</v>
      </c>
      <c r="G416" s="151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29">
        <v>428</v>
      </c>
      <c r="B417" s="1" t="str">
        <f t="shared" si="90"/>
        <v>0.32, Header - Corn  6R-30</v>
      </c>
      <c r="C417" s="155">
        <v>0.32</v>
      </c>
      <c r="D417" s="151" t="s">
        <v>436</v>
      </c>
      <c r="E417" s="151" t="s">
        <v>324</v>
      </c>
      <c r="F417" s="151" t="s">
        <v>53</v>
      </c>
      <c r="G417" s="151" t="str">
        <f t="shared" si="91"/>
        <v>Header - Corn  6R-30</v>
      </c>
      <c r="H417" s="30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29">
        <v>432</v>
      </c>
      <c r="B418" s="1" t="str">
        <f t="shared" ref="B418:B449" si="106">CONCATENATE(C418,D418,E418,F418)</f>
        <v>0.33, Header - Corn  6R-36</v>
      </c>
      <c r="C418" s="155">
        <v>0.33</v>
      </c>
      <c r="D418" s="151" t="s">
        <v>436</v>
      </c>
      <c r="E418" s="151" t="s">
        <v>324</v>
      </c>
      <c r="F418" s="151" t="s">
        <v>202</v>
      </c>
      <c r="G418" s="151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29">
        <v>433</v>
      </c>
      <c r="B419" s="1" t="str">
        <f t="shared" si="106"/>
        <v>0.34, Header - Corn  8R-30</v>
      </c>
      <c r="C419" s="155">
        <v>0.34</v>
      </c>
      <c r="D419" s="151" t="s">
        <v>436</v>
      </c>
      <c r="E419" s="151" t="s">
        <v>324</v>
      </c>
      <c r="F419" s="151" t="s">
        <v>25</v>
      </c>
      <c r="G419" s="151" t="str">
        <f t="shared" si="107"/>
        <v>Header - Corn  8R-30</v>
      </c>
      <c r="H419" s="30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29">
        <v>438</v>
      </c>
      <c r="B420" s="1" t="str">
        <f t="shared" si="106"/>
        <v>0.35, Header - Corn 12R-20</v>
      </c>
      <c r="C420" s="155">
        <v>0.35</v>
      </c>
      <c r="D420" s="151" t="s">
        <v>436</v>
      </c>
      <c r="E420" s="151" t="s">
        <v>324</v>
      </c>
      <c r="F420" s="151" t="s">
        <v>50</v>
      </c>
      <c r="G420" s="151" t="str">
        <f t="shared" si="107"/>
        <v>Header - Corn 12R-20</v>
      </c>
      <c r="H420" s="30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29">
        <v>437</v>
      </c>
      <c r="B421" s="1" t="str">
        <f t="shared" si="106"/>
        <v>0.36, Header - Corn  8R-36</v>
      </c>
      <c r="C421" s="155">
        <v>0.36</v>
      </c>
      <c r="D421" s="151" t="s">
        <v>436</v>
      </c>
      <c r="E421" s="151" t="s">
        <v>324</v>
      </c>
      <c r="F421" s="151" t="s">
        <v>199</v>
      </c>
      <c r="G421" s="151" t="str">
        <f t="shared" si="107"/>
        <v>Header - Corn  8R-36</v>
      </c>
      <c r="H421" s="30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29">
        <v>439</v>
      </c>
      <c r="B422" s="1" t="str">
        <f t="shared" si="106"/>
        <v>0.37, Header - Corn 12R-30</v>
      </c>
      <c r="C422" s="155">
        <v>0.37</v>
      </c>
      <c r="D422" s="151" t="s">
        <v>436</v>
      </c>
      <c r="E422" s="151" t="s">
        <v>324</v>
      </c>
      <c r="F422" s="151" t="s">
        <v>6</v>
      </c>
      <c r="G422" s="151" t="str">
        <f t="shared" si="107"/>
        <v>Header - Corn 12R-30</v>
      </c>
      <c r="H422" s="30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29">
        <v>426</v>
      </c>
      <c r="B423" s="1" t="str">
        <f t="shared" si="106"/>
        <v>0.38, Header -Soybean 22' Flex</v>
      </c>
      <c r="C423" s="155">
        <v>0.38</v>
      </c>
      <c r="D423" s="151" t="s">
        <v>436</v>
      </c>
      <c r="E423" s="151" t="s">
        <v>325</v>
      </c>
      <c r="F423" s="151" t="s">
        <v>83</v>
      </c>
      <c r="G423" s="151" t="str">
        <f t="shared" si="107"/>
        <v>Header -Soybean 22' Flex</v>
      </c>
      <c r="H423" s="235">
        <v>31800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29">
        <v>431</v>
      </c>
      <c r="B424" s="1" t="str">
        <f t="shared" si="106"/>
        <v>0.39, Header -Soybean 25' Flex</v>
      </c>
      <c r="C424" s="155">
        <v>0.39</v>
      </c>
      <c r="D424" s="151" t="s">
        <v>436</v>
      </c>
      <c r="E424" s="151" t="s">
        <v>325</v>
      </c>
      <c r="F424" s="151" t="s">
        <v>82</v>
      </c>
      <c r="G424" s="151" t="str">
        <f t="shared" si="107"/>
        <v>Header -Soybean 25' Flex</v>
      </c>
      <c r="H424" s="235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29">
        <v>436</v>
      </c>
      <c r="B425" s="1" t="str">
        <f t="shared" si="106"/>
        <v>0.4, Header -Soybean 30' Flex</v>
      </c>
      <c r="C425" s="155">
        <v>0.4</v>
      </c>
      <c r="D425" s="151" t="s">
        <v>436</v>
      </c>
      <c r="E425" s="151" t="s">
        <v>325</v>
      </c>
      <c r="F425" s="151" t="s">
        <v>81</v>
      </c>
      <c r="G425" s="151" t="str">
        <f t="shared" si="107"/>
        <v>Header -Soybean 30' Flex</v>
      </c>
      <c r="H425" s="235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29">
        <v>592</v>
      </c>
      <c r="B426" s="1" t="str">
        <f t="shared" si="106"/>
        <v>0.41, Header -Soybean 35' Flex</v>
      </c>
      <c r="C426" s="155">
        <v>0.41</v>
      </c>
      <c r="D426" s="151" t="s">
        <v>436</v>
      </c>
      <c r="E426" s="151" t="s">
        <v>325</v>
      </c>
      <c r="F426" s="151" t="s">
        <v>80</v>
      </c>
      <c r="G426" s="151" t="str">
        <f t="shared" si="107"/>
        <v>Header -Soybean 35' Flex</v>
      </c>
      <c r="H426" s="235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29">
        <v>424</v>
      </c>
      <c r="B427" s="1" t="str">
        <f t="shared" si="106"/>
        <v>0.42, Header Wheat/Sorghum 22' Rigid</v>
      </c>
      <c r="C427" s="155">
        <v>0.42</v>
      </c>
      <c r="D427" s="151" t="s">
        <v>436</v>
      </c>
      <c r="E427" s="151" t="s">
        <v>326</v>
      </c>
      <c r="F427" s="151" t="s">
        <v>79</v>
      </c>
      <c r="G427" s="151" t="str">
        <f t="shared" si="107"/>
        <v>Header Wheat/Sorghum 22' Rigid</v>
      </c>
      <c r="H427" s="235">
        <v>19600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29">
        <v>429</v>
      </c>
      <c r="B428" s="1" t="str">
        <f t="shared" si="106"/>
        <v>0.43, Header Wheat/Sorghum 25' Rigid</v>
      </c>
      <c r="C428" s="155">
        <v>0.43</v>
      </c>
      <c r="D428" s="151" t="s">
        <v>436</v>
      </c>
      <c r="E428" s="151" t="s">
        <v>326</v>
      </c>
      <c r="F428" s="151" t="s">
        <v>78</v>
      </c>
      <c r="G428" s="151" t="str">
        <f t="shared" si="107"/>
        <v>Header Wheat/Sorghum 25' Rigid</v>
      </c>
      <c r="H428" s="235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29">
        <v>434</v>
      </c>
      <c r="B429" s="1" t="str">
        <f t="shared" si="106"/>
        <v>0.44, Header Wheat/Sorghum 30' Rigid</v>
      </c>
      <c r="C429" s="155">
        <v>0.44</v>
      </c>
      <c r="D429" s="151" t="s">
        <v>436</v>
      </c>
      <c r="E429" s="151" t="s">
        <v>326</v>
      </c>
      <c r="F429" s="151" t="s">
        <v>77</v>
      </c>
      <c r="G429" s="151" t="str">
        <f t="shared" si="107"/>
        <v>Header Wheat/Sorghum 30' Rigid</v>
      </c>
      <c r="H429" s="235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29">
        <v>276</v>
      </c>
      <c r="B430" s="1" t="str">
        <f t="shared" si="106"/>
        <v>0.45, Module Builder 4R-30 (250)</v>
      </c>
      <c r="C430" s="155">
        <v>0.45</v>
      </c>
      <c r="D430" s="151" t="s">
        <v>436</v>
      </c>
      <c r="E430" s="151" t="s">
        <v>327</v>
      </c>
      <c r="F430" s="151" t="s">
        <v>225</v>
      </c>
      <c r="G430" s="151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29">
        <v>469</v>
      </c>
      <c r="B431" s="1" t="str">
        <f t="shared" si="106"/>
        <v>0.46, Module Builder 4R-30 (325)</v>
      </c>
      <c r="C431" s="155">
        <v>0.46</v>
      </c>
      <c r="D431" s="151" t="s">
        <v>436</v>
      </c>
      <c r="E431" s="151" t="s">
        <v>327</v>
      </c>
      <c r="F431" s="151" t="s">
        <v>335</v>
      </c>
      <c r="G431" s="151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29">
        <v>124</v>
      </c>
      <c r="B432" s="1" t="str">
        <f t="shared" si="106"/>
        <v>0.47, Module Builder 4R-36 (255)</v>
      </c>
      <c r="C432" s="155">
        <v>0.47</v>
      </c>
      <c r="D432" s="151" t="s">
        <v>436</v>
      </c>
      <c r="E432" s="151" t="s">
        <v>327</v>
      </c>
      <c r="F432" s="151" t="s">
        <v>226</v>
      </c>
      <c r="G432" s="151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29">
        <v>277</v>
      </c>
      <c r="B433" s="1" t="str">
        <f t="shared" si="106"/>
        <v>0.48, Module Builder 4R-36 (325)</v>
      </c>
      <c r="C433" s="155">
        <v>0.48</v>
      </c>
      <c r="D433" s="151" t="s">
        <v>436</v>
      </c>
      <c r="E433" s="151" t="s">
        <v>327</v>
      </c>
      <c r="F433" s="151" t="s">
        <v>337</v>
      </c>
      <c r="G433" s="151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29">
        <v>278</v>
      </c>
      <c r="B434" s="1" t="str">
        <f t="shared" si="106"/>
        <v>0.49, Module Builder 5R-30 (255)</v>
      </c>
      <c r="C434" s="155">
        <v>0.49</v>
      </c>
      <c r="D434" s="151" t="s">
        <v>436</v>
      </c>
      <c r="E434" s="151" t="s">
        <v>327</v>
      </c>
      <c r="F434" s="151" t="s">
        <v>336</v>
      </c>
      <c r="G434" s="151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29">
        <v>470</v>
      </c>
      <c r="B435" s="1" t="str">
        <f t="shared" si="106"/>
        <v>0.5, Module Builder 6R-30 (325)</v>
      </c>
      <c r="C435" s="155">
        <v>0.5</v>
      </c>
      <c r="D435" s="151" t="s">
        <v>436</v>
      </c>
      <c r="E435" s="151" t="s">
        <v>327</v>
      </c>
      <c r="F435" s="151" t="s">
        <v>338</v>
      </c>
      <c r="G435" s="151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29">
        <v>279</v>
      </c>
      <c r="B436" s="1" t="str">
        <f t="shared" si="106"/>
        <v>0.51, Module Builder 5R-36 (250)</v>
      </c>
      <c r="C436" s="155">
        <v>0.51</v>
      </c>
      <c r="D436" s="151" t="s">
        <v>436</v>
      </c>
      <c r="E436" s="151" t="s">
        <v>327</v>
      </c>
      <c r="F436" s="151" t="s">
        <v>229</v>
      </c>
      <c r="G436" s="151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29">
        <v>251</v>
      </c>
      <c r="B437" s="1" t="str">
        <f t="shared" si="106"/>
        <v>0.52, Module Builder 4R2x1 (350)</v>
      </c>
      <c r="C437" s="155">
        <v>0.52</v>
      </c>
      <c r="D437" s="151" t="s">
        <v>436</v>
      </c>
      <c r="E437" s="151" t="s">
        <v>327</v>
      </c>
      <c r="F437" s="151" t="s">
        <v>230</v>
      </c>
      <c r="G437" s="151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29">
        <v>249</v>
      </c>
      <c r="B438" s="1" t="str">
        <f t="shared" si="106"/>
        <v>0.53, Module Builder 6R-36 (330)</v>
      </c>
      <c r="C438" s="155">
        <v>0.53</v>
      </c>
      <c r="D438" s="151" t="s">
        <v>436</v>
      </c>
      <c r="E438" s="151" t="s">
        <v>327</v>
      </c>
      <c r="F438" s="151" t="s">
        <v>339</v>
      </c>
      <c r="G438" s="151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29">
        <v>498</v>
      </c>
      <c r="B439" s="1" t="str">
        <f t="shared" si="106"/>
        <v>0.54, Module Builder-Strip 4R-36</v>
      </c>
      <c r="C439" s="155">
        <v>0.54</v>
      </c>
      <c r="D439" s="151" t="s">
        <v>436</v>
      </c>
      <c r="E439" s="151" t="s">
        <v>328</v>
      </c>
      <c r="F439" s="151" t="s">
        <v>73</v>
      </c>
      <c r="G439" s="151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29">
        <v>500</v>
      </c>
      <c r="B440" s="1" t="str">
        <f t="shared" si="106"/>
        <v>0.55, Module Builder-Strip 4R-36</v>
      </c>
      <c r="C440" s="155">
        <v>0.55000000000000004</v>
      </c>
      <c r="D440" s="151" t="s">
        <v>436</v>
      </c>
      <c r="E440" s="151" t="s">
        <v>328</v>
      </c>
      <c r="F440" s="151" t="s">
        <v>73</v>
      </c>
      <c r="G440" s="151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29">
        <v>502</v>
      </c>
      <c r="B441" s="1" t="str">
        <f t="shared" si="106"/>
        <v>0.56, Module Builder-Strip 5R-30</v>
      </c>
      <c r="C441" s="155">
        <v>0.56000000000000005</v>
      </c>
      <c r="D441" s="151" t="s">
        <v>436</v>
      </c>
      <c r="E441" s="151" t="s">
        <v>328</v>
      </c>
      <c r="F441" s="151" t="s">
        <v>72</v>
      </c>
      <c r="G441" s="151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29">
        <v>253</v>
      </c>
      <c r="B442" s="1" t="str">
        <f t="shared" si="106"/>
        <v>0.57, Module Builder-Strip 13' Bcast</v>
      </c>
      <c r="C442" s="155">
        <v>0.56999999999999995</v>
      </c>
      <c r="D442" s="151" t="s">
        <v>436</v>
      </c>
      <c r="E442" s="151" t="s">
        <v>328</v>
      </c>
      <c r="F442" s="151" t="s">
        <v>71</v>
      </c>
      <c r="G442" s="151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29">
        <v>499</v>
      </c>
      <c r="B443" s="1" t="str">
        <f t="shared" si="106"/>
        <v>0.58, Module Builder-Strip 4R-30 2x1</v>
      </c>
      <c r="C443" s="155">
        <v>0.57999999999999996</v>
      </c>
      <c r="D443" s="151" t="s">
        <v>436</v>
      </c>
      <c r="E443" s="151" t="s">
        <v>328</v>
      </c>
      <c r="F443" s="151" t="s">
        <v>70</v>
      </c>
      <c r="G443" s="151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29">
        <v>504</v>
      </c>
      <c r="B444" s="1" t="str">
        <f t="shared" si="106"/>
        <v>0.59, Module Builder-Strip 6R-30</v>
      </c>
      <c r="C444" s="155">
        <v>0.59</v>
      </c>
      <c r="D444" s="151" t="s">
        <v>436</v>
      </c>
      <c r="E444" s="151" t="s">
        <v>328</v>
      </c>
      <c r="F444" s="151" t="s">
        <v>47</v>
      </c>
      <c r="G444" s="151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29">
        <v>503</v>
      </c>
      <c r="B445" s="1" t="str">
        <f t="shared" si="106"/>
        <v>0.6, Module Builder-Strip 5R-36</v>
      </c>
      <c r="C445" s="155">
        <v>0.6</v>
      </c>
      <c r="D445" s="151" t="s">
        <v>436</v>
      </c>
      <c r="E445" s="151" t="s">
        <v>328</v>
      </c>
      <c r="F445" s="151" t="s">
        <v>207</v>
      </c>
      <c r="G445" s="151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29">
        <v>496</v>
      </c>
      <c r="B446" s="1" t="str">
        <f t="shared" si="106"/>
        <v>0.61, Module Builder-Strip 16' Bcast</v>
      </c>
      <c r="C446" s="155">
        <v>0.61</v>
      </c>
      <c r="D446" s="151" t="s">
        <v>436</v>
      </c>
      <c r="E446" s="151" t="s">
        <v>328</v>
      </c>
      <c r="F446" s="151" t="s">
        <v>69</v>
      </c>
      <c r="G446" s="151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29">
        <v>501</v>
      </c>
      <c r="B447" s="1" t="str">
        <f t="shared" si="106"/>
        <v>0.62, Module Builder-Strip 4R-36 2x1</v>
      </c>
      <c r="C447" s="155">
        <v>0.62</v>
      </c>
      <c r="D447" s="151" t="s">
        <v>436</v>
      </c>
      <c r="E447" s="151" t="s">
        <v>328</v>
      </c>
      <c r="F447" s="151" t="s">
        <v>208</v>
      </c>
      <c r="G447" s="151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29">
        <v>682</v>
      </c>
      <c r="B448" s="1" t="str">
        <f t="shared" si="106"/>
        <v>0.63, Module Builder-Strip 6R-36</v>
      </c>
      <c r="C448" s="155">
        <v>0.63</v>
      </c>
      <c r="D448" s="151" t="s">
        <v>436</v>
      </c>
      <c r="E448" s="151" t="s">
        <v>328</v>
      </c>
      <c r="F448" s="151" t="s">
        <v>206</v>
      </c>
      <c r="G448" s="151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29">
        <v>497</v>
      </c>
      <c r="B449" s="1" t="str">
        <f t="shared" si="106"/>
        <v>0.64, Module Builder-Strip 19' Bcast</v>
      </c>
      <c r="C449" s="155">
        <v>0.64</v>
      </c>
      <c r="D449" s="151" t="s">
        <v>436</v>
      </c>
      <c r="E449" s="151" t="s">
        <v>328</v>
      </c>
      <c r="F449" s="151" t="s">
        <v>68</v>
      </c>
      <c r="G449" s="151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29">
        <v>684</v>
      </c>
      <c r="B450" s="1" t="str">
        <f t="shared" ref="B450:B470" si="121">CONCATENATE(C450,D450,E450,F450)</f>
        <v>0.65, Module Builder-Strip 8R-36</v>
      </c>
      <c r="C450" s="155">
        <v>0.65</v>
      </c>
      <c r="D450" s="151" t="s">
        <v>436</v>
      </c>
      <c r="E450" s="151" t="s">
        <v>328</v>
      </c>
      <c r="F450" s="151" t="s">
        <v>205</v>
      </c>
      <c r="G450" s="151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29">
        <v>525</v>
      </c>
      <c r="B451" s="1" t="str">
        <f t="shared" si="121"/>
        <v>0.66, Peanut Cond. &amp; Lifter 6-Row</v>
      </c>
      <c r="C451" s="155">
        <v>0.66</v>
      </c>
      <c r="D451" s="151" t="s">
        <v>436</v>
      </c>
      <c r="E451" s="151" t="s">
        <v>329</v>
      </c>
      <c r="F451" s="151" t="s">
        <v>46</v>
      </c>
      <c r="G451" s="151" t="str">
        <f t="shared" si="122"/>
        <v>Peanut Cond. &amp; Lifter 6-Row</v>
      </c>
      <c r="H451" s="30">
        <v>12600</v>
      </c>
      <c r="I451" s="206">
        <v>18</v>
      </c>
      <c r="J451" s="206">
        <v>3.5</v>
      </c>
      <c r="K451" s="206">
        <v>70</v>
      </c>
      <c r="L451" s="208">
        <f t="shared" si="120"/>
        <v>0.18707482993197277</v>
      </c>
      <c r="M451" s="207">
        <v>30</v>
      </c>
      <c r="N451" s="207">
        <v>80</v>
      </c>
      <c r="O451" s="207">
        <v>12</v>
      </c>
      <c r="P451" s="207">
        <v>100</v>
      </c>
      <c r="Q451" s="207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</row>
    <row r="452" spans="1:32" x14ac:dyDescent="0.2">
      <c r="A452" s="229">
        <v>523</v>
      </c>
      <c r="B452" s="1" t="str">
        <f t="shared" si="121"/>
        <v>0.67, Peanut Conditioner 6-Row</v>
      </c>
      <c r="C452" s="155">
        <v>0.67</v>
      </c>
      <c r="D452" s="151" t="s">
        <v>436</v>
      </c>
      <c r="E452" s="151" t="s">
        <v>330</v>
      </c>
      <c r="F452" s="151" t="s">
        <v>46</v>
      </c>
      <c r="G452" s="151" t="str">
        <f t="shared" si="122"/>
        <v>Peanut Conditioner 6-Row</v>
      </c>
      <c r="H452" s="30">
        <v>14400</v>
      </c>
      <c r="I452" s="206">
        <v>18</v>
      </c>
      <c r="J452" s="206">
        <v>3.5</v>
      </c>
      <c r="K452" s="206">
        <v>70</v>
      </c>
      <c r="L452" s="208">
        <f t="shared" si="120"/>
        <v>0.18707482993197277</v>
      </c>
      <c r="M452" s="207">
        <v>30</v>
      </c>
      <c r="N452" s="207">
        <v>80</v>
      </c>
      <c r="O452" s="207">
        <v>12</v>
      </c>
      <c r="P452" s="207">
        <v>100</v>
      </c>
      <c r="Q452" s="207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</row>
    <row r="453" spans="1:32" x14ac:dyDescent="0.2">
      <c r="A453" s="229">
        <v>570</v>
      </c>
      <c r="B453" s="1" t="str">
        <f t="shared" si="121"/>
        <v>0.68, Peanut Dig/Inverter 4R-30</v>
      </c>
      <c r="C453" s="155">
        <v>0.68</v>
      </c>
      <c r="D453" s="151" t="s">
        <v>436</v>
      </c>
      <c r="E453" s="151" t="s">
        <v>434</v>
      </c>
      <c r="F453" s="151" t="s">
        <v>0</v>
      </c>
      <c r="G453" s="151" t="str">
        <f t="shared" si="122"/>
        <v>Peanut Dig/Inverter 4R-30</v>
      </c>
      <c r="H453" s="30">
        <v>26100</v>
      </c>
      <c r="I453" s="206">
        <v>10</v>
      </c>
      <c r="J453" s="206">
        <v>3.5</v>
      </c>
      <c r="K453" s="206">
        <v>70</v>
      </c>
      <c r="L453" s="208">
        <f t="shared" si="120"/>
        <v>0.33673469387755101</v>
      </c>
      <c r="M453" s="207">
        <v>30</v>
      </c>
      <c r="N453" s="207">
        <v>80</v>
      </c>
      <c r="O453" s="207">
        <v>12</v>
      </c>
      <c r="P453" s="207">
        <v>100</v>
      </c>
      <c r="Q453" s="207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</row>
    <row r="454" spans="1:32" x14ac:dyDescent="0.2">
      <c r="A454" s="229">
        <v>520</v>
      </c>
      <c r="B454" s="1" t="str">
        <f t="shared" si="121"/>
        <v>0.69, Peanut Dig/Inverter 4R-36</v>
      </c>
      <c r="C454" s="155">
        <v>0.69</v>
      </c>
      <c r="D454" s="151" t="s">
        <v>436</v>
      </c>
      <c r="E454" s="151" t="s">
        <v>434</v>
      </c>
      <c r="F454" s="151" t="s">
        <v>73</v>
      </c>
      <c r="G454" s="151" t="str">
        <f t="shared" si="122"/>
        <v>Peanut Dig/Inverter 4R-36</v>
      </c>
      <c r="H454" s="30">
        <v>26100</v>
      </c>
      <c r="I454" s="206">
        <v>12</v>
      </c>
      <c r="J454" s="206">
        <v>3.5</v>
      </c>
      <c r="K454" s="206">
        <v>70</v>
      </c>
      <c r="L454" s="208">
        <f t="shared" si="120"/>
        <v>0.28061224489795922</v>
      </c>
      <c r="M454" s="207">
        <v>30</v>
      </c>
      <c r="N454" s="207">
        <v>80</v>
      </c>
      <c r="O454" s="207">
        <v>12</v>
      </c>
      <c r="P454" s="207">
        <v>100</v>
      </c>
      <c r="Q454" s="207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</row>
    <row r="455" spans="1:32" x14ac:dyDescent="0.2">
      <c r="A455" s="229">
        <v>521</v>
      </c>
      <c r="B455" s="1" t="str">
        <f t="shared" si="121"/>
        <v>0.7, Peanut Dig/Inverter 6R-36</v>
      </c>
      <c r="C455" s="155">
        <v>0.7</v>
      </c>
      <c r="D455" s="151" t="s">
        <v>436</v>
      </c>
      <c r="E455" s="151" t="s">
        <v>434</v>
      </c>
      <c r="F455" s="151" t="s">
        <v>206</v>
      </c>
      <c r="G455" s="151" t="str">
        <f t="shared" si="122"/>
        <v>Peanut Dig/Inverter 6R-36</v>
      </c>
      <c r="H455" s="30">
        <v>38400</v>
      </c>
      <c r="I455" s="206">
        <v>18</v>
      </c>
      <c r="J455" s="206">
        <v>3.5</v>
      </c>
      <c r="K455" s="206">
        <v>70</v>
      </c>
      <c r="L455" s="208">
        <f t="shared" si="120"/>
        <v>0.18707482993197277</v>
      </c>
      <c r="M455" s="207">
        <v>30</v>
      </c>
      <c r="N455" s="207">
        <v>80</v>
      </c>
      <c r="O455" s="207">
        <v>12</v>
      </c>
      <c r="P455" s="207">
        <v>100</v>
      </c>
      <c r="Q455" s="207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</row>
    <row r="456" spans="1:32" x14ac:dyDescent="0.2">
      <c r="A456" s="229">
        <v>526</v>
      </c>
      <c r="B456" s="1" t="str">
        <f t="shared" si="121"/>
        <v>0.71, Peanut Dump Cart 6-Row</v>
      </c>
      <c r="C456" s="155">
        <v>0.71</v>
      </c>
      <c r="D456" s="151" t="s">
        <v>436</v>
      </c>
      <c r="E456" s="151" t="s">
        <v>331</v>
      </c>
      <c r="F456" s="151" t="s">
        <v>46</v>
      </c>
      <c r="G456" s="151" t="str">
        <f t="shared" si="122"/>
        <v>Peanut Dump Cart 6-Row</v>
      </c>
      <c r="H456" s="30">
        <v>45500</v>
      </c>
      <c r="I456" s="206">
        <v>18</v>
      </c>
      <c r="J456" s="206">
        <v>2.5</v>
      </c>
      <c r="K456" s="206">
        <v>60</v>
      </c>
      <c r="L456" s="208">
        <f t="shared" si="120"/>
        <v>0.30555555555555552</v>
      </c>
      <c r="M456" s="207">
        <v>30</v>
      </c>
      <c r="N456" s="207">
        <v>50</v>
      </c>
      <c r="O456" s="207">
        <v>10</v>
      </c>
      <c r="P456" s="207">
        <v>150</v>
      </c>
      <c r="Q456" s="207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</row>
    <row r="457" spans="1:32" x14ac:dyDescent="0.2">
      <c r="A457" s="229">
        <v>524</v>
      </c>
      <c r="B457" s="1" t="str">
        <f t="shared" si="121"/>
        <v>0.72, Peanut Lifter 6-Row</v>
      </c>
      <c r="C457" s="155">
        <v>0.72</v>
      </c>
      <c r="D457" s="151" t="s">
        <v>436</v>
      </c>
      <c r="E457" s="151" t="s">
        <v>332</v>
      </c>
      <c r="F457" s="151" t="s">
        <v>46</v>
      </c>
      <c r="G457" s="151" t="str">
        <f t="shared" si="122"/>
        <v>Peanut Lifter 6-Row</v>
      </c>
      <c r="H457" s="30">
        <v>6090</v>
      </c>
      <c r="I457" s="206">
        <v>18</v>
      </c>
      <c r="J457" s="206">
        <v>3.5</v>
      </c>
      <c r="K457" s="206">
        <v>60</v>
      </c>
      <c r="L457" s="208">
        <f t="shared" si="120"/>
        <v>0.21825396825396828</v>
      </c>
      <c r="M457" s="207">
        <v>30</v>
      </c>
      <c r="N457" s="207">
        <v>80</v>
      </c>
      <c r="O457" s="207">
        <v>12</v>
      </c>
      <c r="P457" s="207">
        <v>100</v>
      </c>
      <c r="Q457" s="207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</row>
    <row r="458" spans="1:32" x14ac:dyDescent="0.2">
      <c r="A458" s="229"/>
      <c r="B458" s="1" t="str">
        <f t="shared" si="121"/>
        <v>0.73, Peanut Wagon 14'</v>
      </c>
      <c r="C458" s="155">
        <v>0.73</v>
      </c>
      <c r="D458" s="151" t="s">
        <v>436</v>
      </c>
      <c r="E458" s="151" t="s">
        <v>431</v>
      </c>
      <c r="F458" s="151" t="s">
        <v>12</v>
      </c>
      <c r="G458" s="151" t="str">
        <f t="shared" si="122"/>
        <v>Peanut Wagon 14'</v>
      </c>
      <c r="H458" s="30">
        <v>4600</v>
      </c>
      <c r="I458" s="206">
        <v>6</v>
      </c>
      <c r="J458" s="206">
        <v>2.5</v>
      </c>
      <c r="K458" s="206">
        <v>60</v>
      </c>
      <c r="L458" s="208">
        <f t="shared" si="120"/>
        <v>0.91666666666666674</v>
      </c>
      <c r="M458" s="207">
        <v>20</v>
      </c>
      <c r="N458" s="207">
        <v>80</v>
      </c>
      <c r="O458" s="207">
        <v>12</v>
      </c>
      <c r="P458" s="207">
        <v>150</v>
      </c>
      <c r="Q458" s="207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</row>
    <row r="459" spans="1:32" x14ac:dyDescent="0.2">
      <c r="A459" s="229"/>
      <c r="B459" s="1" t="str">
        <f t="shared" si="121"/>
        <v>0.74, Peanut Wagon 21'</v>
      </c>
      <c r="C459" s="155">
        <v>0.74</v>
      </c>
      <c r="D459" s="151" t="s">
        <v>436</v>
      </c>
      <c r="E459" s="151" t="s">
        <v>431</v>
      </c>
      <c r="F459" s="151" t="s">
        <v>39</v>
      </c>
      <c r="G459" s="151" t="str">
        <f t="shared" si="122"/>
        <v>Peanut Wagon 21'</v>
      </c>
      <c r="H459" s="30">
        <v>6900</v>
      </c>
      <c r="I459" s="206">
        <v>12</v>
      </c>
      <c r="J459" s="206">
        <v>2.5</v>
      </c>
      <c r="K459" s="206">
        <v>60</v>
      </c>
      <c r="L459" s="208">
        <f t="shared" si="120"/>
        <v>0.45833333333333337</v>
      </c>
      <c r="M459" s="207">
        <v>20</v>
      </c>
      <c r="N459" s="207">
        <v>80</v>
      </c>
      <c r="O459" s="207">
        <v>12</v>
      </c>
      <c r="P459" s="207">
        <v>150</v>
      </c>
      <c r="Q459" s="207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</row>
    <row r="460" spans="1:32" x14ac:dyDescent="0.2">
      <c r="A460" s="229"/>
      <c r="B460" s="1" t="str">
        <f t="shared" si="121"/>
        <v>0.75, Peanut Wagon 28'</v>
      </c>
      <c r="C460" s="155">
        <v>0.75</v>
      </c>
      <c r="D460" s="151" t="s">
        <v>436</v>
      </c>
      <c r="E460" s="151" t="s">
        <v>431</v>
      </c>
      <c r="F460" s="151" t="s">
        <v>92</v>
      </c>
      <c r="G460" s="151" t="str">
        <f t="shared" si="122"/>
        <v>Peanut Wagon 28'</v>
      </c>
      <c r="H460" s="30">
        <v>8050</v>
      </c>
      <c r="I460" s="206">
        <v>18</v>
      </c>
      <c r="J460" s="206">
        <v>2.5</v>
      </c>
      <c r="K460" s="206">
        <v>60</v>
      </c>
      <c r="L460" s="208">
        <f t="shared" si="120"/>
        <v>0.30555555555555552</v>
      </c>
      <c r="M460" s="207">
        <v>20</v>
      </c>
      <c r="N460" s="207">
        <v>80</v>
      </c>
      <c r="O460" s="207">
        <v>12</v>
      </c>
      <c r="P460" s="207">
        <v>150</v>
      </c>
      <c r="Q460" s="207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</row>
    <row r="461" spans="1:32" x14ac:dyDescent="0.2">
      <c r="A461" s="229"/>
      <c r="B461" s="1" t="str">
        <f t="shared" si="121"/>
        <v>0.76, Pull-type Peanut Combine 2R-36</v>
      </c>
      <c r="C461" s="155">
        <v>0.76</v>
      </c>
      <c r="D461" s="151" t="s">
        <v>436</v>
      </c>
      <c r="E461" s="151" t="s">
        <v>432</v>
      </c>
      <c r="F461" s="151" t="s">
        <v>433</v>
      </c>
      <c r="G461" s="151" t="str">
        <f t="shared" si="122"/>
        <v>Pull-type Peanut Combine 2R-36</v>
      </c>
      <c r="H461" s="30">
        <v>35800</v>
      </c>
      <c r="I461" s="206">
        <v>6</v>
      </c>
      <c r="J461" s="206">
        <v>2.5</v>
      </c>
      <c r="K461" s="206">
        <v>60</v>
      </c>
      <c r="L461" s="208">
        <f t="shared" si="120"/>
        <v>0.91666666666666674</v>
      </c>
      <c r="M461" s="207">
        <v>20</v>
      </c>
      <c r="N461" s="207">
        <v>40</v>
      </c>
      <c r="O461" s="207">
        <v>10</v>
      </c>
      <c r="P461" s="207">
        <v>150</v>
      </c>
      <c r="Q461" s="207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</row>
    <row r="462" spans="1:32" x14ac:dyDescent="0.2">
      <c r="A462" s="229"/>
      <c r="B462" s="1" t="str">
        <f t="shared" si="121"/>
        <v>0.77, Pull-type Peanut Combine 4R-36</v>
      </c>
      <c r="C462" s="155">
        <v>0.77</v>
      </c>
      <c r="D462" s="151" t="s">
        <v>436</v>
      </c>
      <c r="E462" s="151" t="s">
        <v>432</v>
      </c>
      <c r="F462" s="151" t="s">
        <v>73</v>
      </c>
      <c r="G462" s="151" t="str">
        <f t="shared" si="122"/>
        <v>Pull-type Peanut Combine 4R-36</v>
      </c>
      <c r="H462" s="30">
        <v>118000</v>
      </c>
      <c r="I462" s="206">
        <v>12</v>
      </c>
      <c r="J462" s="206">
        <v>2.5</v>
      </c>
      <c r="K462" s="206">
        <v>60</v>
      </c>
      <c r="L462" s="208">
        <f t="shared" si="120"/>
        <v>0.45833333333333337</v>
      </c>
      <c r="M462" s="207">
        <v>20</v>
      </c>
      <c r="N462" s="207">
        <v>40</v>
      </c>
      <c r="O462" s="207">
        <v>10</v>
      </c>
      <c r="P462" s="207">
        <v>150</v>
      </c>
      <c r="Q462" s="207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</row>
    <row r="463" spans="1:32" x14ac:dyDescent="0.2">
      <c r="A463" s="229"/>
      <c r="B463" s="1" t="str">
        <f t="shared" si="121"/>
        <v>0.78, Pull-type Peanut Combine 6R-36</v>
      </c>
      <c r="C463" s="155">
        <v>0.78</v>
      </c>
      <c r="D463" s="151" t="s">
        <v>436</v>
      </c>
      <c r="E463" s="151" t="s">
        <v>432</v>
      </c>
      <c r="F463" s="151" t="s">
        <v>206</v>
      </c>
      <c r="G463" s="151" t="str">
        <f t="shared" si="122"/>
        <v>Pull-type Peanut Combine 6R-36</v>
      </c>
      <c r="H463" s="30">
        <v>135000</v>
      </c>
      <c r="I463" s="206">
        <v>18</v>
      </c>
      <c r="J463" s="206">
        <v>2.5</v>
      </c>
      <c r="K463" s="206">
        <v>60</v>
      </c>
      <c r="L463" s="205">
        <f t="shared" si="120"/>
        <v>0.30555555555555552</v>
      </c>
      <c r="M463" s="207">
        <v>20</v>
      </c>
      <c r="N463" s="207">
        <v>40</v>
      </c>
      <c r="O463" s="207">
        <v>10</v>
      </c>
      <c r="P463" s="207">
        <v>150</v>
      </c>
      <c r="Q463" s="207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</row>
    <row r="464" spans="1:32" x14ac:dyDescent="0.2">
      <c r="A464" s="229">
        <v>200</v>
      </c>
      <c r="B464" s="1" t="str">
        <f t="shared" si="121"/>
        <v>0.79, Stalk Shredder 14'</v>
      </c>
      <c r="C464" s="155">
        <v>0.79</v>
      </c>
      <c r="D464" s="151" t="s">
        <v>436</v>
      </c>
      <c r="E464" s="151" t="s">
        <v>333</v>
      </c>
      <c r="F464" s="151" t="s">
        <v>12</v>
      </c>
      <c r="G464" s="151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</row>
    <row r="465" spans="1:32" x14ac:dyDescent="0.2">
      <c r="A465" s="229">
        <v>267</v>
      </c>
      <c r="B465" s="1" t="str">
        <f t="shared" si="121"/>
        <v>0.8, Stalk Shredder 20'</v>
      </c>
      <c r="C465" s="155">
        <v>0.8</v>
      </c>
      <c r="D465" s="151" t="s">
        <v>436</v>
      </c>
      <c r="E465" s="151" t="s">
        <v>333</v>
      </c>
      <c r="F465" s="151" t="s">
        <v>8</v>
      </c>
      <c r="G465" s="151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</row>
    <row r="466" spans="1:32" x14ac:dyDescent="0.2">
      <c r="A466" s="229">
        <v>479</v>
      </c>
      <c r="B466" s="1" t="str">
        <f t="shared" si="121"/>
        <v>0.81, Stalk Shredder-Flail 12'</v>
      </c>
      <c r="C466" s="155">
        <v>0.81</v>
      </c>
      <c r="D466" s="151" t="s">
        <v>436</v>
      </c>
      <c r="E466" s="151" t="s">
        <v>334</v>
      </c>
      <c r="F466" s="151" t="s">
        <v>11</v>
      </c>
      <c r="G466" s="151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</row>
    <row r="467" spans="1:32" x14ac:dyDescent="0.2">
      <c r="A467" s="229">
        <v>563</v>
      </c>
      <c r="B467" s="1" t="str">
        <f t="shared" si="121"/>
        <v>0.82, Stalk Shredder-Flail 15'</v>
      </c>
      <c r="C467" s="155">
        <v>0.82</v>
      </c>
      <c r="D467" s="151" t="s">
        <v>436</v>
      </c>
      <c r="E467" s="151" t="s">
        <v>334</v>
      </c>
      <c r="F467" s="151" t="s">
        <v>10</v>
      </c>
      <c r="G467" s="151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</row>
    <row r="468" spans="1:32" x14ac:dyDescent="0.2">
      <c r="A468" s="229">
        <v>564</v>
      </c>
      <c r="B468" s="1" t="str">
        <f t="shared" si="121"/>
        <v>0.83, Stalk Shredder-Flail 18'</v>
      </c>
      <c r="C468" s="155">
        <v>0.83</v>
      </c>
      <c r="D468" s="151" t="s">
        <v>436</v>
      </c>
      <c r="E468" s="151" t="s">
        <v>334</v>
      </c>
      <c r="F468" s="151" t="s">
        <v>9</v>
      </c>
      <c r="G468" s="151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</row>
    <row r="469" spans="1:32" x14ac:dyDescent="0.2">
      <c r="A469" s="229">
        <v>482</v>
      </c>
      <c r="B469" s="1" t="str">
        <f t="shared" si="121"/>
        <v>0.84, Stalk Shredder-Flail 20'</v>
      </c>
      <c r="C469" s="155">
        <v>0.84</v>
      </c>
      <c r="D469" s="151" t="s">
        <v>436</v>
      </c>
      <c r="E469" s="151" t="s">
        <v>334</v>
      </c>
      <c r="F469" s="151" t="s">
        <v>8</v>
      </c>
      <c r="G469" s="151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</row>
    <row r="470" spans="1:32" x14ac:dyDescent="0.2">
      <c r="A470" s="229">
        <v>565</v>
      </c>
      <c r="B470" s="1" t="str">
        <f t="shared" si="121"/>
        <v>0.85, Stalk Shredder-Flail 25'</v>
      </c>
      <c r="C470" s="155">
        <v>0.85</v>
      </c>
      <c r="D470" s="151" t="s">
        <v>436</v>
      </c>
      <c r="E470" s="151" t="s">
        <v>334</v>
      </c>
      <c r="F470" s="151" t="s">
        <v>7</v>
      </c>
      <c r="G470" s="151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</row>
    <row r="471" spans="1:32" x14ac:dyDescent="0.2">
      <c r="D471" s="151"/>
    </row>
    <row r="472" spans="1:32" x14ac:dyDescent="0.2">
      <c r="D472" s="151"/>
    </row>
    <row r="473" spans="1:32" x14ac:dyDescent="0.2">
      <c r="D473" s="151"/>
    </row>
    <row r="474" spans="1:32" x14ac:dyDescent="0.2">
      <c r="D474" s="151"/>
    </row>
    <row r="475" spans="1:32" x14ac:dyDescent="0.2">
      <c r="D475" s="151"/>
    </row>
    <row r="476" spans="1:32" x14ac:dyDescent="0.2">
      <c r="D476" s="151"/>
    </row>
    <row r="477" spans="1:32" x14ac:dyDescent="0.2">
      <c r="D477" s="151"/>
    </row>
    <row r="478" spans="1:32" x14ac:dyDescent="0.2">
      <c r="D478" s="151"/>
    </row>
    <row r="479" spans="1:32" x14ac:dyDescent="0.2">
      <c r="D479" s="151"/>
    </row>
    <row r="480" spans="1:32" x14ac:dyDescent="0.2">
      <c r="D480" s="151"/>
    </row>
    <row r="481" spans="4:4" x14ac:dyDescent="0.2">
      <c r="D481" s="151"/>
    </row>
    <row r="482" spans="4:4" x14ac:dyDescent="0.2">
      <c r="D482" s="151"/>
    </row>
    <row r="483" spans="4:4" x14ac:dyDescent="0.2">
      <c r="D483" s="151"/>
    </row>
    <row r="484" spans="4:4" x14ac:dyDescent="0.2">
      <c r="D484" s="151"/>
    </row>
    <row r="485" spans="4:4" x14ac:dyDescent="0.2">
      <c r="D485" s="151"/>
    </row>
    <row r="486" spans="4:4" x14ac:dyDescent="0.2">
      <c r="D486" s="151"/>
    </row>
    <row r="487" spans="4:4" x14ac:dyDescent="0.2">
      <c r="D487" s="151"/>
    </row>
    <row r="488" spans="4:4" x14ac:dyDescent="0.2">
      <c r="D488" s="151"/>
    </row>
    <row r="489" spans="4:4" x14ac:dyDescent="0.2">
      <c r="D489" s="151"/>
    </row>
    <row r="490" spans="4:4" x14ac:dyDescent="0.2">
      <c r="D490" s="151"/>
    </row>
    <row r="491" spans="4:4" x14ac:dyDescent="0.2">
      <c r="D491" s="151"/>
    </row>
    <row r="492" spans="4:4" x14ac:dyDescent="0.2">
      <c r="D492" s="151"/>
    </row>
    <row r="510" spans="4:4" x14ac:dyDescent="0.2">
      <c r="D510" s="155" t="s">
        <v>63</v>
      </c>
    </row>
    <row r="511" spans="4:4" x14ac:dyDescent="0.2">
      <c r="D511" s="155" t="s">
        <v>63</v>
      </c>
    </row>
    <row r="512" spans="4:4" x14ac:dyDescent="0.2">
      <c r="D512" s="155" t="s">
        <v>63</v>
      </c>
    </row>
    <row r="513" spans="4:4" x14ac:dyDescent="0.2">
      <c r="D513" s="155" t="s">
        <v>63</v>
      </c>
    </row>
    <row r="514" spans="4:4" x14ac:dyDescent="0.2">
      <c r="D514" s="155" t="s">
        <v>63</v>
      </c>
    </row>
    <row r="515" spans="4:4" x14ac:dyDescent="0.2">
      <c r="D515" s="155" t="s">
        <v>63</v>
      </c>
    </row>
    <row r="516" spans="4:4" x14ac:dyDescent="0.2">
      <c r="D516" s="155" t="s">
        <v>63</v>
      </c>
    </row>
    <row r="517" spans="4:4" x14ac:dyDescent="0.2">
      <c r="D517" s="155" t="s">
        <v>63</v>
      </c>
    </row>
    <row r="518" spans="4:4" x14ac:dyDescent="0.2">
      <c r="D518" s="155" t="s">
        <v>63</v>
      </c>
    </row>
    <row r="519" spans="4:4" x14ac:dyDescent="0.2">
      <c r="D519" s="155" t="s">
        <v>63</v>
      </c>
    </row>
    <row r="520" spans="4:4" x14ac:dyDescent="0.2">
      <c r="D520" s="155" t="s">
        <v>63</v>
      </c>
    </row>
    <row r="521" spans="4:4" x14ac:dyDescent="0.2">
      <c r="D521" s="155" t="s">
        <v>63</v>
      </c>
    </row>
    <row r="522" spans="4:4" x14ac:dyDescent="0.2">
      <c r="D522" s="155" t="s">
        <v>63</v>
      </c>
    </row>
    <row r="523" spans="4:4" x14ac:dyDescent="0.2">
      <c r="D523" s="155" t="s">
        <v>63</v>
      </c>
    </row>
    <row r="524" spans="4:4" x14ac:dyDescent="0.2">
      <c r="D524" s="155" t="s">
        <v>63</v>
      </c>
    </row>
    <row r="525" spans="4:4" x14ac:dyDescent="0.2">
      <c r="D525" s="155" t="s">
        <v>63</v>
      </c>
    </row>
    <row r="526" spans="4:4" x14ac:dyDescent="0.2">
      <c r="D526" s="155" t="s">
        <v>63</v>
      </c>
    </row>
    <row r="527" spans="4:4" x14ac:dyDescent="0.2">
      <c r="D527" s="155" t="s">
        <v>63</v>
      </c>
    </row>
    <row r="528" spans="4:4" x14ac:dyDescent="0.2">
      <c r="D528" s="155" t="s">
        <v>63</v>
      </c>
    </row>
    <row r="529" spans="4:4" x14ac:dyDescent="0.2">
      <c r="D529" s="155" t="s">
        <v>63</v>
      </c>
    </row>
    <row r="530" spans="4:4" x14ac:dyDescent="0.2">
      <c r="D530" s="155" t="s">
        <v>63</v>
      </c>
    </row>
    <row r="531" spans="4:4" x14ac:dyDescent="0.2">
      <c r="D531" s="155" t="s">
        <v>63</v>
      </c>
    </row>
    <row r="532" spans="4:4" x14ac:dyDescent="0.2">
      <c r="D532" s="155" t="s">
        <v>63</v>
      </c>
    </row>
    <row r="533" spans="4:4" x14ac:dyDescent="0.2">
      <c r="D533" s="155" t="s">
        <v>63</v>
      </c>
    </row>
    <row r="534" spans="4:4" x14ac:dyDescent="0.2">
      <c r="D534" s="155" t="s">
        <v>63</v>
      </c>
    </row>
    <row r="535" spans="4:4" x14ac:dyDescent="0.2">
      <c r="D535" s="155" t="s">
        <v>63</v>
      </c>
    </row>
    <row r="536" spans="4:4" x14ac:dyDescent="0.2">
      <c r="D536" s="155" t="s">
        <v>63</v>
      </c>
    </row>
    <row r="537" spans="4:4" x14ac:dyDescent="0.2">
      <c r="D537" s="155" t="s">
        <v>63</v>
      </c>
    </row>
    <row r="538" spans="4:4" x14ac:dyDescent="0.2">
      <c r="D538" s="155" t="s">
        <v>63</v>
      </c>
    </row>
    <row r="539" spans="4:4" x14ac:dyDescent="0.2">
      <c r="D539" s="155" t="s">
        <v>63</v>
      </c>
    </row>
    <row r="540" spans="4:4" x14ac:dyDescent="0.2">
      <c r="D540" s="155" t="s">
        <v>63</v>
      </c>
    </row>
    <row r="541" spans="4:4" x14ac:dyDescent="0.2">
      <c r="D541" s="155" t="s">
        <v>63</v>
      </c>
    </row>
    <row r="542" spans="4:4" x14ac:dyDescent="0.2">
      <c r="D542" s="155" t="s">
        <v>63</v>
      </c>
    </row>
    <row r="543" spans="4:4" x14ac:dyDescent="0.2">
      <c r="D543" s="155" t="s">
        <v>63</v>
      </c>
    </row>
    <row r="544" spans="4:4" x14ac:dyDescent="0.2">
      <c r="D544" s="155" t="s">
        <v>63</v>
      </c>
    </row>
    <row r="545" spans="4:4" x14ac:dyDescent="0.2">
      <c r="D545" s="155" t="s">
        <v>63</v>
      </c>
    </row>
    <row r="546" spans="4:4" x14ac:dyDescent="0.2">
      <c r="D546" s="155" t="s">
        <v>63</v>
      </c>
    </row>
    <row r="547" spans="4:4" x14ac:dyDescent="0.2">
      <c r="D547" s="155" t="s">
        <v>63</v>
      </c>
    </row>
    <row r="548" spans="4:4" x14ac:dyDescent="0.2">
      <c r="D548" s="155" t="s">
        <v>63</v>
      </c>
    </row>
    <row r="549" spans="4:4" x14ac:dyDescent="0.2">
      <c r="D549" s="155" t="s">
        <v>63</v>
      </c>
    </row>
    <row r="550" spans="4:4" x14ac:dyDescent="0.2">
      <c r="D550" s="155" t="s">
        <v>63</v>
      </c>
    </row>
    <row r="551" spans="4:4" x14ac:dyDescent="0.2">
      <c r="D551" s="155" t="s">
        <v>63</v>
      </c>
    </row>
    <row r="552" spans="4:4" x14ac:dyDescent="0.2">
      <c r="D552" s="155" t="s">
        <v>63</v>
      </c>
    </row>
    <row r="553" spans="4:4" x14ac:dyDescent="0.2">
      <c r="D553" s="155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5" bestFit="1" customWidth="1"/>
    <col min="4" max="4" width="2" style="151" bestFit="1" customWidth="1"/>
    <col min="5" max="5" width="12.5" style="151" bestFit="1" customWidth="1"/>
    <col min="6" max="6" width="6.33203125" style="151" bestFit="1" customWidth="1"/>
    <col min="7" max="7" width="17.5" style="151" bestFit="1" customWidth="1"/>
    <col min="8" max="8" width="7.1640625" style="207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4" bestFit="1" customWidth="1"/>
    <col min="29" max="29" width="5" style="224" bestFit="1" customWidth="1"/>
    <col min="30" max="30" width="4.5" style="224" bestFit="1" customWidth="1"/>
    <col min="31" max="31" width="5.5" style="224" bestFit="1" customWidth="1"/>
    <col min="32" max="16384" width="8.83203125" style="1"/>
  </cols>
  <sheetData>
    <row r="1" spans="1:31" x14ac:dyDescent="0.2">
      <c r="A1" s="266" t="s">
        <v>443</v>
      </c>
      <c r="B1" s="266"/>
      <c r="C1" s="172">
        <v>2</v>
      </c>
      <c r="D1" s="151">
        <v>3</v>
      </c>
      <c r="E1" s="151">
        <v>4</v>
      </c>
      <c r="F1" s="151">
        <v>5</v>
      </c>
      <c r="G1" s="151">
        <v>6</v>
      </c>
      <c r="H1" s="207">
        <v>7</v>
      </c>
      <c r="I1" s="207">
        <v>8</v>
      </c>
      <c r="J1" s="207">
        <v>9</v>
      </c>
      <c r="K1" s="207">
        <v>10</v>
      </c>
      <c r="L1" s="207">
        <v>11</v>
      </c>
      <c r="M1" s="207">
        <v>12</v>
      </c>
      <c r="N1" s="207">
        <v>13</v>
      </c>
      <c r="O1" s="207">
        <v>14</v>
      </c>
      <c r="P1" s="207">
        <v>15</v>
      </c>
      <c r="Q1" s="207">
        <v>16</v>
      </c>
      <c r="R1" s="207">
        <v>17</v>
      </c>
      <c r="S1" s="207">
        <v>18</v>
      </c>
      <c r="T1" s="207">
        <v>19</v>
      </c>
      <c r="U1" s="207">
        <v>20</v>
      </c>
      <c r="V1" s="207">
        <v>21</v>
      </c>
      <c r="W1" s="207">
        <v>22</v>
      </c>
      <c r="X1" s="207">
        <v>23</v>
      </c>
      <c r="Y1" s="207">
        <v>24</v>
      </c>
    </row>
    <row r="2" spans="1:31" x14ac:dyDescent="0.2">
      <c r="A2" s="207"/>
      <c r="B2" s="34"/>
      <c r="C2" s="182"/>
      <c r="D2" s="183"/>
      <c r="E2" s="158"/>
      <c r="I2" s="207"/>
      <c r="J2" s="207"/>
      <c r="K2" s="207"/>
      <c r="L2" s="207"/>
      <c r="M2" s="207"/>
      <c r="N2" s="207"/>
      <c r="O2" s="272" t="s">
        <v>165</v>
      </c>
      <c r="P2" s="272"/>
      <c r="Q2" s="265" t="s">
        <v>129</v>
      </c>
      <c r="R2" s="265"/>
      <c r="S2" s="207"/>
      <c r="T2" s="207"/>
      <c r="U2" s="207"/>
      <c r="V2" s="207"/>
      <c r="W2" s="207"/>
      <c r="X2" s="207"/>
      <c r="Y2" s="207"/>
    </row>
    <row r="3" spans="1:31" s="15" customFormat="1" ht="10.25" customHeight="1" x14ac:dyDescent="0.15">
      <c r="A3" s="26" t="s">
        <v>435</v>
      </c>
      <c r="B3" s="26" t="s">
        <v>127</v>
      </c>
      <c r="C3" s="184" t="s">
        <v>128</v>
      </c>
      <c r="D3" s="153" t="s">
        <v>437</v>
      </c>
      <c r="E3" s="154" t="s">
        <v>126</v>
      </c>
      <c r="F3" s="154" t="s">
        <v>125</v>
      </c>
      <c r="G3" s="154" t="s">
        <v>438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25" t="s">
        <v>446</v>
      </c>
      <c r="AA3" s="225" t="s">
        <v>445</v>
      </c>
      <c r="AB3" s="226" t="s">
        <v>447</v>
      </c>
      <c r="AC3" s="225" t="s">
        <v>448</v>
      </c>
      <c r="AD3" s="225" t="s">
        <v>449</v>
      </c>
      <c r="AE3" s="225" t="s">
        <v>450</v>
      </c>
    </row>
    <row r="4" spans="1:31" x14ac:dyDescent="0.2">
      <c r="A4" s="207"/>
      <c r="B4" s="207" t="str">
        <f>CONCATENATE(C4,D4,E4,F4)</f>
        <v>0.01, Combine (200-249 hp) 240 hp</v>
      </c>
      <c r="C4" s="155">
        <v>0.01</v>
      </c>
      <c r="D4" s="151" t="s">
        <v>436</v>
      </c>
      <c r="E4" s="151" t="s">
        <v>418</v>
      </c>
      <c r="F4" s="151" t="s">
        <v>419</v>
      </c>
      <c r="G4" s="151" t="str">
        <f>CONCATENATE(E4,F4)</f>
        <v>Combine (200-249 hp) 240 hp</v>
      </c>
      <c r="H4" s="207">
        <v>300000</v>
      </c>
      <c r="I4" s="207">
        <v>12.35</v>
      </c>
      <c r="J4" s="207">
        <v>30</v>
      </c>
      <c r="K4" s="207">
        <v>25</v>
      </c>
      <c r="L4" s="207">
        <v>12</v>
      </c>
      <c r="M4" s="207">
        <v>200</v>
      </c>
      <c r="N4" s="207">
        <v>0</v>
      </c>
      <c r="O4" s="11">
        <f>M4*L4</f>
        <v>2400</v>
      </c>
      <c r="P4" s="11">
        <v>0</v>
      </c>
      <c r="Q4" s="8">
        <f>(H4*K4/100)/L4</f>
        <v>6250</v>
      </c>
      <c r="R4" s="7">
        <f>Q4/M4</f>
        <v>31.25</v>
      </c>
      <c r="S4" s="2">
        <f>H4*J4/100</f>
        <v>90000</v>
      </c>
      <c r="T4" s="2">
        <f>(H4-S4)/L4</f>
        <v>17500</v>
      </c>
      <c r="U4" s="2">
        <f>(S4+H4)/2</f>
        <v>195000</v>
      </c>
      <c r="V4" s="6">
        <f>U4*intir</f>
        <v>17550</v>
      </c>
      <c r="W4" s="6">
        <f>U4*itr</f>
        <v>4680</v>
      </c>
      <c r="X4" s="6">
        <f>T4+V4+W4</f>
        <v>39730</v>
      </c>
      <c r="Y4" s="5">
        <f>X4/M4</f>
        <v>198.65</v>
      </c>
      <c r="Z4" s="227">
        <f>((1.132-0.165*(L4^0.5)-0.0079*(M4^0.5))^2)*H4</f>
        <v>60399.60447781589</v>
      </c>
      <c r="AA4" s="227">
        <f>(H4-Z4)/L4</f>
        <v>19966.699626848676</v>
      </c>
      <c r="AB4" s="227">
        <f t="shared" ref="AB4:AB43" si="0">(Z4+H4)*intir</f>
        <v>32435.964403003432</v>
      </c>
      <c r="AC4" s="227">
        <f t="shared" ref="AC4:AC43" si="1">(Z4+H4)*itr</f>
        <v>8649.5905074675829</v>
      </c>
      <c r="AD4" s="227">
        <f>(AA4+AB4+AC4)/M4</f>
        <v>305.26127268659843</v>
      </c>
      <c r="AE4" s="228">
        <f>AD4-Y4</f>
        <v>106.61127268659843</v>
      </c>
    </row>
    <row r="5" spans="1:31" x14ac:dyDescent="0.2">
      <c r="A5" s="207">
        <v>46</v>
      </c>
      <c r="B5" s="207" t="str">
        <f>CONCATENATE(C5,D5,E5,F5)</f>
        <v>0.02, Combine (250-299 hp) 265 hp</v>
      </c>
      <c r="C5" s="155">
        <v>0.02</v>
      </c>
      <c r="D5" s="151" t="s">
        <v>436</v>
      </c>
      <c r="E5" s="151" t="s">
        <v>210</v>
      </c>
      <c r="F5" s="151" t="s">
        <v>164</v>
      </c>
      <c r="G5" s="151" t="str">
        <f t="shared" ref="G5:G44" si="2">CONCATENATE(E5,F5)</f>
        <v>Combine (250-299 hp) 265 hp</v>
      </c>
      <c r="H5" s="29">
        <v>323000</v>
      </c>
      <c r="I5" s="207">
        <v>13.64</v>
      </c>
      <c r="J5" s="207">
        <v>30</v>
      </c>
      <c r="K5" s="207">
        <v>25</v>
      </c>
      <c r="L5" s="207">
        <v>12</v>
      </c>
      <c r="M5" s="207">
        <v>200</v>
      </c>
      <c r="N5" s="207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27">
        <f t="shared" ref="Z5:Z11" si="3">((1.132-0.165*(L5^0.5)-0.0079*(M5^0.5))^2)*H5</f>
        <v>65030.240821115105</v>
      </c>
      <c r="AA5" s="227">
        <f t="shared" ref="AA5:AA44" si="4">(H5-Z5)/L5</f>
        <v>21497.479931573744</v>
      </c>
      <c r="AB5" s="227">
        <f t="shared" si="0"/>
        <v>34922.721673900356</v>
      </c>
      <c r="AC5" s="227">
        <f t="shared" si="1"/>
        <v>9312.7257797067632</v>
      </c>
      <c r="AD5" s="227">
        <f t="shared" ref="AD5:AD44" si="5">(AA5+AB5+AC5)/M5</f>
        <v>328.66463692590429</v>
      </c>
      <c r="AE5" s="228">
        <f t="shared" ref="AE5:AE44" si="6">AD5-Y5</f>
        <v>114.78480359257091</v>
      </c>
    </row>
    <row r="6" spans="1:31" x14ac:dyDescent="0.2">
      <c r="A6" s="207">
        <v>47</v>
      </c>
      <c r="B6" s="207" t="str">
        <f t="shared" ref="B6:B44" si="7">CONCATENATE(C6,D6,E6,F6)</f>
        <v>0.03, Combine (300-349 hp) 325 hp</v>
      </c>
      <c r="C6" s="155">
        <v>0.03</v>
      </c>
      <c r="D6" s="151" t="s">
        <v>436</v>
      </c>
      <c r="E6" s="151" t="s">
        <v>211</v>
      </c>
      <c r="F6" s="151" t="s">
        <v>163</v>
      </c>
      <c r="G6" s="151" t="str">
        <f t="shared" si="2"/>
        <v>Combine (300-349 hp) 325 hp</v>
      </c>
      <c r="H6" s="29">
        <v>336000</v>
      </c>
      <c r="I6" s="207">
        <v>16.73</v>
      </c>
      <c r="J6" s="207">
        <v>30</v>
      </c>
      <c r="K6" s="207">
        <v>25</v>
      </c>
      <c r="L6" s="207">
        <v>12</v>
      </c>
      <c r="M6" s="207">
        <v>300</v>
      </c>
      <c r="N6" s="207">
        <v>0</v>
      </c>
      <c r="O6" s="11">
        <f t="shared" ref="O6:O44" si="8">M6*L6</f>
        <v>3600</v>
      </c>
      <c r="P6" s="11">
        <v>1</v>
      </c>
      <c r="Q6" s="8">
        <f t="shared" ref="Q6:Q44" si="9">(H6*K6/100)/L6</f>
        <v>7000</v>
      </c>
      <c r="R6" s="7">
        <f t="shared" ref="R6:R44" si="10">Q6/M6</f>
        <v>23.333333333333332</v>
      </c>
      <c r="S6" s="2">
        <f t="shared" ref="S6:S44" si="11">H6*J6/100</f>
        <v>100800</v>
      </c>
      <c r="T6" s="2">
        <f t="shared" ref="T6:T44" si="12">(H6-S6)/L6</f>
        <v>19600</v>
      </c>
      <c r="U6" s="2">
        <f t="shared" ref="U6:U44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4" si="16">T6+V6+W6</f>
        <v>44497.599999999999</v>
      </c>
      <c r="Y6" s="5">
        <f t="shared" ref="Y6:Y44" si="17">X6/M6</f>
        <v>148.32533333333333</v>
      </c>
      <c r="Z6" s="227">
        <f t="shared" si="3"/>
        <v>60288.319193962016</v>
      </c>
      <c r="AA6" s="227">
        <f t="shared" si="4"/>
        <v>22975.973400503164</v>
      </c>
      <c r="AB6" s="227">
        <f t="shared" si="0"/>
        <v>35665.948727456584</v>
      </c>
      <c r="AC6" s="227">
        <f t="shared" si="1"/>
        <v>9510.9196606550886</v>
      </c>
      <c r="AD6" s="227">
        <f t="shared" si="5"/>
        <v>227.1761392953828</v>
      </c>
      <c r="AE6" s="228">
        <f t="shared" si="6"/>
        <v>78.850805962049463</v>
      </c>
    </row>
    <row r="7" spans="1:31" x14ac:dyDescent="0.2">
      <c r="A7" s="207">
        <v>48</v>
      </c>
      <c r="B7" s="207" t="str">
        <f t="shared" si="7"/>
        <v>0.04, Combine (350-399 hp) 355 hp</v>
      </c>
      <c r="C7" s="155">
        <v>0.04</v>
      </c>
      <c r="D7" s="151" t="s">
        <v>436</v>
      </c>
      <c r="E7" s="151" t="s">
        <v>212</v>
      </c>
      <c r="F7" s="151" t="s">
        <v>162</v>
      </c>
      <c r="G7" s="151" t="str">
        <f t="shared" si="2"/>
        <v>Combine (350-399 hp) 355 hp</v>
      </c>
      <c r="H7" s="29">
        <v>340000</v>
      </c>
      <c r="I7" s="207">
        <v>18.27</v>
      </c>
      <c r="J7" s="207">
        <v>30</v>
      </c>
      <c r="K7" s="207">
        <v>25</v>
      </c>
      <c r="L7" s="207">
        <v>12</v>
      </c>
      <c r="M7" s="207">
        <v>300</v>
      </c>
      <c r="N7" s="207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27">
        <f t="shared" si="3"/>
        <v>61006.037279604418</v>
      </c>
      <c r="AA7" s="227">
        <f t="shared" si="4"/>
        <v>23249.4968933663</v>
      </c>
      <c r="AB7" s="227">
        <f t="shared" si="0"/>
        <v>36090.543355164395</v>
      </c>
      <c r="AC7" s="227">
        <f t="shared" si="1"/>
        <v>9624.1448947105055</v>
      </c>
      <c r="AD7" s="227">
        <f t="shared" si="5"/>
        <v>229.88061714413735</v>
      </c>
      <c r="AE7" s="228">
        <f t="shared" si="6"/>
        <v>79.789506033026242</v>
      </c>
    </row>
    <row r="8" spans="1:31" x14ac:dyDescent="0.2">
      <c r="A8" s="207">
        <v>62</v>
      </c>
      <c r="B8" s="207" t="str">
        <f t="shared" si="7"/>
        <v>0.05, Combine (400-449 hp) 425 hp</v>
      </c>
      <c r="C8" s="155">
        <v>0.05</v>
      </c>
      <c r="D8" s="151" t="s">
        <v>436</v>
      </c>
      <c r="E8" s="151" t="s">
        <v>213</v>
      </c>
      <c r="F8" s="151" t="s">
        <v>161</v>
      </c>
      <c r="G8" s="151" t="str">
        <f t="shared" si="2"/>
        <v>Combine (400-449 hp) 425 hp</v>
      </c>
      <c r="H8" s="29">
        <v>409000</v>
      </c>
      <c r="I8" s="207">
        <v>21.876000000000001</v>
      </c>
      <c r="J8" s="207">
        <v>30</v>
      </c>
      <c r="K8" s="207">
        <v>25</v>
      </c>
      <c r="L8" s="207">
        <v>12</v>
      </c>
      <c r="M8" s="207">
        <v>300</v>
      </c>
      <c r="N8" s="207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27">
        <f t="shared" si="3"/>
        <v>73386.674256935905</v>
      </c>
      <c r="AA8" s="227">
        <f t="shared" si="4"/>
        <v>27967.777145255342</v>
      </c>
      <c r="AB8" s="227">
        <f t="shared" si="0"/>
        <v>43414.800683124231</v>
      </c>
      <c r="AC8" s="227">
        <f t="shared" si="1"/>
        <v>11577.280182166462</v>
      </c>
      <c r="AD8" s="227">
        <f t="shared" si="5"/>
        <v>276.53286003515348</v>
      </c>
      <c r="AE8" s="228">
        <f t="shared" si="6"/>
        <v>95.982082257375708</v>
      </c>
    </row>
    <row r="9" spans="1:31" x14ac:dyDescent="0.2">
      <c r="A9" s="207">
        <v>63</v>
      </c>
      <c r="B9" s="207" t="str">
        <f t="shared" si="7"/>
        <v>0.06, Combine (450-499 hp) 475 hp</v>
      </c>
      <c r="C9" s="155">
        <v>0.06</v>
      </c>
      <c r="D9" s="151" t="s">
        <v>436</v>
      </c>
      <c r="E9" s="151" t="s">
        <v>245</v>
      </c>
      <c r="F9" s="151" t="s">
        <v>160</v>
      </c>
      <c r="G9" s="151" t="str">
        <f t="shared" si="2"/>
        <v>Combine (450-499 hp) 475 hp</v>
      </c>
      <c r="H9" s="29">
        <v>423000</v>
      </c>
      <c r="I9" s="207">
        <v>24.449000000000002</v>
      </c>
      <c r="J9" s="207">
        <v>30</v>
      </c>
      <c r="K9" s="207">
        <v>25</v>
      </c>
      <c r="L9" s="207">
        <v>12</v>
      </c>
      <c r="M9" s="207">
        <v>300</v>
      </c>
      <c r="N9" s="207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27">
        <f t="shared" si="3"/>
        <v>75898.687556684323</v>
      </c>
      <c r="AA9" s="227">
        <f t="shared" si="4"/>
        <v>28925.109370276306</v>
      </c>
      <c r="AB9" s="227">
        <f t="shared" si="0"/>
        <v>44900.881880101588</v>
      </c>
      <c r="AC9" s="227">
        <f t="shared" si="1"/>
        <v>11973.568501360423</v>
      </c>
      <c r="AD9" s="227">
        <f t="shared" si="5"/>
        <v>285.9985325057944</v>
      </c>
      <c r="AE9" s="228">
        <f t="shared" si="6"/>
        <v>99.267532505794378</v>
      </c>
    </row>
    <row r="10" spans="1:31" x14ac:dyDescent="0.2">
      <c r="A10" s="207">
        <v>45</v>
      </c>
      <c r="B10" s="207" t="str">
        <f t="shared" si="7"/>
        <v>0.07, Cotton Stripper 173 hp</v>
      </c>
      <c r="C10" s="155">
        <v>7.0000000000000007E-2</v>
      </c>
      <c r="D10" s="151" t="s">
        <v>436</v>
      </c>
      <c r="E10" s="151" t="s">
        <v>214</v>
      </c>
      <c r="F10" s="151" t="s">
        <v>159</v>
      </c>
      <c r="G10" s="151" t="str">
        <f t="shared" si="2"/>
        <v>Cotton Stripper 173 hp</v>
      </c>
      <c r="H10" s="207">
        <v>195000</v>
      </c>
      <c r="I10" s="207">
        <v>8.08</v>
      </c>
      <c r="J10" s="207">
        <v>30</v>
      </c>
      <c r="K10" s="207">
        <v>25</v>
      </c>
      <c r="L10" s="207">
        <v>8</v>
      </c>
      <c r="M10" s="207">
        <v>200</v>
      </c>
      <c r="N10" s="207">
        <v>0</v>
      </c>
      <c r="O10" s="11">
        <f t="shared" si="8"/>
        <v>1600</v>
      </c>
      <c r="P10" s="11">
        <v>1</v>
      </c>
      <c r="Q10" s="8">
        <f t="shared" si="9"/>
        <v>6093.75</v>
      </c>
      <c r="R10" s="7">
        <f t="shared" si="10"/>
        <v>30.46875</v>
      </c>
      <c r="S10" s="2">
        <f t="shared" si="11"/>
        <v>58500</v>
      </c>
      <c r="T10" s="2">
        <f t="shared" si="12"/>
        <v>17062.5</v>
      </c>
      <c r="U10" s="2">
        <f t="shared" si="13"/>
        <v>126750</v>
      </c>
      <c r="V10" s="6">
        <f t="shared" si="14"/>
        <v>11407.5</v>
      </c>
      <c r="W10" s="6">
        <f t="shared" si="15"/>
        <v>3042</v>
      </c>
      <c r="X10" s="6">
        <f t="shared" si="16"/>
        <v>31512</v>
      </c>
      <c r="Y10" s="5">
        <f t="shared" si="17"/>
        <v>157.56</v>
      </c>
      <c r="Z10" s="227">
        <f t="shared" si="3"/>
        <v>59759.345561762108</v>
      </c>
      <c r="AA10" s="227">
        <f t="shared" si="4"/>
        <v>16905.081804779737</v>
      </c>
      <c r="AB10" s="227">
        <f t="shared" si="0"/>
        <v>22928.341100558588</v>
      </c>
      <c r="AC10" s="227">
        <f t="shared" si="1"/>
        <v>6114.2242934822907</v>
      </c>
      <c r="AD10" s="227">
        <f t="shared" si="5"/>
        <v>229.73823599410309</v>
      </c>
      <c r="AE10" s="228">
        <f t="shared" si="6"/>
        <v>72.17823599410309</v>
      </c>
    </row>
    <row r="11" spans="1:31" x14ac:dyDescent="0.2">
      <c r="A11" s="207">
        <v>64</v>
      </c>
      <c r="B11" s="207" t="str">
        <f t="shared" si="7"/>
        <v>0.08, Tractor (20-39 hp) CB MFWD 30</v>
      </c>
      <c r="C11" s="155">
        <v>0.08</v>
      </c>
      <c r="D11" s="151" t="s">
        <v>436</v>
      </c>
      <c r="E11" s="151" t="s">
        <v>512</v>
      </c>
      <c r="F11" s="151" t="s">
        <v>158</v>
      </c>
      <c r="G11" s="151" t="str">
        <f t="shared" si="2"/>
        <v>Tractor (20-39 hp) CB MFWD 30</v>
      </c>
      <c r="H11" s="235">
        <v>28500</v>
      </c>
      <c r="I11" s="207">
        <v>1.544</v>
      </c>
      <c r="J11" s="207">
        <v>20</v>
      </c>
      <c r="K11" s="207">
        <v>75</v>
      </c>
      <c r="L11" s="207">
        <v>14</v>
      </c>
      <c r="M11" s="207">
        <v>600</v>
      </c>
      <c r="N11" s="207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27">
        <f t="shared" si="3"/>
        <v>2938.8067380501284</v>
      </c>
      <c r="AA11" s="227">
        <f t="shared" si="4"/>
        <v>1825.7995187107051</v>
      </c>
      <c r="AB11" s="227">
        <f t="shared" si="0"/>
        <v>2829.4926064245115</v>
      </c>
      <c r="AC11" s="227">
        <f t="shared" si="1"/>
        <v>754.53136171320307</v>
      </c>
      <c r="AD11" s="227">
        <f t="shared" si="5"/>
        <v>9.0163724780806991</v>
      </c>
      <c r="AE11" s="228">
        <f t="shared" si="6"/>
        <v>3.053086763794985</v>
      </c>
    </row>
    <row r="12" spans="1:31" x14ac:dyDescent="0.2">
      <c r="A12" s="207">
        <v>65</v>
      </c>
      <c r="B12" s="207" t="str">
        <f t="shared" si="7"/>
        <v>0.09, Tractor (20-39 hp) RB MFWD 30</v>
      </c>
      <c r="C12" s="155">
        <v>0.09</v>
      </c>
      <c r="D12" s="151" t="s">
        <v>436</v>
      </c>
      <c r="E12" s="151" t="s">
        <v>513</v>
      </c>
      <c r="F12" s="151" t="s">
        <v>158</v>
      </c>
      <c r="G12" s="151" t="str">
        <f t="shared" si="2"/>
        <v>Tractor (20-39 hp) RB MFWD 30</v>
      </c>
      <c r="H12" s="235">
        <v>21300</v>
      </c>
      <c r="I12" s="207">
        <v>1.544</v>
      </c>
      <c r="J12" s="207">
        <v>20</v>
      </c>
      <c r="K12" s="207">
        <v>75</v>
      </c>
      <c r="L12" s="207">
        <v>14</v>
      </c>
      <c r="M12" s="207">
        <v>600</v>
      </c>
      <c r="N12" s="207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27">
        <f>((0.981-0.093*(L12^0.5)-0.0058*(M12^0.5))^2)*H12</f>
        <v>5134.0936739867466</v>
      </c>
      <c r="AA12" s="227">
        <f t="shared" si="4"/>
        <v>1154.7075947152323</v>
      </c>
      <c r="AB12" s="227">
        <f t="shared" si="0"/>
        <v>2379.0684306588073</v>
      </c>
      <c r="AC12" s="227">
        <f t="shared" si="1"/>
        <v>634.41824817568192</v>
      </c>
      <c r="AD12" s="227">
        <f t="shared" si="5"/>
        <v>6.9469904559162021</v>
      </c>
      <c r="AE12" s="228">
        <f t="shared" si="6"/>
        <v>2.4902190273447742</v>
      </c>
    </row>
    <row r="13" spans="1:31" x14ac:dyDescent="0.2">
      <c r="A13" s="207">
        <v>36</v>
      </c>
      <c r="B13" s="207" t="str">
        <f t="shared" si="7"/>
        <v>0.1, Tractor (40-59 hp) CB 2WD 50</v>
      </c>
      <c r="C13" s="155">
        <v>0.1</v>
      </c>
      <c r="D13" s="151" t="s">
        <v>436</v>
      </c>
      <c r="E13" s="151" t="s">
        <v>514</v>
      </c>
      <c r="F13" s="151" t="s">
        <v>157</v>
      </c>
      <c r="G13" s="151" t="str">
        <f t="shared" si="2"/>
        <v>Tractor (40-59 hp) CB 2WD 50</v>
      </c>
      <c r="H13" s="235">
        <v>32200</v>
      </c>
      <c r="I13" s="207">
        <v>2.5735999999999999</v>
      </c>
      <c r="J13" s="207">
        <v>20</v>
      </c>
      <c r="K13" s="207">
        <v>75</v>
      </c>
      <c r="L13" s="207">
        <v>14</v>
      </c>
      <c r="M13" s="207">
        <v>600</v>
      </c>
      <c r="N13" s="207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27">
        <f t="shared" ref="Z13:Z20" si="18">((0.981-0.093*(L13^0.5)-0.0058*(M13^0.5))^2)*H13</f>
        <v>7761.3998264025004</v>
      </c>
      <c r="AA13" s="227">
        <f t="shared" si="4"/>
        <v>1745.6142981141072</v>
      </c>
      <c r="AB13" s="227">
        <f t="shared" si="0"/>
        <v>3596.5259843762246</v>
      </c>
      <c r="AC13" s="227">
        <f t="shared" si="1"/>
        <v>959.07359583365997</v>
      </c>
      <c r="AD13" s="227">
        <f t="shared" si="5"/>
        <v>10.502023130539985</v>
      </c>
      <c r="AE13" s="228">
        <f t="shared" si="6"/>
        <v>3.7645564638733191</v>
      </c>
    </row>
    <row r="14" spans="1:31" x14ac:dyDescent="0.2">
      <c r="A14" s="207">
        <v>37</v>
      </c>
      <c r="B14" s="207" t="str">
        <f t="shared" si="7"/>
        <v>0.11, Tractor (40-59 hp) CB MFWD 50</v>
      </c>
      <c r="C14" s="155">
        <v>0.11</v>
      </c>
      <c r="D14" s="151" t="s">
        <v>436</v>
      </c>
      <c r="E14" s="151" t="s">
        <v>514</v>
      </c>
      <c r="F14" s="151" t="s">
        <v>156</v>
      </c>
      <c r="G14" s="151" t="str">
        <f t="shared" si="2"/>
        <v>Tractor (40-59 hp) CB MFWD 50</v>
      </c>
      <c r="H14" s="235">
        <v>39100</v>
      </c>
      <c r="I14" s="207">
        <v>2.5735999999999999</v>
      </c>
      <c r="J14" s="207">
        <v>20</v>
      </c>
      <c r="K14" s="207">
        <v>75</v>
      </c>
      <c r="L14" s="207">
        <v>14</v>
      </c>
      <c r="M14" s="207">
        <v>600</v>
      </c>
      <c r="N14" s="207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27">
        <f t="shared" si="18"/>
        <v>9424.556932060179</v>
      </c>
      <c r="AA14" s="227">
        <f t="shared" si="4"/>
        <v>2119.6745048528442</v>
      </c>
      <c r="AB14" s="227">
        <f t="shared" si="0"/>
        <v>4367.2101238854157</v>
      </c>
      <c r="AC14" s="227">
        <f t="shared" si="1"/>
        <v>1164.5893663694444</v>
      </c>
      <c r="AD14" s="227">
        <f t="shared" si="5"/>
        <v>12.752456658512841</v>
      </c>
      <c r="AE14" s="228">
        <f t="shared" si="6"/>
        <v>4.5712471347033166</v>
      </c>
    </row>
    <row r="15" spans="1:31" x14ac:dyDescent="0.2">
      <c r="A15" s="207">
        <v>1</v>
      </c>
      <c r="B15" s="207" t="str">
        <f t="shared" si="7"/>
        <v>0.12, Tractor (40-59 hp) RB 2WD 50</v>
      </c>
      <c r="C15" s="155">
        <v>0.12</v>
      </c>
      <c r="D15" s="151" t="s">
        <v>436</v>
      </c>
      <c r="E15" s="151" t="s">
        <v>515</v>
      </c>
      <c r="F15" s="151" t="s">
        <v>157</v>
      </c>
      <c r="G15" s="151" t="str">
        <f t="shared" si="2"/>
        <v>Tractor (40-59 hp) RB 2WD 50</v>
      </c>
      <c r="H15" s="235">
        <v>20900</v>
      </c>
      <c r="I15" s="207">
        <v>2.5735999999999999</v>
      </c>
      <c r="J15" s="207">
        <v>20</v>
      </c>
      <c r="K15" s="207">
        <v>75</v>
      </c>
      <c r="L15" s="207">
        <v>14</v>
      </c>
      <c r="M15" s="207">
        <v>600</v>
      </c>
      <c r="N15" s="207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27">
        <f t="shared" si="18"/>
        <v>5037.67876931094</v>
      </c>
      <c r="AA15" s="227">
        <f t="shared" si="4"/>
        <v>1133.0229450492186</v>
      </c>
      <c r="AB15" s="227">
        <f t="shared" si="0"/>
        <v>2334.3910892379845</v>
      </c>
      <c r="AC15" s="227">
        <f t="shared" si="1"/>
        <v>622.50429046346255</v>
      </c>
      <c r="AD15" s="227">
        <f t="shared" si="5"/>
        <v>6.8165305412511099</v>
      </c>
      <c r="AE15" s="228">
        <f t="shared" si="6"/>
        <v>2.4434543507749193</v>
      </c>
    </row>
    <row r="16" spans="1:31" x14ac:dyDescent="0.2">
      <c r="A16" s="207">
        <v>35</v>
      </c>
      <c r="B16" s="207" t="str">
        <f t="shared" si="7"/>
        <v>0.13, Tractor (40-59 hp) RB MFWD 50</v>
      </c>
      <c r="C16" s="155">
        <v>0.13</v>
      </c>
      <c r="D16" s="151" t="s">
        <v>436</v>
      </c>
      <c r="E16" s="151" t="s">
        <v>515</v>
      </c>
      <c r="F16" s="151" t="s">
        <v>156</v>
      </c>
      <c r="G16" s="151" t="str">
        <f t="shared" si="2"/>
        <v>Tractor (40-59 hp) RB MFWD 50</v>
      </c>
      <c r="H16" s="235">
        <v>24300</v>
      </c>
      <c r="I16" s="207">
        <v>2.5735999999999999</v>
      </c>
      <c r="J16" s="207">
        <v>20</v>
      </c>
      <c r="K16" s="207">
        <v>75</v>
      </c>
      <c r="L16" s="207">
        <v>14</v>
      </c>
      <c r="M16" s="207">
        <v>600</v>
      </c>
      <c r="N16" s="207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27">
        <f t="shared" si="18"/>
        <v>5857.2054590553025</v>
      </c>
      <c r="AA16" s="227">
        <f t="shared" si="4"/>
        <v>1317.3424672103356</v>
      </c>
      <c r="AB16" s="227">
        <f t="shared" si="0"/>
        <v>2714.148491314977</v>
      </c>
      <c r="AC16" s="227">
        <f t="shared" si="1"/>
        <v>723.77293101732721</v>
      </c>
      <c r="AD16" s="227">
        <f t="shared" si="5"/>
        <v>7.9254398159043999</v>
      </c>
      <c r="AE16" s="228">
        <f t="shared" si="6"/>
        <v>2.840954101618685</v>
      </c>
    </row>
    <row r="17" spans="1:31" x14ac:dyDescent="0.2">
      <c r="A17" s="207">
        <v>38</v>
      </c>
      <c r="B17" s="207" t="str">
        <f t="shared" si="7"/>
        <v>0.14, Tractor (60-89 hp) CB 2WD 75</v>
      </c>
      <c r="C17" s="155">
        <v>0.14000000000000001</v>
      </c>
      <c r="D17" s="151" t="s">
        <v>436</v>
      </c>
      <c r="E17" s="151" t="s">
        <v>516</v>
      </c>
      <c r="F17" s="151" t="s">
        <v>155</v>
      </c>
      <c r="G17" s="151" t="str">
        <f t="shared" si="2"/>
        <v>Tractor (60-89 hp) CB 2WD 75</v>
      </c>
      <c r="H17" s="235">
        <v>48300</v>
      </c>
      <c r="I17" s="207">
        <v>3.8603999999999998</v>
      </c>
      <c r="J17" s="207">
        <v>20</v>
      </c>
      <c r="K17" s="207">
        <v>75</v>
      </c>
      <c r="L17" s="207">
        <v>14</v>
      </c>
      <c r="M17" s="207">
        <v>600</v>
      </c>
      <c r="N17" s="207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27">
        <f t="shared" si="18"/>
        <v>11642.099739603751</v>
      </c>
      <c r="AA17" s="227">
        <f t="shared" si="4"/>
        <v>2618.4214471711607</v>
      </c>
      <c r="AB17" s="227">
        <f t="shared" si="0"/>
        <v>5394.7889765643376</v>
      </c>
      <c r="AC17" s="227">
        <f t="shared" si="1"/>
        <v>1438.6103937504899</v>
      </c>
      <c r="AD17" s="227">
        <f t="shared" si="5"/>
        <v>15.75303469580998</v>
      </c>
      <c r="AE17" s="228">
        <f t="shared" si="6"/>
        <v>5.6468346958099804</v>
      </c>
    </row>
    <row r="18" spans="1:31" x14ac:dyDescent="0.2">
      <c r="A18" s="207">
        <v>40</v>
      </c>
      <c r="B18" s="207" t="str">
        <f t="shared" si="7"/>
        <v>0.15, Tractor (60-89 hp) CB MFWD 75</v>
      </c>
      <c r="C18" s="155">
        <v>0.15</v>
      </c>
      <c r="D18" s="151" t="s">
        <v>436</v>
      </c>
      <c r="E18" s="151" t="s">
        <v>516</v>
      </c>
      <c r="F18" s="151" t="s">
        <v>154</v>
      </c>
      <c r="G18" s="151" t="str">
        <f t="shared" si="2"/>
        <v>Tractor (60-89 hp) CB MFWD 75</v>
      </c>
      <c r="H18" s="235">
        <v>54100</v>
      </c>
      <c r="I18" s="207">
        <v>3.8603999999999998</v>
      </c>
      <c r="J18" s="207">
        <v>20</v>
      </c>
      <c r="K18" s="207">
        <v>75</v>
      </c>
      <c r="L18" s="207">
        <v>14</v>
      </c>
      <c r="M18" s="207">
        <v>600</v>
      </c>
      <c r="N18" s="207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27">
        <f t="shared" si="18"/>
        <v>13040.115857402958</v>
      </c>
      <c r="AA18" s="227">
        <f t="shared" si="4"/>
        <v>2932.8488673283605</v>
      </c>
      <c r="AB18" s="227">
        <f t="shared" si="0"/>
        <v>6042.6104271662653</v>
      </c>
      <c r="AC18" s="227">
        <f t="shared" si="1"/>
        <v>1611.3627805776709</v>
      </c>
      <c r="AD18" s="227">
        <f t="shared" si="5"/>
        <v>17.644703458453826</v>
      </c>
      <c r="AE18" s="228">
        <f t="shared" si="6"/>
        <v>6.3249225060728715</v>
      </c>
    </row>
    <row r="19" spans="1:31" x14ac:dyDescent="0.2">
      <c r="A19" s="207">
        <v>2</v>
      </c>
      <c r="B19" s="207" t="str">
        <f t="shared" si="7"/>
        <v>0.16, Tractor (60-89 hp) RB 2WD 75</v>
      </c>
      <c r="C19" s="155">
        <v>0.16</v>
      </c>
      <c r="D19" s="151" t="s">
        <v>436</v>
      </c>
      <c r="E19" s="151" t="s">
        <v>517</v>
      </c>
      <c r="F19" s="151" t="s">
        <v>155</v>
      </c>
      <c r="G19" s="151" t="str">
        <f t="shared" si="2"/>
        <v>Tractor (60-89 hp) RB 2WD 75</v>
      </c>
      <c r="H19" s="235">
        <v>34400</v>
      </c>
      <c r="I19" s="207">
        <v>3.8603999999999998</v>
      </c>
      <c r="J19" s="207">
        <v>20</v>
      </c>
      <c r="K19" s="207">
        <v>75</v>
      </c>
      <c r="L19" s="207">
        <v>14</v>
      </c>
      <c r="M19" s="207">
        <v>600</v>
      </c>
      <c r="N19" s="207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27">
        <f t="shared" si="18"/>
        <v>8291.6818021194413</v>
      </c>
      <c r="AA19" s="227">
        <f t="shared" si="4"/>
        <v>1864.8798712771827</v>
      </c>
      <c r="AB19" s="227">
        <f t="shared" si="0"/>
        <v>3842.2513621907497</v>
      </c>
      <c r="AC19" s="227">
        <f t="shared" si="1"/>
        <v>1024.6003632508666</v>
      </c>
      <c r="AD19" s="227">
        <f t="shared" si="5"/>
        <v>11.219552661197998</v>
      </c>
      <c r="AE19" s="228">
        <f t="shared" si="6"/>
        <v>4.021762185007522</v>
      </c>
    </row>
    <row r="20" spans="1:31" x14ac:dyDescent="0.2">
      <c r="A20" s="207">
        <v>39</v>
      </c>
      <c r="B20" s="207" t="str">
        <f t="shared" si="7"/>
        <v>0.17, Tractor (60-89 hp) RB MFWD 75</v>
      </c>
      <c r="C20" s="155">
        <v>0.17</v>
      </c>
      <c r="D20" s="151" t="s">
        <v>436</v>
      </c>
      <c r="E20" s="151" t="s">
        <v>517</v>
      </c>
      <c r="F20" s="151" t="s">
        <v>154</v>
      </c>
      <c r="G20" s="151" t="str">
        <f t="shared" si="2"/>
        <v>Tractor (60-89 hp) RB MFWD 75</v>
      </c>
      <c r="H20" s="235">
        <v>35800</v>
      </c>
      <c r="I20" s="207">
        <v>3.8603999999999998</v>
      </c>
      <c r="J20" s="207">
        <v>20</v>
      </c>
      <c r="K20" s="207">
        <v>75</v>
      </c>
      <c r="L20" s="207">
        <v>14</v>
      </c>
      <c r="M20" s="207">
        <v>600</v>
      </c>
      <c r="N20" s="207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27">
        <f t="shared" si="18"/>
        <v>8629.133968484768</v>
      </c>
      <c r="AA20" s="227">
        <f t="shared" si="4"/>
        <v>1940.7761451082308</v>
      </c>
      <c r="AB20" s="227">
        <f t="shared" si="0"/>
        <v>3998.6220571636291</v>
      </c>
      <c r="AC20" s="227">
        <f t="shared" si="1"/>
        <v>1066.2992152436345</v>
      </c>
      <c r="AD20" s="227">
        <f t="shared" si="5"/>
        <v>11.676162362525824</v>
      </c>
      <c r="AE20" s="228">
        <f t="shared" si="6"/>
        <v>4.1854385530020153</v>
      </c>
    </row>
    <row r="21" spans="1:31" x14ac:dyDescent="0.2">
      <c r="A21" s="207">
        <v>42</v>
      </c>
      <c r="B21" s="207" t="str">
        <f t="shared" si="7"/>
        <v>0.18, Tractor (90-119 hp) CB 2WD 105</v>
      </c>
      <c r="C21" s="155">
        <v>0.18</v>
      </c>
      <c r="D21" s="151" t="s">
        <v>436</v>
      </c>
      <c r="E21" s="151" t="s">
        <v>518</v>
      </c>
      <c r="F21" s="151" t="s">
        <v>153</v>
      </c>
      <c r="G21" s="151" t="str">
        <f t="shared" si="2"/>
        <v>Tractor (90-119 hp) CB 2WD 105</v>
      </c>
      <c r="H21" s="235">
        <v>65300</v>
      </c>
      <c r="I21" s="207">
        <v>5.4046000000000003</v>
      </c>
      <c r="J21" s="207">
        <v>20</v>
      </c>
      <c r="K21" s="207">
        <v>60</v>
      </c>
      <c r="L21" s="207">
        <v>14</v>
      </c>
      <c r="M21" s="207">
        <v>600</v>
      </c>
      <c r="N21" s="207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27">
        <f>((0.942-0.1*(L21^0.5)-0.0008*(M21^0.5))^2)*H21</f>
        <v>19626.912859253018</v>
      </c>
      <c r="AA21" s="227">
        <f t="shared" si="4"/>
        <v>3262.3633671962129</v>
      </c>
      <c r="AB21" s="227">
        <f t="shared" si="0"/>
        <v>7643.4221573327713</v>
      </c>
      <c r="AC21" s="227">
        <f t="shared" si="1"/>
        <v>2038.2459086220724</v>
      </c>
      <c r="AD21" s="227">
        <f t="shared" si="5"/>
        <v>21.573385721918427</v>
      </c>
      <c r="AE21" s="228">
        <f t="shared" si="6"/>
        <v>7.9101381028708087</v>
      </c>
    </row>
    <row r="22" spans="1:31" x14ac:dyDescent="0.2">
      <c r="A22" s="207">
        <v>43</v>
      </c>
      <c r="B22" s="207" t="str">
        <f t="shared" si="7"/>
        <v>0.19, Tractor (90-119 hp) CB MFWD 105</v>
      </c>
      <c r="C22" s="155">
        <v>0.19</v>
      </c>
      <c r="D22" s="151" t="s">
        <v>436</v>
      </c>
      <c r="E22" s="151" t="s">
        <v>518</v>
      </c>
      <c r="F22" s="151" t="s">
        <v>152</v>
      </c>
      <c r="G22" s="151" t="str">
        <f t="shared" si="2"/>
        <v>Tractor (90-119 hp) CB MFWD 105</v>
      </c>
      <c r="H22" s="235">
        <v>77400</v>
      </c>
      <c r="I22" s="207">
        <v>5.4046000000000003</v>
      </c>
      <c r="J22" s="207">
        <v>20</v>
      </c>
      <c r="K22" s="207">
        <v>60</v>
      </c>
      <c r="L22" s="207">
        <v>14</v>
      </c>
      <c r="M22" s="207">
        <v>600</v>
      </c>
      <c r="N22" s="207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27">
        <f t="shared" ref="Z22:Z28" si="19">((0.942-0.1*(L22^0.5)-0.0008*(M22^0.5))^2)*H22</f>
        <v>23263.752761197298</v>
      </c>
      <c r="AA22" s="227">
        <f t="shared" si="4"/>
        <v>3866.8748027716215</v>
      </c>
      <c r="AB22" s="227">
        <f t="shared" si="0"/>
        <v>9059.7377485077577</v>
      </c>
      <c r="AC22" s="227">
        <f t="shared" si="1"/>
        <v>2415.9300662687356</v>
      </c>
      <c r="AD22" s="227">
        <f t="shared" si="5"/>
        <v>25.57090436258019</v>
      </c>
      <c r="AE22" s="228">
        <f t="shared" si="6"/>
        <v>9.3758757911516177</v>
      </c>
    </row>
    <row r="23" spans="1:31" x14ac:dyDescent="0.2">
      <c r="A23" s="207">
        <v>3</v>
      </c>
      <c r="B23" s="207" t="str">
        <f t="shared" si="7"/>
        <v>0.2, Tractor (90-119 hp) RB 2WD 105</v>
      </c>
      <c r="C23" s="155">
        <v>0.2</v>
      </c>
      <c r="D23" s="151" t="s">
        <v>436</v>
      </c>
      <c r="E23" s="151" t="s">
        <v>519</v>
      </c>
      <c r="F23" s="151" t="s">
        <v>153</v>
      </c>
      <c r="G23" s="151" t="str">
        <f t="shared" si="2"/>
        <v>Tractor (90-119 hp) RB 2WD 105</v>
      </c>
      <c r="H23" s="235">
        <v>57600</v>
      </c>
      <c r="I23" s="207">
        <v>5.4046000000000003</v>
      </c>
      <c r="J23" s="207">
        <v>20</v>
      </c>
      <c r="K23" s="207">
        <v>60</v>
      </c>
      <c r="L23" s="207">
        <v>14</v>
      </c>
      <c r="M23" s="207">
        <v>600</v>
      </c>
      <c r="N23" s="207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27">
        <f t="shared" si="19"/>
        <v>17312.560194379384</v>
      </c>
      <c r="AA23" s="227">
        <f t="shared" si="4"/>
        <v>2877.6742718300438</v>
      </c>
      <c r="AB23" s="227">
        <f t="shared" si="0"/>
        <v>6742.1304174941442</v>
      </c>
      <c r="AC23" s="227">
        <f t="shared" si="1"/>
        <v>1797.9014446651054</v>
      </c>
      <c r="AD23" s="227">
        <f t="shared" si="5"/>
        <v>19.029510223315491</v>
      </c>
      <c r="AE23" s="228">
        <f t="shared" si="6"/>
        <v>6.9773959376012034</v>
      </c>
    </row>
    <row r="24" spans="1:31" x14ac:dyDescent="0.2">
      <c r="A24" s="207">
        <v>41</v>
      </c>
      <c r="B24" s="207" t="str">
        <f t="shared" si="7"/>
        <v>0.21, Tractor (90-119 hp) RB MFWD 105</v>
      </c>
      <c r="C24" s="155">
        <v>0.21</v>
      </c>
      <c r="D24" s="151" t="s">
        <v>436</v>
      </c>
      <c r="E24" s="151" t="s">
        <v>519</v>
      </c>
      <c r="F24" s="151" t="s">
        <v>152</v>
      </c>
      <c r="G24" s="151" t="str">
        <f t="shared" si="2"/>
        <v>Tractor (90-119 hp) RB MFWD 105</v>
      </c>
      <c r="H24" s="235">
        <v>62100</v>
      </c>
      <c r="I24" s="207">
        <v>5.4046000000000003</v>
      </c>
      <c r="J24" s="207">
        <v>20</v>
      </c>
      <c r="K24" s="207">
        <v>60</v>
      </c>
      <c r="L24" s="207">
        <v>14</v>
      </c>
      <c r="M24" s="207">
        <v>600</v>
      </c>
      <c r="N24" s="207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27">
        <f t="shared" si="19"/>
        <v>18665.103959565273</v>
      </c>
      <c r="AA24" s="227">
        <f t="shared" si="4"/>
        <v>3102.4925743167664</v>
      </c>
      <c r="AB24" s="227">
        <f t="shared" si="0"/>
        <v>7268.8593563608738</v>
      </c>
      <c r="AC24" s="227">
        <f t="shared" si="1"/>
        <v>1938.3624950295664</v>
      </c>
      <c r="AD24" s="227">
        <f t="shared" si="5"/>
        <v>20.51619070951201</v>
      </c>
      <c r="AE24" s="228">
        <f t="shared" si="6"/>
        <v>7.5225049952262957</v>
      </c>
    </row>
    <row r="25" spans="1:31" x14ac:dyDescent="0.2">
      <c r="A25" s="207">
        <v>4</v>
      </c>
      <c r="B25" s="207" t="str">
        <f t="shared" si="7"/>
        <v>0.22, Tractor (120-139 hp) CB 2WD 130</v>
      </c>
      <c r="C25" s="155">
        <v>0.22</v>
      </c>
      <c r="D25" s="151" t="s">
        <v>436</v>
      </c>
      <c r="E25" s="151" t="s">
        <v>520</v>
      </c>
      <c r="F25" s="151" t="s">
        <v>151</v>
      </c>
      <c r="G25" s="151" t="str">
        <f t="shared" si="2"/>
        <v>Tractor (120-139 hp) CB 2WD 130</v>
      </c>
      <c r="H25" s="235">
        <v>177000</v>
      </c>
      <c r="I25" s="207">
        <v>6.6913999999999998</v>
      </c>
      <c r="J25" s="207">
        <v>20</v>
      </c>
      <c r="K25" s="207">
        <v>60</v>
      </c>
      <c r="L25" s="207">
        <v>14</v>
      </c>
      <c r="M25" s="207">
        <v>600</v>
      </c>
      <c r="N25" s="207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27">
        <f t="shared" si="19"/>
        <v>53200.054763978318</v>
      </c>
      <c r="AA25" s="227">
        <f t="shared" si="4"/>
        <v>8842.8532311444051</v>
      </c>
      <c r="AB25" s="227">
        <f t="shared" si="0"/>
        <v>20718.004928758048</v>
      </c>
      <c r="AC25" s="227">
        <f t="shared" si="1"/>
        <v>5524.8013143354801</v>
      </c>
      <c r="AD25" s="227">
        <f t="shared" si="5"/>
        <v>58.476099123729895</v>
      </c>
      <c r="AE25" s="228">
        <f t="shared" si="6"/>
        <v>21.440956266587037</v>
      </c>
    </row>
    <row r="26" spans="1:31" x14ac:dyDescent="0.2">
      <c r="A26" s="207">
        <v>44</v>
      </c>
      <c r="B26" s="207" t="str">
        <f t="shared" si="7"/>
        <v>0.23, Tractor (120-139 hp) CB MFWD 130</v>
      </c>
      <c r="C26" s="155">
        <v>0.23</v>
      </c>
      <c r="D26" s="151" t="s">
        <v>436</v>
      </c>
      <c r="E26" s="151" t="s">
        <v>520</v>
      </c>
      <c r="F26" s="151" t="s">
        <v>150</v>
      </c>
      <c r="G26" s="151" t="str">
        <f t="shared" si="2"/>
        <v>Tractor (120-139 hp) CB MFWD 130</v>
      </c>
      <c r="H26" s="235">
        <v>123000</v>
      </c>
      <c r="I26" s="207">
        <v>6.6913999999999998</v>
      </c>
      <c r="J26" s="207">
        <v>20</v>
      </c>
      <c r="K26" s="207">
        <v>60</v>
      </c>
      <c r="L26" s="207">
        <v>14</v>
      </c>
      <c r="M26" s="207">
        <v>600</v>
      </c>
      <c r="N26" s="207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27">
        <f t="shared" si="19"/>
        <v>36969.529581747644</v>
      </c>
      <c r="AA26" s="227">
        <f t="shared" si="4"/>
        <v>6145.0336013037395</v>
      </c>
      <c r="AB26" s="227">
        <f t="shared" si="0"/>
        <v>14397.25766235729</v>
      </c>
      <c r="AC26" s="227">
        <f t="shared" si="1"/>
        <v>3839.2687099619438</v>
      </c>
      <c r="AD26" s="227">
        <f t="shared" si="5"/>
        <v>40.635933289371614</v>
      </c>
      <c r="AE26" s="228">
        <f t="shared" si="6"/>
        <v>14.899647575085901</v>
      </c>
    </row>
    <row r="27" spans="1:31" x14ac:dyDescent="0.2">
      <c r="A27" s="207">
        <v>5</v>
      </c>
      <c r="B27" s="207" t="str">
        <f t="shared" si="7"/>
        <v>0.24, Tractor (140-159 hp) CB 2WD 150</v>
      </c>
      <c r="C27" s="155">
        <v>0.24</v>
      </c>
      <c r="D27" s="151" t="s">
        <v>436</v>
      </c>
      <c r="E27" s="151" t="s">
        <v>521</v>
      </c>
      <c r="F27" s="151" t="s">
        <v>149</v>
      </c>
      <c r="G27" s="151" t="str">
        <f t="shared" si="2"/>
        <v>Tractor (140-159 hp) CB 2WD 150</v>
      </c>
      <c r="H27" s="235">
        <v>140000</v>
      </c>
      <c r="I27" s="207">
        <v>7.7209000000000003</v>
      </c>
      <c r="J27" s="207">
        <v>20</v>
      </c>
      <c r="K27" s="207">
        <v>60</v>
      </c>
      <c r="L27" s="207">
        <v>14</v>
      </c>
      <c r="M27" s="207">
        <v>600</v>
      </c>
      <c r="N27" s="207">
        <v>0</v>
      </c>
      <c r="O27" s="11">
        <f t="shared" si="8"/>
        <v>8400</v>
      </c>
      <c r="P27" s="11">
        <v>1</v>
      </c>
      <c r="Q27" s="8">
        <f t="shared" si="9"/>
        <v>6000</v>
      </c>
      <c r="R27" s="7">
        <f t="shared" si="10"/>
        <v>10</v>
      </c>
      <c r="S27" s="2">
        <f t="shared" si="11"/>
        <v>28000</v>
      </c>
      <c r="T27" s="2">
        <f t="shared" si="12"/>
        <v>8000</v>
      </c>
      <c r="U27" s="2">
        <f t="shared" si="13"/>
        <v>84000</v>
      </c>
      <c r="V27" s="6">
        <f t="shared" si="14"/>
        <v>7560</v>
      </c>
      <c r="W27" s="6">
        <f t="shared" si="15"/>
        <v>2016</v>
      </c>
      <c r="X27" s="6">
        <f t="shared" si="16"/>
        <v>17576</v>
      </c>
      <c r="Y27" s="5">
        <f t="shared" si="17"/>
        <v>29.293333333333333</v>
      </c>
      <c r="Z27" s="227">
        <f t="shared" si="19"/>
        <v>42079.139361338785</v>
      </c>
      <c r="AA27" s="227">
        <f t="shared" si="4"/>
        <v>6994.3471884758019</v>
      </c>
      <c r="AB27" s="227">
        <f t="shared" si="0"/>
        <v>16387.12254252049</v>
      </c>
      <c r="AC27" s="227">
        <f t="shared" si="1"/>
        <v>4369.8993446721306</v>
      </c>
      <c r="AD27" s="227">
        <f t="shared" si="5"/>
        <v>46.252281792780707</v>
      </c>
      <c r="AE27" s="228">
        <f t="shared" si="6"/>
        <v>16.958948459447374</v>
      </c>
    </row>
    <row r="28" spans="1:31" x14ac:dyDescent="0.2">
      <c r="A28" s="207">
        <v>18</v>
      </c>
      <c r="B28" s="207" t="str">
        <f t="shared" si="7"/>
        <v>0.25, Tractor (140-159 hp) CB MFWD 150</v>
      </c>
      <c r="C28" s="155">
        <v>0.25</v>
      </c>
      <c r="D28" s="151" t="s">
        <v>436</v>
      </c>
      <c r="E28" s="151" t="s">
        <v>521</v>
      </c>
      <c r="F28" s="151" t="s">
        <v>148</v>
      </c>
      <c r="G28" s="151" t="str">
        <f t="shared" si="2"/>
        <v>Tractor (140-159 hp) CB MFWD 150</v>
      </c>
      <c r="H28" s="235">
        <v>143000</v>
      </c>
      <c r="I28" s="207">
        <v>7.7209000000000003</v>
      </c>
      <c r="J28" s="207">
        <v>20</v>
      </c>
      <c r="K28" s="207">
        <v>60</v>
      </c>
      <c r="L28" s="207">
        <v>14</v>
      </c>
      <c r="M28" s="207">
        <v>600</v>
      </c>
      <c r="N28" s="207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27">
        <f t="shared" si="19"/>
        <v>42980.835204796043</v>
      </c>
      <c r="AA28" s="227">
        <f t="shared" si="4"/>
        <v>7144.2260568002821</v>
      </c>
      <c r="AB28" s="227">
        <f t="shared" si="0"/>
        <v>16738.275168431643</v>
      </c>
      <c r="AC28" s="227">
        <f t="shared" si="1"/>
        <v>4463.5400449151057</v>
      </c>
      <c r="AD28" s="227">
        <f t="shared" si="5"/>
        <v>47.243402116911717</v>
      </c>
      <c r="AE28" s="228">
        <f t="shared" si="6"/>
        <v>17.322354497864094</v>
      </c>
    </row>
    <row r="29" spans="1:31" x14ac:dyDescent="0.2">
      <c r="A29" s="207">
        <v>6</v>
      </c>
      <c r="B29" s="207" t="str">
        <f t="shared" si="7"/>
        <v>0.26, Tractor (160-179 hp) CB 2WD 170</v>
      </c>
      <c r="C29" s="155">
        <v>0.26</v>
      </c>
      <c r="D29" s="151" t="s">
        <v>436</v>
      </c>
      <c r="E29" s="151" t="s">
        <v>522</v>
      </c>
      <c r="F29" s="151" t="s">
        <v>147</v>
      </c>
      <c r="G29" s="151" t="str">
        <f t="shared" si="2"/>
        <v>Tractor (160-179 hp) CB 2WD 170</v>
      </c>
      <c r="H29" s="235">
        <v>167000</v>
      </c>
      <c r="I29" s="207">
        <v>8.7502999999999993</v>
      </c>
      <c r="J29" s="207">
        <v>20</v>
      </c>
      <c r="K29" s="207">
        <v>60</v>
      </c>
      <c r="L29" s="207">
        <v>14</v>
      </c>
      <c r="M29" s="207">
        <v>600</v>
      </c>
      <c r="N29" s="207">
        <v>0</v>
      </c>
      <c r="O29" s="11">
        <f t="shared" si="8"/>
        <v>8400</v>
      </c>
      <c r="P29" s="11">
        <v>1</v>
      </c>
      <c r="Q29" s="8">
        <f t="shared" si="9"/>
        <v>7157.1428571428569</v>
      </c>
      <c r="R29" s="7">
        <f t="shared" si="10"/>
        <v>11.928571428571429</v>
      </c>
      <c r="S29" s="2">
        <f t="shared" si="11"/>
        <v>33400</v>
      </c>
      <c r="T29" s="2">
        <f t="shared" si="12"/>
        <v>9542.8571428571431</v>
      </c>
      <c r="U29" s="2">
        <f t="shared" si="13"/>
        <v>100200</v>
      </c>
      <c r="V29" s="6">
        <f t="shared" si="14"/>
        <v>9018</v>
      </c>
      <c r="W29" s="6">
        <f t="shared" si="15"/>
        <v>2404.8000000000002</v>
      </c>
      <c r="X29" s="6">
        <f t="shared" si="16"/>
        <v>20965.657142857144</v>
      </c>
      <c r="Y29" s="5">
        <f t="shared" si="17"/>
        <v>34.942761904761909</v>
      </c>
      <c r="Z29" s="227">
        <f>((0.976-0.119*(L29^0.5)-0.0019*(M29^0.5))^2)*H29</f>
        <v>39153.488666964106</v>
      </c>
      <c r="AA29" s="227">
        <f t="shared" si="4"/>
        <v>9131.893666645421</v>
      </c>
      <c r="AB29" s="227">
        <f t="shared" si="0"/>
        <v>18553.813980026771</v>
      </c>
      <c r="AC29" s="227">
        <f t="shared" si="1"/>
        <v>4947.6837280071386</v>
      </c>
      <c r="AD29" s="227">
        <f t="shared" si="5"/>
        <v>54.388985624465548</v>
      </c>
      <c r="AE29" s="228">
        <f t="shared" si="6"/>
        <v>19.446223719703639</v>
      </c>
    </row>
    <row r="30" spans="1:31" x14ac:dyDescent="0.2">
      <c r="A30" s="207">
        <v>19</v>
      </c>
      <c r="B30" s="207" t="str">
        <f t="shared" si="7"/>
        <v>0.27, Tractor (160-179 hp) CB MFWD 170</v>
      </c>
      <c r="C30" s="155">
        <v>0.27</v>
      </c>
      <c r="D30" s="151" t="s">
        <v>436</v>
      </c>
      <c r="E30" s="151" t="s">
        <v>522</v>
      </c>
      <c r="F30" s="151" t="s">
        <v>146</v>
      </c>
      <c r="G30" s="151" t="str">
        <f t="shared" si="2"/>
        <v>Tractor (160-179 hp) CB MFWD 170</v>
      </c>
      <c r="H30" s="235">
        <v>170000</v>
      </c>
      <c r="I30" s="207">
        <v>8.7502999999999993</v>
      </c>
      <c r="J30" s="207">
        <v>20</v>
      </c>
      <c r="K30" s="207">
        <v>60</v>
      </c>
      <c r="L30" s="207">
        <v>14</v>
      </c>
      <c r="M30" s="207">
        <v>600</v>
      </c>
      <c r="N30" s="207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27">
        <f t="shared" ref="Z30:Z40" si="20">((0.976-0.119*(L30^0.5)-0.0019*(M30^0.5))^2)*H30</f>
        <v>39856.844750801785</v>
      </c>
      <c r="AA30" s="227">
        <f t="shared" si="4"/>
        <v>9295.9396606570153</v>
      </c>
      <c r="AB30" s="227">
        <f t="shared" si="0"/>
        <v>18887.11602757216</v>
      </c>
      <c r="AC30" s="227">
        <f t="shared" si="1"/>
        <v>5036.5642740192434</v>
      </c>
      <c r="AD30" s="227">
        <f t="shared" si="5"/>
        <v>55.366033270414036</v>
      </c>
      <c r="AE30" s="228">
        <f t="shared" si="6"/>
        <v>19.795557079937844</v>
      </c>
    </row>
    <row r="31" spans="1:31" x14ac:dyDescent="0.2">
      <c r="A31" s="207">
        <v>21</v>
      </c>
      <c r="B31" s="207" t="str">
        <f t="shared" si="7"/>
        <v>0.28, Tractor (180-199 hp) CB MFWD 190</v>
      </c>
      <c r="C31" s="155">
        <v>0.28000000000000003</v>
      </c>
      <c r="D31" s="151" t="s">
        <v>436</v>
      </c>
      <c r="E31" s="151" t="s">
        <v>523</v>
      </c>
      <c r="F31" s="151" t="s">
        <v>145</v>
      </c>
      <c r="G31" s="151" t="str">
        <f t="shared" si="2"/>
        <v>Tractor (180-199 hp) CB MFWD 190</v>
      </c>
      <c r="H31" s="235">
        <v>186000</v>
      </c>
      <c r="I31" s="207">
        <v>9.7797999999999998</v>
      </c>
      <c r="J31" s="207">
        <v>20</v>
      </c>
      <c r="K31" s="207">
        <v>60</v>
      </c>
      <c r="L31" s="207">
        <v>14</v>
      </c>
      <c r="M31" s="207">
        <v>600</v>
      </c>
      <c r="N31" s="207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27">
        <f t="shared" si="20"/>
        <v>43608.077197936072</v>
      </c>
      <c r="AA31" s="227">
        <f t="shared" si="4"/>
        <v>10170.851628718852</v>
      </c>
      <c r="AB31" s="227">
        <f t="shared" si="0"/>
        <v>20664.726947814244</v>
      </c>
      <c r="AC31" s="227">
        <f t="shared" si="1"/>
        <v>5510.5938527504659</v>
      </c>
      <c r="AD31" s="227">
        <f t="shared" si="5"/>
        <v>60.576954048805931</v>
      </c>
      <c r="AE31" s="228">
        <f t="shared" si="6"/>
        <v>21.658668334520215</v>
      </c>
    </row>
    <row r="32" spans="1:31" x14ac:dyDescent="0.2">
      <c r="A32" s="207">
        <v>9</v>
      </c>
      <c r="B32" s="207" t="str">
        <f t="shared" si="7"/>
        <v>0.29, Tractor (200-249 hp) CB MFWD 225</v>
      </c>
      <c r="C32" s="155">
        <v>0.28999999999999998</v>
      </c>
      <c r="D32" s="151" t="s">
        <v>436</v>
      </c>
      <c r="E32" s="151" t="s">
        <v>524</v>
      </c>
      <c r="F32" s="151" t="s">
        <v>144</v>
      </c>
      <c r="G32" s="151" t="str">
        <f t="shared" si="2"/>
        <v>Tractor (200-249 hp) CB MFWD 225</v>
      </c>
      <c r="H32" s="235">
        <v>218000</v>
      </c>
      <c r="I32" s="207">
        <v>11.581300000000001</v>
      </c>
      <c r="J32" s="207">
        <v>20</v>
      </c>
      <c r="K32" s="207">
        <v>60</v>
      </c>
      <c r="L32" s="207">
        <v>14</v>
      </c>
      <c r="M32" s="207">
        <v>600</v>
      </c>
      <c r="N32" s="207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27">
        <f t="shared" si="20"/>
        <v>51110.54209220464</v>
      </c>
      <c r="AA32" s="227">
        <f t="shared" si="4"/>
        <v>11920.675564842526</v>
      </c>
      <c r="AB32" s="227">
        <f t="shared" si="0"/>
        <v>24219.948788298414</v>
      </c>
      <c r="AC32" s="227">
        <f t="shared" si="1"/>
        <v>6458.6530102129109</v>
      </c>
      <c r="AD32" s="227">
        <f t="shared" si="5"/>
        <v>70.998795605589748</v>
      </c>
      <c r="AE32" s="228">
        <f t="shared" si="6"/>
        <v>25.384890843684985</v>
      </c>
    </row>
    <row r="33" spans="1:31" x14ac:dyDescent="0.2">
      <c r="A33" s="207">
        <v>22</v>
      </c>
      <c r="B33" s="207" t="str">
        <f t="shared" si="7"/>
        <v>0.3, Tractor (200-249 hp) CB Track 225</v>
      </c>
      <c r="C33" s="155">
        <v>0.3</v>
      </c>
      <c r="D33" s="151" t="s">
        <v>436</v>
      </c>
      <c r="E33" s="151" t="s">
        <v>524</v>
      </c>
      <c r="F33" s="151" t="s">
        <v>143</v>
      </c>
      <c r="G33" s="151" t="str">
        <f t="shared" si="2"/>
        <v>Tractor (200-249 hp) CB Track 225</v>
      </c>
      <c r="H33" s="235">
        <v>222000</v>
      </c>
      <c r="I33" s="207">
        <v>11.581300000000001</v>
      </c>
      <c r="J33" s="207">
        <v>20</v>
      </c>
      <c r="K33" s="207">
        <v>60</v>
      </c>
      <c r="L33" s="207">
        <v>14</v>
      </c>
      <c r="M33" s="207">
        <v>600</v>
      </c>
      <c r="N33" s="207">
        <v>0</v>
      </c>
      <c r="O33" s="11">
        <f t="shared" si="8"/>
        <v>8400</v>
      </c>
      <c r="P33" s="11">
        <v>1</v>
      </c>
      <c r="Q33" s="8">
        <f t="shared" si="9"/>
        <v>9514.2857142857138</v>
      </c>
      <c r="R33" s="7">
        <f t="shared" si="10"/>
        <v>15.857142857142856</v>
      </c>
      <c r="S33" s="2">
        <f t="shared" si="11"/>
        <v>44400</v>
      </c>
      <c r="T33" s="2">
        <f t="shared" si="12"/>
        <v>12685.714285714286</v>
      </c>
      <c r="U33" s="2">
        <f t="shared" si="13"/>
        <v>133200</v>
      </c>
      <c r="V33" s="6">
        <f t="shared" si="14"/>
        <v>11988</v>
      </c>
      <c r="W33" s="6">
        <f t="shared" si="15"/>
        <v>3196.8</v>
      </c>
      <c r="X33" s="6">
        <f t="shared" si="16"/>
        <v>27870.514285714286</v>
      </c>
      <c r="Y33" s="5">
        <f t="shared" si="17"/>
        <v>46.450857142857146</v>
      </c>
      <c r="Z33" s="227">
        <f t="shared" si="20"/>
        <v>52048.350203988208</v>
      </c>
      <c r="AA33" s="227">
        <f t="shared" si="4"/>
        <v>12139.403556857986</v>
      </c>
      <c r="AB33" s="227">
        <f t="shared" si="0"/>
        <v>24664.351518358937</v>
      </c>
      <c r="AC33" s="227">
        <f t="shared" si="1"/>
        <v>6577.160404895717</v>
      </c>
      <c r="AD33" s="227">
        <f t="shared" si="5"/>
        <v>72.301525800187719</v>
      </c>
      <c r="AE33" s="228">
        <f t="shared" si="6"/>
        <v>25.850668657330573</v>
      </c>
    </row>
    <row r="34" spans="1:31" x14ac:dyDescent="0.2">
      <c r="A34" s="207">
        <v>23</v>
      </c>
      <c r="B34" s="207" t="str">
        <f t="shared" si="7"/>
        <v>0.31, Tractor (250-349 hp) CB 4WD 300</v>
      </c>
      <c r="C34" s="155">
        <v>0.31</v>
      </c>
      <c r="D34" s="151" t="s">
        <v>436</v>
      </c>
      <c r="E34" s="151" t="s">
        <v>525</v>
      </c>
      <c r="F34" s="151" t="s">
        <v>142</v>
      </c>
      <c r="G34" s="151" t="str">
        <f t="shared" si="2"/>
        <v>Tractor (250-349 hp) CB 4WD 300</v>
      </c>
      <c r="H34" s="235">
        <v>281000</v>
      </c>
      <c r="I34" s="207">
        <v>15.441800000000001</v>
      </c>
      <c r="J34" s="207">
        <v>20</v>
      </c>
      <c r="K34" s="207">
        <v>60</v>
      </c>
      <c r="L34" s="207">
        <v>14</v>
      </c>
      <c r="M34" s="207">
        <v>600</v>
      </c>
      <c r="N34" s="207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27">
        <f t="shared" si="20"/>
        <v>65881.019852795886</v>
      </c>
      <c r="AA34" s="227">
        <f t="shared" si="4"/>
        <v>15365.64143908601</v>
      </c>
      <c r="AB34" s="227">
        <f t="shared" si="0"/>
        <v>31219.291786751626</v>
      </c>
      <c r="AC34" s="227">
        <f t="shared" si="1"/>
        <v>8325.1444764671014</v>
      </c>
      <c r="AD34" s="227">
        <f t="shared" si="5"/>
        <v>91.516796170507902</v>
      </c>
      <c r="AE34" s="228">
        <f t="shared" si="6"/>
        <v>32.720891408603144</v>
      </c>
    </row>
    <row r="35" spans="1:31" x14ac:dyDescent="0.2">
      <c r="A35" s="207">
        <v>61</v>
      </c>
      <c r="B35" s="207" t="str">
        <f t="shared" si="7"/>
        <v>0.32, Tractor (250-349 hp) CB MFWD 300</v>
      </c>
      <c r="C35" s="155">
        <v>0.32</v>
      </c>
      <c r="D35" s="151" t="s">
        <v>436</v>
      </c>
      <c r="E35" s="151" t="s">
        <v>525</v>
      </c>
      <c r="F35" s="151" t="s">
        <v>141</v>
      </c>
      <c r="G35" s="151" t="str">
        <f t="shared" si="2"/>
        <v>Tractor (250-349 hp) CB MFWD 300</v>
      </c>
      <c r="H35" s="235">
        <v>297000</v>
      </c>
      <c r="I35" s="207">
        <v>15.441800000000001</v>
      </c>
      <c r="J35" s="207">
        <v>20</v>
      </c>
      <c r="K35" s="207">
        <v>60</v>
      </c>
      <c r="L35" s="207">
        <v>14</v>
      </c>
      <c r="M35" s="207">
        <v>600</v>
      </c>
      <c r="N35" s="207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27">
        <f t="shared" si="20"/>
        <v>69632.252299930173</v>
      </c>
      <c r="AA35" s="227">
        <f t="shared" si="4"/>
        <v>16240.553407147845</v>
      </c>
      <c r="AB35" s="227">
        <f t="shared" si="0"/>
        <v>32996.902706993715</v>
      </c>
      <c r="AC35" s="227">
        <f t="shared" si="1"/>
        <v>8799.1740551983257</v>
      </c>
      <c r="AD35" s="227">
        <f t="shared" si="5"/>
        <v>96.727716948899811</v>
      </c>
      <c r="AE35" s="228">
        <f t="shared" si="6"/>
        <v>34.584002663185522</v>
      </c>
    </row>
    <row r="36" spans="1:31" x14ac:dyDescent="0.2">
      <c r="A36" s="207">
        <v>24</v>
      </c>
      <c r="B36" s="207" t="str">
        <f t="shared" si="7"/>
        <v>0.33, Tractor (250-349 hp) CB Track 300</v>
      </c>
      <c r="C36" s="155">
        <v>0.33</v>
      </c>
      <c r="D36" s="151" t="s">
        <v>436</v>
      </c>
      <c r="E36" s="151" t="s">
        <v>525</v>
      </c>
      <c r="F36" s="151" t="s">
        <v>140</v>
      </c>
      <c r="G36" s="151" t="str">
        <f t="shared" si="2"/>
        <v>Tractor (250-349 hp) CB Track 300</v>
      </c>
      <c r="H36" s="235">
        <v>292000</v>
      </c>
      <c r="I36" s="207">
        <v>15.441800000000001</v>
      </c>
      <c r="J36" s="207">
        <v>20</v>
      </c>
      <c r="K36" s="207">
        <v>60</v>
      </c>
      <c r="L36" s="207">
        <v>14</v>
      </c>
      <c r="M36" s="207">
        <v>600</v>
      </c>
      <c r="N36" s="207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27">
        <f t="shared" si="20"/>
        <v>68459.992160200709</v>
      </c>
      <c r="AA36" s="227">
        <f t="shared" si="4"/>
        <v>15967.14341712852</v>
      </c>
      <c r="AB36" s="227">
        <f t="shared" si="0"/>
        <v>32441.399294418065</v>
      </c>
      <c r="AC36" s="227">
        <f t="shared" si="1"/>
        <v>8651.0398118448175</v>
      </c>
      <c r="AD36" s="227">
        <f t="shared" si="5"/>
        <v>95.099304205652345</v>
      </c>
      <c r="AE36" s="228">
        <f t="shared" si="6"/>
        <v>34.001780396128538</v>
      </c>
    </row>
    <row r="37" spans="1:31" x14ac:dyDescent="0.2">
      <c r="A37" s="207">
        <v>25</v>
      </c>
      <c r="B37" s="207" t="str">
        <f t="shared" si="7"/>
        <v>0.34, Tractor (350-449 hp) CB 4WD 400</v>
      </c>
      <c r="C37" s="155">
        <v>0.34</v>
      </c>
      <c r="D37" s="151" t="s">
        <v>436</v>
      </c>
      <c r="E37" s="151" t="s">
        <v>526</v>
      </c>
      <c r="F37" s="151" t="s">
        <v>139</v>
      </c>
      <c r="G37" s="151" t="str">
        <f t="shared" si="2"/>
        <v>Tractor (350-449 hp) CB 4WD 400</v>
      </c>
      <c r="H37" s="235">
        <v>325000</v>
      </c>
      <c r="I37" s="207">
        <v>20.588999999999999</v>
      </c>
      <c r="J37" s="207">
        <v>20</v>
      </c>
      <c r="K37" s="207">
        <v>60</v>
      </c>
      <c r="L37" s="207">
        <v>14</v>
      </c>
      <c r="M37" s="207">
        <v>600</v>
      </c>
      <c r="N37" s="207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27">
        <f t="shared" si="20"/>
        <v>76196.909082415179</v>
      </c>
      <c r="AA37" s="227">
        <f t="shared" si="4"/>
        <v>17771.649351256059</v>
      </c>
      <c r="AB37" s="227">
        <f t="shared" si="0"/>
        <v>36107.721817417361</v>
      </c>
      <c r="AC37" s="227">
        <f t="shared" si="1"/>
        <v>9628.7258179779637</v>
      </c>
      <c r="AD37" s="227">
        <f t="shared" si="5"/>
        <v>105.84682831108563</v>
      </c>
      <c r="AE37" s="228">
        <f t="shared" si="6"/>
        <v>37.84444735870467</v>
      </c>
    </row>
    <row r="38" spans="1:31" x14ac:dyDescent="0.2">
      <c r="A38" s="207">
        <v>26</v>
      </c>
      <c r="B38" s="207" t="str">
        <f t="shared" si="7"/>
        <v>0.35, Tractor (350-449 hp) CB Track 400</v>
      </c>
      <c r="C38" s="155">
        <v>0.35</v>
      </c>
      <c r="D38" s="151" t="s">
        <v>436</v>
      </c>
      <c r="E38" s="151" t="s">
        <v>526</v>
      </c>
      <c r="F38" s="151" t="s">
        <v>138</v>
      </c>
      <c r="G38" s="151" t="str">
        <f t="shared" si="2"/>
        <v>Tractor (350-449 hp) CB Track 400</v>
      </c>
      <c r="H38" s="235">
        <v>351000</v>
      </c>
      <c r="I38" s="207">
        <v>20.588999999999999</v>
      </c>
      <c r="J38" s="207">
        <v>20</v>
      </c>
      <c r="K38" s="207">
        <v>60</v>
      </c>
      <c r="L38" s="207">
        <v>14</v>
      </c>
      <c r="M38" s="207">
        <v>600</v>
      </c>
      <c r="N38" s="207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27">
        <f t="shared" si="20"/>
        <v>82292.661809008394</v>
      </c>
      <c r="AA38" s="227">
        <f t="shared" si="4"/>
        <v>19193.381299356544</v>
      </c>
      <c r="AB38" s="227">
        <f t="shared" si="0"/>
        <v>38996.339562810754</v>
      </c>
      <c r="AC38" s="227">
        <f t="shared" si="1"/>
        <v>10399.023883416201</v>
      </c>
      <c r="AD38" s="227">
        <f t="shared" si="5"/>
        <v>114.31457457597251</v>
      </c>
      <c r="AE38" s="228">
        <f t="shared" si="6"/>
        <v>40.872003147401088</v>
      </c>
    </row>
    <row r="39" spans="1:31" x14ac:dyDescent="0.2">
      <c r="A39" s="207">
        <v>56</v>
      </c>
      <c r="B39" s="207" t="str">
        <f t="shared" si="7"/>
        <v>0.36, Tractor (450-550 hp) CB 4WD 500</v>
      </c>
      <c r="C39" s="155">
        <v>0.36</v>
      </c>
      <c r="D39" s="151" t="s">
        <v>436</v>
      </c>
      <c r="E39" s="151" t="s">
        <v>527</v>
      </c>
      <c r="F39" s="151" t="s">
        <v>137</v>
      </c>
      <c r="G39" s="151" t="str">
        <f t="shared" si="2"/>
        <v>Tractor (450-550 hp) CB 4WD 500</v>
      </c>
      <c r="H39" s="235">
        <v>359000</v>
      </c>
      <c r="I39" s="207">
        <v>25.736000000000001</v>
      </c>
      <c r="J39" s="207">
        <v>20</v>
      </c>
      <c r="K39" s="207">
        <v>60</v>
      </c>
      <c r="L39" s="207">
        <v>14</v>
      </c>
      <c r="M39" s="207">
        <v>600</v>
      </c>
      <c r="N39" s="207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27">
        <f t="shared" si="20"/>
        <v>84168.27803257553</v>
      </c>
      <c r="AA39" s="227">
        <f t="shared" si="4"/>
        <v>19630.837283387464</v>
      </c>
      <c r="AB39" s="227">
        <f t="shared" si="0"/>
        <v>39885.145022931792</v>
      </c>
      <c r="AC39" s="227">
        <f t="shared" si="1"/>
        <v>10636.038672781813</v>
      </c>
      <c r="AD39" s="227">
        <f t="shared" si="5"/>
        <v>116.92003496516845</v>
      </c>
      <c r="AE39" s="228">
        <f t="shared" si="6"/>
        <v>41.803558774692277</v>
      </c>
    </row>
    <row r="40" spans="1:31" x14ac:dyDescent="0.2">
      <c r="A40" s="207">
        <v>55</v>
      </c>
      <c r="B40" s="207" t="str">
        <f t="shared" si="7"/>
        <v>0.37, Tractor (450-550 hp) CB Track 500</v>
      </c>
      <c r="C40" s="155">
        <v>0.37</v>
      </c>
      <c r="D40" s="151" t="s">
        <v>436</v>
      </c>
      <c r="E40" s="151" t="s">
        <v>527</v>
      </c>
      <c r="F40" s="151" t="s">
        <v>136</v>
      </c>
      <c r="G40" s="151" t="str">
        <f t="shared" si="2"/>
        <v>Tractor (450-550 hp) CB Track 500</v>
      </c>
      <c r="H40" s="235">
        <v>400000</v>
      </c>
      <c r="I40" s="207">
        <v>25.736000000000001</v>
      </c>
      <c r="J40" s="207">
        <v>20</v>
      </c>
      <c r="K40" s="207">
        <v>60</v>
      </c>
      <c r="L40" s="207">
        <v>14</v>
      </c>
      <c r="M40" s="207">
        <v>600</v>
      </c>
      <c r="N40" s="207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27">
        <f t="shared" si="20"/>
        <v>93780.811178357137</v>
      </c>
      <c r="AA40" s="227">
        <f t="shared" si="4"/>
        <v>21872.79920154592</v>
      </c>
      <c r="AB40" s="227">
        <f t="shared" si="0"/>
        <v>44440.273006052135</v>
      </c>
      <c r="AC40" s="227">
        <f t="shared" si="1"/>
        <v>11850.739468280572</v>
      </c>
      <c r="AD40" s="227">
        <f t="shared" si="5"/>
        <v>130.27301945979772</v>
      </c>
      <c r="AE40" s="228">
        <f t="shared" si="6"/>
        <v>46.577781364559627</v>
      </c>
    </row>
    <row r="41" spans="1:31" x14ac:dyDescent="0.2">
      <c r="A41" s="207">
        <v>68</v>
      </c>
      <c r="B41" s="207" t="str">
        <f t="shared" si="7"/>
        <v>0.38, Utility Vehicle 500 CC</v>
      </c>
      <c r="C41" s="155">
        <v>0.38</v>
      </c>
      <c r="D41" s="151" t="s">
        <v>436</v>
      </c>
      <c r="E41" s="151" t="s">
        <v>215</v>
      </c>
      <c r="F41" s="151" t="s">
        <v>135</v>
      </c>
      <c r="G41" s="151" t="str">
        <f t="shared" si="2"/>
        <v>Utility Vehicle 500 CC</v>
      </c>
      <c r="H41" s="207">
        <v>6500</v>
      </c>
      <c r="I41" s="207">
        <v>0.4</v>
      </c>
      <c r="J41" s="207">
        <v>30</v>
      </c>
      <c r="K41" s="207">
        <v>25</v>
      </c>
      <c r="L41" s="207">
        <v>14</v>
      </c>
      <c r="M41" s="207">
        <v>200</v>
      </c>
      <c r="N41" s="207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27">
        <f>((0.786-0.063*(L41^0.5)-0.0033*(M41^0.5))^2)*H41</f>
        <v>1648.5270371999154</v>
      </c>
      <c r="AA41" s="227">
        <f t="shared" si="4"/>
        <v>346.53378305714887</v>
      </c>
      <c r="AB41" s="227">
        <f t="shared" si="0"/>
        <v>733.36743334799235</v>
      </c>
      <c r="AC41" s="227">
        <f t="shared" si="1"/>
        <v>195.56464889279798</v>
      </c>
      <c r="AD41" s="227">
        <f t="shared" si="5"/>
        <v>6.3773293264896962</v>
      </c>
      <c r="AE41" s="228">
        <f t="shared" si="6"/>
        <v>2.3440793264896964</v>
      </c>
    </row>
    <row r="42" spans="1:31" x14ac:dyDescent="0.2">
      <c r="A42" s="207">
        <v>66</v>
      </c>
      <c r="B42" s="207" t="str">
        <f t="shared" si="7"/>
        <v>0.39, Utility Vehicle-Mule 600 CC</v>
      </c>
      <c r="C42" s="155">
        <v>0.39</v>
      </c>
      <c r="D42" s="151" t="s">
        <v>436</v>
      </c>
      <c r="E42" s="151" t="s">
        <v>528</v>
      </c>
      <c r="F42" s="151" t="s">
        <v>134</v>
      </c>
      <c r="G42" s="151" t="str">
        <f t="shared" si="2"/>
        <v>Utility Vehicle-Mule 600 CC</v>
      </c>
      <c r="H42" s="207">
        <v>6500</v>
      </c>
      <c r="I42" s="207">
        <v>0.5</v>
      </c>
      <c r="J42" s="207">
        <v>30</v>
      </c>
      <c r="K42" s="207">
        <v>25</v>
      </c>
      <c r="L42" s="207">
        <v>14</v>
      </c>
      <c r="M42" s="207">
        <v>200</v>
      </c>
      <c r="N42" s="207">
        <v>0</v>
      </c>
      <c r="O42" s="11">
        <f t="shared" si="8"/>
        <v>2800</v>
      </c>
      <c r="P42" s="11">
        <v>1</v>
      </c>
      <c r="Q42" s="8">
        <f t="shared" si="9"/>
        <v>116.07142857142857</v>
      </c>
      <c r="R42" s="7">
        <f t="shared" si="10"/>
        <v>0.58035714285714279</v>
      </c>
      <c r="S42" s="2">
        <f t="shared" si="11"/>
        <v>1950</v>
      </c>
      <c r="T42" s="2">
        <f t="shared" si="12"/>
        <v>325</v>
      </c>
      <c r="U42" s="2">
        <f t="shared" si="13"/>
        <v>4225</v>
      </c>
      <c r="V42" s="6">
        <f t="shared" si="14"/>
        <v>380.25</v>
      </c>
      <c r="W42" s="6">
        <f t="shared" si="15"/>
        <v>101.4</v>
      </c>
      <c r="X42" s="6">
        <f t="shared" si="16"/>
        <v>806.65</v>
      </c>
      <c r="Y42" s="5">
        <f t="shared" si="17"/>
        <v>4.0332499999999998</v>
      </c>
      <c r="Z42" s="227">
        <f t="shared" ref="Z42:Z44" si="21">((0.786-0.063*(L42^0.5)-0.0033*(M42^0.5))^2)*H42</f>
        <v>1648.5270371999154</v>
      </c>
      <c r="AA42" s="227">
        <f t="shared" si="4"/>
        <v>346.53378305714887</v>
      </c>
      <c r="AB42" s="227">
        <f t="shared" si="0"/>
        <v>733.36743334799235</v>
      </c>
      <c r="AC42" s="227">
        <f t="shared" si="1"/>
        <v>195.56464889279798</v>
      </c>
      <c r="AD42" s="227">
        <f t="shared" si="5"/>
        <v>6.3773293264896962</v>
      </c>
      <c r="AE42" s="228">
        <f t="shared" si="6"/>
        <v>2.3440793264896964</v>
      </c>
    </row>
    <row r="43" spans="1:31" x14ac:dyDescent="0.2">
      <c r="A43" s="207">
        <v>67</v>
      </c>
      <c r="B43" s="207" t="str">
        <f t="shared" si="7"/>
        <v>0.4, Utility Vehicle 800 CC</v>
      </c>
      <c r="C43" s="155">
        <v>0.4</v>
      </c>
      <c r="D43" s="151" t="s">
        <v>436</v>
      </c>
      <c r="E43" s="151" t="s">
        <v>215</v>
      </c>
      <c r="F43" s="151" t="s">
        <v>133</v>
      </c>
      <c r="G43" s="151" t="str">
        <f t="shared" si="2"/>
        <v>Utility Vehicle 800 CC</v>
      </c>
      <c r="H43" s="207">
        <v>9700</v>
      </c>
      <c r="I43" s="207">
        <v>0.7</v>
      </c>
      <c r="J43" s="207">
        <v>30</v>
      </c>
      <c r="K43" s="207">
        <v>25</v>
      </c>
      <c r="L43" s="207">
        <v>14</v>
      </c>
      <c r="M43" s="207">
        <v>200</v>
      </c>
      <c r="N43" s="207">
        <v>0</v>
      </c>
      <c r="O43" s="11">
        <f t="shared" si="8"/>
        <v>2800</v>
      </c>
      <c r="P43" s="11">
        <v>1</v>
      </c>
      <c r="Q43" s="8">
        <f t="shared" si="9"/>
        <v>173.21428571428572</v>
      </c>
      <c r="R43" s="7">
        <f t="shared" si="10"/>
        <v>0.8660714285714286</v>
      </c>
      <c r="S43" s="2">
        <f t="shared" si="11"/>
        <v>2910</v>
      </c>
      <c r="T43" s="2">
        <f t="shared" si="12"/>
        <v>485</v>
      </c>
      <c r="U43" s="2">
        <f t="shared" si="13"/>
        <v>6305</v>
      </c>
      <c r="V43" s="6">
        <f t="shared" si="14"/>
        <v>567.44999999999993</v>
      </c>
      <c r="W43" s="6">
        <f t="shared" si="15"/>
        <v>151.32</v>
      </c>
      <c r="X43" s="6">
        <f t="shared" si="16"/>
        <v>1203.7699999999998</v>
      </c>
      <c r="Y43" s="5">
        <f t="shared" si="17"/>
        <v>6.0188499999999987</v>
      </c>
      <c r="Z43" s="227">
        <f t="shared" si="21"/>
        <v>2460.1095785906427</v>
      </c>
      <c r="AA43" s="227">
        <f t="shared" si="4"/>
        <v>517.13503010066836</v>
      </c>
      <c r="AB43" s="227">
        <f t="shared" si="0"/>
        <v>1094.4098620731579</v>
      </c>
      <c r="AC43" s="227">
        <f t="shared" si="1"/>
        <v>291.84262988617547</v>
      </c>
      <c r="AD43" s="227">
        <f t="shared" si="5"/>
        <v>9.5169376103000083</v>
      </c>
      <c r="AE43" s="228">
        <f t="shared" si="6"/>
        <v>3.4980876103000096</v>
      </c>
    </row>
    <row r="44" spans="1:31" x14ac:dyDescent="0.2">
      <c r="A44" s="207">
        <v>68</v>
      </c>
      <c r="B44" s="207" t="str">
        <f t="shared" si="7"/>
        <v>1.4, Utility Vehicle 900 CC</v>
      </c>
      <c r="C44" s="155">
        <v>1.4</v>
      </c>
      <c r="D44" s="151" t="s">
        <v>436</v>
      </c>
      <c r="E44" s="151" t="s">
        <v>215</v>
      </c>
      <c r="F44" s="151" t="s">
        <v>529</v>
      </c>
      <c r="G44" s="151" t="str">
        <f t="shared" si="2"/>
        <v>Utility Vehicle 900 CC</v>
      </c>
      <c r="H44" s="207">
        <v>12200</v>
      </c>
      <c r="I44" s="207">
        <v>0.7</v>
      </c>
      <c r="J44" s="207">
        <v>30</v>
      </c>
      <c r="K44" s="207">
        <v>25</v>
      </c>
      <c r="L44" s="207">
        <v>14</v>
      </c>
      <c r="M44" s="207">
        <v>200</v>
      </c>
      <c r="N44" s="207">
        <v>0</v>
      </c>
      <c r="O44" s="11">
        <f t="shared" si="8"/>
        <v>2800</v>
      </c>
      <c r="P44" s="11">
        <v>2</v>
      </c>
      <c r="Q44" s="8">
        <f t="shared" si="9"/>
        <v>217.85714285714286</v>
      </c>
      <c r="R44" s="7">
        <f t="shared" si="10"/>
        <v>1.0892857142857144</v>
      </c>
      <c r="S44" s="2">
        <f t="shared" si="11"/>
        <v>3660</v>
      </c>
      <c r="T44" s="2">
        <f t="shared" si="12"/>
        <v>610</v>
      </c>
      <c r="U44" s="2">
        <f t="shared" si="13"/>
        <v>7930</v>
      </c>
      <c r="V44" s="6">
        <f t="shared" ref="V44" si="22">U44*intir</f>
        <v>713.69999999999993</v>
      </c>
      <c r="W44" s="6">
        <f t="shared" ref="W44" si="23">U44*itr</f>
        <v>190.32</v>
      </c>
      <c r="X44" s="6">
        <f t="shared" si="16"/>
        <v>1514.0199999999998</v>
      </c>
      <c r="Y44" s="5">
        <f t="shared" si="17"/>
        <v>7.5700999999999992</v>
      </c>
      <c r="Z44" s="227">
        <f t="shared" si="21"/>
        <v>3094.1584390521489</v>
      </c>
      <c r="AA44" s="227">
        <f t="shared" si="4"/>
        <v>650.41725435341789</v>
      </c>
      <c r="AB44" s="227">
        <f t="shared" ref="AB44" si="24">(Z44+H44)*intir</f>
        <v>1376.4742595146934</v>
      </c>
      <c r="AC44" s="227">
        <f t="shared" ref="AC44" si="25">(Z44+H44)*itr</f>
        <v>367.05980253725158</v>
      </c>
      <c r="AD44" s="227">
        <f t="shared" si="5"/>
        <v>11.969756582026815</v>
      </c>
      <c r="AE44" s="228">
        <f t="shared" si="6"/>
        <v>4.3996565820268154</v>
      </c>
    </row>
    <row r="46" spans="1:31" x14ac:dyDescent="0.2">
      <c r="I46" s="207"/>
    </row>
    <row r="47" spans="1:31" x14ac:dyDescent="0.2">
      <c r="I47" s="207"/>
    </row>
    <row r="48" spans="1:31" x14ac:dyDescent="0.2">
      <c r="I48" s="207"/>
    </row>
    <row r="49" spans="9:9" x14ac:dyDescent="0.2">
      <c r="I49" s="207"/>
    </row>
    <row r="50" spans="9:9" x14ac:dyDescent="0.2">
      <c r="I50" s="207"/>
    </row>
    <row r="51" spans="9:9" x14ac:dyDescent="0.2">
      <c r="I51" s="207"/>
    </row>
    <row r="52" spans="9:9" x14ac:dyDescent="0.2">
      <c r="I52" s="207"/>
    </row>
    <row r="53" spans="9:9" x14ac:dyDescent="0.2">
      <c r="I53" s="207"/>
    </row>
    <row r="54" spans="9:9" x14ac:dyDescent="0.2">
      <c r="I54" s="207"/>
    </row>
    <row r="55" spans="9:9" x14ac:dyDescent="0.2">
      <c r="I55" s="207"/>
    </row>
    <row r="56" spans="9:9" x14ac:dyDescent="0.2">
      <c r="I56" s="207"/>
    </row>
    <row r="57" spans="9:9" x14ac:dyDescent="0.2">
      <c r="I57" s="207"/>
    </row>
    <row r="58" spans="9:9" x14ac:dyDescent="0.2">
      <c r="I58" s="207"/>
    </row>
    <row r="59" spans="9:9" x14ac:dyDescent="0.2">
      <c r="I59" s="207"/>
    </row>
    <row r="60" spans="9:9" x14ac:dyDescent="0.2">
      <c r="I60" s="207"/>
    </row>
    <row r="61" spans="9:9" x14ac:dyDescent="0.2">
      <c r="I61" s="207"/>
    </row>
    <row r="62" spans="9:9" x14ac:dyDescent="0.2">
      <c r="I62" s="207"/>
    </row>
    <row r="63" spans="9:9" x14ac:dyDescent="0.2">
      <c r="I63" s="207"/>
    </row>
    <row r="64" spans="9:9" x14ac:dyDescent="0.2">
      <c r="I64" s="207"/>
    </row>
    <row r="65" spans="9:9" x14ac:dyDescent="0.2">
      <c r="I65" s="207"/>
    </row>
    <row r="66" spans="9:9" x14ac:dyDescent="0.2">
      <c r="I66" s="207"/>
    </row>
    <row r="67" spans="9:9" x14ac:dyDescent="0.2">
      <c r="I67" s="207"/>
    </row>
    <row r="68" spans="9:9" x14ac:dyDescent="0.2">
      <c r="I68" s="207"/>
    </row>
    <row r="69" spans="9:9" x14ac:dyDescent="0.2">
      <c r="I69" s="207"/>
    </row>
    <row r="70" spans="9:9" x14ac:dyDescent="0.2">
      <c r="I70" s="207"/>
    </row>
    <row r="71" spans="9:9" x14ac:dyDescent="0.2">
      <c r="I71" s="207"/>
    </row>
    <row r="72" spans="9:9" x14ac:dyDescent="0.2">
      <c r="I72" s="207"/>
    </row>
    <row r="73" spans="9:9" x14ac:dyDescent="0.2">
      <c r="I73" s="207"/>
    </row>
    <row r="74" spans="9:9" x14ac:dyDescent="0.2">
      <c r="I74" s="207"/>
    </row>
    <row r="75" spans="9:9" x14ac:dyDescent="0.2">
      <c r="I75" s="207"/>
    </row>
    <row r="76" spans="9:9" x14ac:dyDescent="0.2">
      <c r="I76" s="207"/>
    </row>
    <row r="77" spans="9:9" x14ac:dyDescent="0.2">
      <c r="I77" s="207"/>
    </row>
    <row r="78" spans="9:9" x14ac:dyDescent="0.2">
      <c r="I78" s="207"/>
    </row>
    <row r="79" spans="9:9" x14ac:dyDescent="0.2">
      <c r="I79" s="207"/>
    </row>
    <row r="80" spans="9:9" x14ac:dyDescent="0.2">
      <c r="I80" s="207"/>
    </row>
    <row r="81" spans="9:9" x14ac:dyDescent="0.2">
      <c r="I81" s="207"/>
    </row>
    <row r="82" spans="9:9" x14ac:dyDescent="0.2">
      <c r="I82" s="207"/>
    </row>
    <row r="83" spans="9:9" x14ac:dyDescent="0.2">
      <c r="I83" s="207"/>
    </row>
    <row r="84" spans="9:9" x14ac:dyDescent="0.2">
      <c r="I84" s="207"/>
    </row>
    <row r="85" spans="9:9" x14ac:dyDescent="0.2">
      <c r="I85" s="207"/>
    </row>
    <row r="86" spans="9:9" x14ac:dyDescent="0.2">
      <c r="I86" s="207"/>
    </row>
    <row r="87" spans="9:9" x14ac:dyDescent="0.2">
      <c r="I87" s="207"/>
    </row>
    <row r="88" spans="9:9" x14ac:dyDescent="0.2">
      <c r="I88" s="207"/>
    </row>
    <row r="89" spans="9:9" x14ac:dyDescent="0.2">
      <c r="I89" s="207"/>
    </row>
    <row r="90" spans="9:9" x14ac:dyDescent="0.2">
      <c r="I90" s="207"/>
    </row>
    <row r="91" spans="9:9" x14ac:dyDescent="0.2">
      <c r="I91" s="207"/>
    </row>
    <row r="92" spans="9:9" x14ac:dyDescent="0.2">
      <c r="I92" s="207"/>
    </row>
    <row r="93" spans="9:9" x14ac:dyDescent="0.2">
      <c r="I93" s="207"/>
    </row>
    <row r="94" spans="9:9" x14ac:dyDescent="0.2">
      <c r="I94" s="207"/>
    </row>
    <row r="95" spans="9:9" x14ac:dyDescent="0.2">
      <c r="I95" s="207"/>
    </row>
    <row r="96" spans="9:9" x14ac:dyDescent="0.2">
      <c r="I96" s="207"/>
    </row>
    <row r="97" spans="9:9" x14ac:dyDescent="0.2">
      <c r="I97" s="207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51" bestFit="1" customWidth="1"/>
    <col min="4" max="4" width="2" style="151" bestFit="1" customWidth="1"/>
    <col min="5" max="5" width="12.5" style="151" bestFit="1" customWidth="1"/>
    <col min="6" max="6" width="7" style="151" bestFit="1" customWidth="1"/>
    <col min="7" max="7" width="18.5" style="151" bestFit="1" customWidth="1"/>
    <col min="8" max="8" width="7.1640625" style="207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 x14ac:dyDescent="0.2">
      <c r="A1" s="266" t="s">
        <v>442</v>
      </c>
      <c r="B1" s="266"/>
      <c r="C1" s="151">
        <v>2</v>
      </c>
      <c r="D1" s="151">
        <v>3</v>
      </c>
      <c r="E1" s="151">
        <v>4</v>
      </c>
      <c r="F1" s="151">
        <v>5</v>
      </c>
      <c r="G1" s="1">
        <v>6</v>
      </c>
      <c r="H1" s="207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4"/>
      <c r="C2" s="183"/>
      <c r="D2" s="183"/>
      <c r="E2" s="157"/>
      <c r="S2" s="264" t="s">
        <v>130</v>
      </c>
      <c r="T2" s="264"/>
      <c r="U2" s="264"/>
      <c r="V2" s="264"/>
      <c r="W2" s="264"/>
      <c r="X2" s="264"/>
      <c r="Y2" s="265" t="s">
        <v>129</v>
      </c>
      <c r="Z2" s="265"/>
    </row>
    <row r="3" spans="1:36" s="15" customFormat="1" ht="10.25" customHeight="1" x14ac:dyDescent="0.15">
      <c r="A3" s="26" t="s">
        <v>435</v>
      </c>
      <c r="B3" s="26" t="s">
        <v>127</v>
      </c>
      <c r="C3" s="153" t="s">
        <v>128</v>
      </c>
      <c r="D3" s="153" t="s">
        <v>437</v>
      </c>
      <c r="E3" s="154" t="s">
        <v>126</v>
      </c>
      <c r="F3" s="154" t="s">
        <v>125</v>
      </c>
      <c r="G3" s="154" t="s">
        <v>438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7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0" t="s">
        <v>100</v>
      </c>
      <c r="AJ3" s="16"/>
    </row>
    <row r="4" spans="1:36" x14ac:dyDescent="0.2">
      <c r="A4" s="1">
        <v>92</v>
      </c>
      <c r="B4" s="1" t="str">
        <f t="shared" ref="B4:B23" si="0">CONCATENATE(C4,D4,E4,F4)</f>
        <v>0.04, Cotton Picker 4R-36 (255)</v>
      </c>
      <c r="C4" s="151">
        <v>0.04</v>
      </c>
      <c r="D4" s="151" t="s">
        <v>436</v>
      </c>
      <c r="E4" s="172" t="s">
        <v>216</v>
      </c>
      <c r="F4" s="172" t="s">
        <v>226</v>
      </c>
      <c r="G4" s="151" t="str">
        <f t="shared" ref="G4:G23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4">
        <f t="shared" ref="M4:M23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3" si="3">Q4*P4</f>
        <v>1600</v>
      </c>
      <c r="T4" s="11">
        <v>1</v>
      </c>
      <c r="U4" s="12">
        <v>0.6</v>
      </c>
      <c r="V4" s="12">
        <v>1.85</v>
      </c>
      <c r="W4" s="27">
        <f t="shared" ref="W4:W23" si="4">(U4*H4)*((T4*Q4/1000)^V4)</f>
        <v>8188.2583431945968</v>
      </c>
      <c r="X4" s="27">
        <f t="shared" ref="X4:X23" si="5">W4/Q4</f>
        <v>40.941291715972987</v>
      </c>
      <c r="Y4" s="8">
        <f t="shared" ref="Y4:Y23" si="6">(H4*O4/100)/P4</f>
        <v>8375</v>
      </c>
      <c r="Z4" s="179">
        <f t="shared" ref="Z4:Z23" si="7">Y4/Q4</f>
        <v>41.875</v>
      </c>
      <c r="AA4" s="2">
        <f t="shared" ref="AA4:AA23" si="8">H4*N4/100</f>
        <v>80400</v>
      </c>
      <c r="AB4" s="2">
        <f t="shared" ref="AB4:AB23" si="9">(H4-AA4)/P4</f>
        <v>23450</v>
      </c>
      <c r="AC4" s="2">
        <f t="shared" ref="AC4:AC23" si="10">(AA4+H4)/2</f>
        <v>174200</v>
      </c>
      <c r="AD4" s="2">
        <f t="shared" ref="AD4:AD23" si="11">AC4*intir</f>
        <v>15678</v>
      </c>
      <c r="AE4" s="2">
        <f t="shared" ref="AE4:AE23" si="12">AC4*itr</f>
        <v>4180.8</v>
      </c>
      <c r="AF4" s="2">
        <f t="shared" ref="AF4:AF23" si="13">AB4+AD4+AE4</f>
        <v>43308.800000000003</v>
      </c>
      <c r="AG4" s="181">
        <f t="shared" ref="AG4:AG23" si="14">AF4/Q4</f>
        <v>216.54400000000001</v>
      </c>
    </row>
    <row r="5" spans="1:36" x14ac:dyDescent="0.2">
      <c r="A5" s="1">
        <v>45</v>
      </c>
      <c r="B5" s="1" t="str">
        <f t="shared" si="0"/>
        <v>0.05, Cotton Picker 4R-36 (350)</v>
      </c>
      <c r="C5" s="151">
        <v>0.05</v>
      </c>
      <c r="D5" s="151" t="s">
        <v>436</v>
      </c>
      <c r="E5" s="172" t="s">
        <v>216</v>
      </c>
      <c r="F5" s="172" t="s">
        <v>227</v>
      </c>
      <c r="G5" s="151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1">
        <f t="shared" si="14"/>
        <v>283.608</v>
      </c>
    </row>
    <row r="6" spans="1:36" x14ac:dyDescent="0.2">
      <c r="A6" s="1">
        <v>105</v>
      </c>
      <c r="B6" s="1" t="str">
        <f t="shared" si="0"/>
        <v>0.06, Cotton Picker 6R-30 (355)</v>
      </c>
      <c r="C6" s="151">
        <v>0.06</v>
      </c>
      <c r="D6" s="151" t="s">
        <v>436</v>
      </c>
      <c r="E6" s="172" t="s">
        <v>216</v>
      </c>
      <c r="F6" s="172" t="s">
        <v>228</v>
      </c>
      <c r="G6" s="151" t="str">
        <f t="shared" si="1"/>
        <v>Cotton Picker 6R-30 (355)</v>
      </c>
      <c r="H6" s="29">
        <v>465000</v>
      </c>
      <c r="I6" s="28">
        <v>18.273</v>
      </c>
      <c r="J6" s="32">
        <v>15</v>
      </c>
      <c r="K6" s="31">
        <v>3.6</v>
      </c>
      <c r="L6" s="30">
        <v>70</v>
      </c>
      <c r="M6" s="4">
        <f t="shared" si="2"/>
        <v>0.21825396825396828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1">
        <f t="shared" si="14"/>
        <v>375.72</v>
      </c>
    </row>
    <row r="7" spans="1:36" x14ac:dyDescent="0.2">
      <c r="A7" s="1">
        <v>42</v>
      </c>
      <c r="B7" s="1" t="str">
        <f t="shared" si="0"/>
        <v>0.07, Cotton Picker 5R-36 (250)</v>
      </c>
      <c r="C7" s="151">
        <v>7.0000000000000007E-2</v>
      </c>
      <c r="D7" s="151" t="s">
        <v>436</v>
      </c>
      <c r="E7" s="172" t="s">
        <v>216</v>
      </c>
      <c r="F7" s="172" t="s">
        <v>229</v>
      </c>
      <c r="G7" s="151" t="str">
        <f t="shared" si="1"/>
        <v>Cotton Picker 5R-36 (250)</v>
      </c>
      <c r="H7" s="29">
        <v>400000</v>
      </c>
      <c r="I7" s="28">
        <v>12.868</v>
      </c>
      <c r="J7" s="32">
        <v>15.8</v>
      </c>
      <c r="K7" s="31">
        <v>3.6</v>
      </c>
      <c r="L7" s="30">
        <v>70</v>
      </c>
      <c r="M7" s="4">
        <f t="shared" si="2"/>
        <v>0.20720313441832428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12221.281109245667</v>
      </c>
      <c r="X7" s="27">
        <f t="shared" si="5"/>
        <v>61.106405546228331</v>
      </c>
      <c r="Y7" s="8">
        <f t="shared" si="6"/>
        <v>12500</v>
      </c>
      <c r="Z7" s="179">
        <f t="shared" si="7"/>
        <v>62.5</v>
      </c>
      <c r="AA7" s="2">
        <f t="shared" si="8"/>
        <v>120000</v>
      </c>
      <c r="AB7" s="2">
        <f t="shared" si="9"/>
        <v>35000</v>
      </c>
      <c r="AC7" s="2">
        <f t="shared" si="10"/>
        <v>260000</v>
      </c>
      <c r="AD7" s="2">
        <f t="shared" si="11"/>
        <v>23400</v>
      </c>
      <c r="AE7" s="2">
        <f t="shared" si="12"/>
        <v>6240</v>
      </c>
      <c r="AF7" s="2">
        <f t="shared" si="13"/>
        <v>64640</v>
      </c>
      <c r="AG7" s="181">
        <f t="shared" si="14"/>
        <v>323.2</v>
      </c>
    </row>
    <row r="8" spans="1:36" x14ac:dyDescent="0.2">
      <c r="A8" s="1">
        <v>76</v>
      </c>
      <c r="B8" s="1" t="str">
        <f t="shared" si="0"/>
        <v>0.08, Cotton Picker 4R2x1 (350)</v>
      </c>
      <c r="C8" s="151">
        <v>0.08</v>
      </c>
      <c r="D8" s="151" t="s">
        <v>436</v>
      </c>
      <c r="E8" s="172" t="s">
        <v>216</v>
      </c>
      <c r="F8" s="172" t="s">
        <v>230</v>
      </c>
      <c r="G8" s="151" t="str">
        <f t="shared" si="1"/>
        <v>Cotton Picker 4R2x1 (350)</v>
      </c>
      <c r="H8" s="29">
        <v>357000</v>
      </c>
      <c r="I8" s="28">
        <v>18.015370000000001</v>
      </c>
      <c r="J8" s="32">
        <v>18</v>
      </c>
      <c r="K8" s="31">
        <v>3.6</v>
      </c>
      <c r="L8" s="30">
        <v>70</v>
      </c>
      <c r="M8" s="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10907.493390001759</v>
      </c>
      <c r="X8" s="27">
        <f t="shared" si="5"/>
        <v>54.537466950008792</v>
      </c>
      <c r="Y8" s="8">
        <f t="shared" si="6"/>
        <v>11156.25</v>
      </c>
      <c r="Z8" s="179">
        <f t="shared" si="7"/>
        <v>55.78125</v>
      </c>
      <c r="AA8" s="2">
        <f t="shared" si="8"/>
        <v>107100</v>
      </c>
      <c r="AB8" s="2">
        <f t="shared" si="9"/>
        <v>31237.5</v>
      </c>
      <c r="AC8" s="2">
        <f t="shared" si="10"/>
        <v>232050</v>
      </c>
      <c r="AD8" s="2">
        <f t="shared" si="11"/>
        <v>20884.5</v>
      </c>
      <c r="AE8" s="2">
        <f t="shared" si="12"/>
        <v>5569.2</v>
      </c>
      <c r="AF8" s="2">
        <f t="shared" si="13"/>
        <v>57691.199999999997</v>
      </c>
      <c r="AG8" s="181">
        <f t="shared" si="14"/>
        <v>288.45599999999996</v>
      </c>
    </row>
    <row r="9" spans="1:36" x14ac:dyDescent="0.2">
      <c r="A9" s="1">
        <v>51</v>
      </c>
      <c r="B9" s="1" t="str">
        <f t="shared" si="0"/>
        <v>0.09, Cotton Picker 6R-36 (355)</v>
      </c>
      <c r="C9" s="151">
        <v>0.09</v>
      </c>
      <c r="D9" s="151" t="s">
        <v>436</v>
      </c>
      <c r="E9" s="172" t="s">
        <v>216</v>
      </c>
      <c r="F9" s="172" t="s">
        <v>231</v>
      </c>
      <c r="G9" s="151" t="str">
        <f t="shared" si="1"/>
        <v>Cotton Picker 6R-36 (355)</v>
      </c>
      <c r="H9" s="29">
        <v>465000</v>
      </c>
      <c r="I9" s="28">
        <v>18.273</v>
      </c>
      <c r="J9" s="32">
        <v>18</v>
      </c>
      <c r="K9" s="31">
        <v>3.6</v>
      </c>
      <c r="L9" s="30">
        <v>70</v>
      </c>
      <c r="M9" s="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14207.239289498088</v>
      </c>
      <c r="X9" s="27">
        <f t="shared" si="5"/>
        <v>71.03619644749044</v>
      </c>
      <c r="Y9" s="8">
        <f t="shared" si="6"/>
        <v>14531.25</v>
      </c>
      <c r="Z9" s="179">
        <f t="shared" si="7"/>
        <v>72.65625</v>
      </c>
      <c r="AA9" s="2">
        <f t="shared" si="8"/>
        <v>139500</v>
      </c>
      <c r="AB9" s="2">
        <f t="shared" si="9"/>
        <v>40687.5</v>
      </c>
      <c r="AC9" s="2">
        <f t="shared" si="10"/>
        <v>302250</v>
      </c>
      <c r="AD9" s="2">
        <f t="shared" si="11"/>
        <v>27202.5</v>
      </c>
      <c r="AE9" s="2">
        <f t="shared" si="12"/>
        <v>7254</v>
      </c>
      <c r="AF9" s="2">
        <f t="shared" si="13"/>
        <v>75144</v>
      </c>
      <c r="AG9" s="181">
        <f t="shared" si="14"/>
        <v>375.72</v>
      </c>
    </row>
    <row r="10" spans="1:36" x14ac:dyDescent="0.2">
      <c r="A10" s="1">
        <v>102</v>
      </c>
      <c r="B10" s="1" t="str">
        <f t="shared" si="0"/>
        <v>0.1, Cotton Picker/Module 4R-36 (365)</v>
      </c>
      <c r="C10" s="151">
        <v>0.1</v>
      </c>
      <c r="D10" s="151" t="s">
        <v>436</v>
      </c>
      <c r="E10" s="172" t="s">
        <v>217</v>
      </c>
      <c r="F10" s="172" t="s">
        <v>232</v>
      </c>
      <c r="G10" s="151" t="str">
        <f t="shared" si="1"/>
        <v>Cotton Picker/Module 4R-36 (365)</v>
      </c>
      <c r="H10" s="29">
        <v>536000</v>
      </c>
      <c r="I10" s="28">
        <v>18.786999999999999</v>
      </c>
      <c r="J10" s="32">
        <v>12</v>
      </c>
      <c r="K10" s="31">
        <v>3.6</v>
      </c>
      <c r="L10" s="30">
        <v>70</v>
      </c>
      <c r="M10" s="4">
        <f t="shared" si="2"/>
        <v>0.27281746031746035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3"/>
        <v>1600</v>
      </c>
      <c r="T10" s="11">
        <v>1</v>
      </c>
      <c r="U10" s="12">
        <v>0.6</v>
      </c>
      <c r="V10" s="12">
        <v>1.85</v>
      </c>
      <c r="W10" s="27">
        <f t="shared" si="4"/>
        <v>16376.516686389194</v>
      </c>
      <c r="X10" s="27">
        <f t="shared" si="5"/>
        <v>81.882583431945974</v>
      </c>
      <c r="Y10" s="8">
        <f t="shared" si="6"/>
        <v>16750</v>
      </c>
      <c r="Z10" s="179">
        <f t="shared" si="7"/>
        <v>83.75</v>
      </c>
      <c r="AA10" s="2">
        <f t="shared" si="8"/>
        <v>160800</v>
      </c>
      <c r="AB10" s="2">
        <f t="shared" si="9"/>
        <v>46900</v>
      </c>
      <c r="AC10" s="2">
        <f t="shared" si="10"/>
        <v>348400</v>
      </c>
      <c r="AD10" s="2">
        <f t="shared" si="11"/>
        <v>31356</v>
      </c>
      <c r="AE10" s="2">
        <f t="shared" si="12"/>
        <v>8361.6</v>
      </c>
      <c r="AF10" s="2">
        <f t="shared" si="13"/>
        <v>86617.600000000006</v>
      </c>
      <c r="AG10" s="181">
        <f t="shared" si="14"/>
        <v>433.08800000000002</v>
      </c>
    </row>
    <row r="11" spans="1:36" x14ac:dyDescent="0.2">
      <c r="A11" s="1">
        <v>94</v>
      </c>
      <c r="B11" s="1" t="str">
        <f t="shared" si="0"/>
        <v>0.12, Cotton Picker/Module 6R-30 (500)</v>
      </c>
      <c r="C11" s="151">
        <v>0.12</v>
      </c>
      <c r="D11" s="151" t="s">
        <v>436</v>
      </c>
      <c r="E11" s="172" t="s">
        <v>217</v>
      </c>
      <c r="F11" s="172" t="s">
        <v>233</v>
      </c>
      <c r="G11" s="151" t="str">
        <f t="shared" si="1"/>
        <v>Cotton Picker/Module 6R-30 (500)</v>
      </c>
      <c r="H11" s="29">
        <v>744000</v>
      </c>
      <c r="I11" s="28">
        <v>25.736000000000001</v>
      </c>
      <c r="J11" s="32">
        <v>15</v>
      </c>
      <c r="K11" s="31">
        <v>3.6</v>
      </c>
      <c r="L11" s="30">
        <v>70</v>
      </c>
      <c r="M11" s="4">
        <f t="shared" si="2"/>
        <v>0.21825396825396828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3"/>
        <v>1600</v>
      </c>
      <c r="T11" s="11">
        <v>1</v>
      </c>
      <c r="U11" s="12">
        <v>0.6</v>
      </c>
      <c r="V11" s="12">
        <v>1.85</v>
      </c>
      <c r="W11" s="27">
        <f t="shared" si="4"/>
        <v>22731.582863196942</v>
      </c>
      <c r="X11" s="27">
        <f t="shared" si="5"/>
        <v>113.65791431598471</v>
      </c>
      <c r="Y11" s="8">
        <f t="shared" si="6"/>
        <v>23250</v>
      </c>
      <c r="Z11" s="179">
        <f t="shared" si="7"/>
        <v>116.25</v>
      </c>
      <c r="AA11" s="2">
        <f t="shared" si="8"/>
        <v>223200</v>
      </c>
      <c r="AB11" s="2">
        <f t="shared" si="9"/>
        <v>65100</v>
      </c>
      <c r="AC11" s="2">
        <f t="shared" si="10"/>
        <v>483600</v>
      </c>
      <c r="AD11" s="2">
        <f t="shared" si="11"/>
        <v>43524</v>
      </c>
      <c r="AE11" s="2">
        <f t="shared" si="12"/>
        <v>11606.4</v>
      </c>
      <c r="AF11" s="2">
        <f t="shared" si="13"/>
        <v>120230.39999999999</v>
      </c>
      <c r="AG11" s="181">
        <f t="shared" si="14"/>
        <v>601.15199999999993</v>
      </c>
    </row>
    <row r="12" spans="1:36" x14ac:dyDescent="0.2">
      <c r="A12" s="1">
        <v>55</v>
      </c>
      <c r="B12" s="1" t="str">
        <f t="shared" si="0"/>
        <v>0.13, Cotton Picker/Module 6R-36 (365)</v>
      </c>
      <c r="C12" s="151">
        <v>0.13</v>
      </c>
      <c r="D12" s="151" t="s">
        <v>436</v>
      </c>
      <c r="E12" s="172" t="s">
        <v>217</v>
      </c>
      <c r="F12" s="172" t="s">
        <v>234</v>
      </c>
      <c r="G12" s="151" t="str">
        <f t="shared" si="1"/>
        <v>Cotton Picker/Module 6R-36 (365)</v>
      </c>
      <c r="H12" s="29">
        <v>536000</v>
      </c>
      <c r="I12" s="28">
        <v>18.786999999999999</v>
      </c>
      <c r="J12" s="32">
        <v>18</v>
      </c>
      <c r="K12" s="31">
        <v>3.6</v>
      </c>
      <c r="L12" s="30">
        <v>70</v>
      </c>
      <c r="M12" s="4">
        <f t="shared" si="2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3"/>
        <v>1600</v>
      </c>
      <c r="T12" s="11">
        <v>1</v>
      </c>
      <c r="U12" s="12">
        <v>0.6</v>
      </c>
      <c r="V12" s="12">
        <v>1.85</v>
      </c>
      <c r="W12" s="27">
        <f t="shared" si="4"/>
        <v>16376.516686389194</v>
      </c>
      <c r="X12" s="27">
        <f t="shared" si="5"/>
        <v>81.882583431945974</v>
      </c>
      <c r="Y12" s="8">
        <f t="shared" si="6"/>
        <v>16750</v>
      </c>
      <c r="Z12" s="179">
        <f t="shared" si="7"/>
        <v>83.75</v>
      </c>
      <c r="AA12" s="2">
        <f t="shared" si="8"/>
        <v>160800</v>
      </c>
      <c r="AB12" s="2">
        <f t="shared" si="9"/>
        <v>46900</v>
      </c>
      <c r="AC12" s="2">
        <f t="shared" si="10"/>
        <v>348400</v>
      </c>
      <c r="AD12" s="2">
        <f t="shared" si="11"/>
        <v>31356</v>
      </c>
      <c r="AE12" s="2">
        <f t="shared" si="12"/>
        <v>8361.6</v>
      </c>
      <c r="AF12" s="2">
        <f t="shared" si="13"/>
        <v>86617.600000000006</v>
      </c>
      <c r="AG12" s="181">
        <f t="shared" si="14"/>
        <v>433.08800000000002</v>
      </c>
    </row>
    <row r="13" spans="1:36" x14ac:dyDescent="0.2">
      <c r="A13" s="1">
        <v>84</v>
      </c>
      <c r="B13" s="1" t="str">
        <f t="shared" si="0"/>
        <v>0.14, Cotton Picker/Module 6R-36 (500)</v>
      </c>
      <c r="C13" s="151">
        <v>0.14000000000000001</v>
      </c>
      <c r="D13" s="151" t="s">
        <v>436</v>
      </c>
      <c r="E13" s="172" t="s">
        <v>217</v>
      </c>
      <c r="F13" s="172" t="s">
        <v>235</v>
      </c>
      <c r="G13" s="151" t="str">
        <f t="shared" si="1"/>
        <v>Cotton Picker/Module 6R-36 (500)</v>
      </c>
      <c r="H13" s="29">
        <v>745000</v>
      </c>
      <c r="I13" s="28">
        <v>25.736000000000001</v>
      </c>
      <c r="J13" s="32">
        <v>18</v>
      </c>
      <c r="K13" s="31">
        <v>3.6</v>
      </c>
      <c r="L13" s="30">
        <v>70</v>
      </c>
      <c r="M13" s="4">
        <f t="shared" si="2"/>
        <v>0.18187830687830689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3"/>
        <v>1600</v>
      </c>
      <c r="T13" s="11">
        <v>1</v>
      </c>
      <c r="U13" s="12">
        <v>0.6</v>
      </c>
      <c r="V13" s="12">
        <v>1.85</v>
      </c>
      <c r="W13" s="27">
        <f t="shared" si="4"/>
        <v>22762.136065970055</v>
      </c>
      <c r="X13" s="27">
        <f t="shared" si="5"/>
        <v>113.81068032985027</v>
      </c>
      <c r="Y13" s="8">
        <f t="shared" si="6"/>
        <v>23281.25</v>
      </c>
      <c r="Z13" s="179">
        <f t="shared" si="7"/>
        <v>116.40625</v>
      </c>
      <c r="AA13" s="2">
        <f t="shared" si="8"/>
        <v>223500</v>
      </c>
      <c r="AB13" s="2">
        <f t="shared" si="9"/>
        <v>65187.5</v>
      </c>
      <c r="AC13" s="2">
        <f t="shared" si="10"/>
        <v>484250</v>
      </c>
      <c r="AD13" s="2">
        <f t="shared" si="11"/>
        <v>43582.5</v>
      </c>
      <c r="AE13" s="2">
        <f t="shared" si="12"/>
        <v>11622</v>
      </c>
      <c r="AF13" s="2">
        <f t="shared" si="13"/>
        <v>120392</v>
      </c>
      <c r="AG13" s="181">
        <f t="shared" si="14"/>
        <v>601.96</v>
      </c>
    </row>
    <row r="14" spans="1:36" s="207" customFormat="1" x14ac:dyDescent="0.2">
      <c r="A14" s="207">
        <v>107</v>
      </c>
      <c r="B14" s="207" t="str">
        <f t="shared" si="0"/>
        <v xml:space="preserve">0.15, Backhoe 2WD Cab </v>
      </c>
      <c r="C14" s="151">
        <v>0.15</v>
      </c>
      <c r="D14" s="151" t="s">
        <v>436</v>
      </c>
      <c r="E14" s="172" t="s">
        <v>452</v>
      </c>
      <c r="F14" s="172" t="s">
        <v>451</v>
      </c>
      <c r="G14" s="151" t="str">
        <f t="shared" si="1"/>
        <v xml:space="preserve">Backhoe 2WD Cab </v>
      </c>
      <c r="H14" s="29">
        <v>76000</v>
      </c>
      <c r="I14" s="28">
        <v>2.125</v>
      </c>
      <c r="J14" s="32">
        <v>2</v>
      </c>
      <c r="K14" s="31">
        <v>10</v>
      </c>
      <c r="L14" s="30">
        <v>80</v>
      </c>
      <c r="M14" s="208">
        <f t="shared" si="2"/>
        <v>0.515625</v>
      </c>
      <c r="N14" s="29">
        <v>30</v>
      </c>
      <c r="O14" s="29">
        <v>15</v>
      </c>
      <c r="P14" s="29">
        <v>15</v>
      </c>
      <c r="Q14" s="29">
        <v>150</v>
      </c>
      <c r="R14" s="28">
        <v>0</v>
      </c>
      <c r="S14" s="11">
        <f t="shared" si="3"/>
        <v>2250</v>
      </c>
      <c r="T14" s="11">
        <v>1</v>
      </c>
      <c r="U14" s="12">
        <v>0.7</v>
      </c>
      <c r="V14" s="12">
        <v>2.25</v>
      </c>
      <c r="W14" s="27">
        <f t="shared" si="4"/>
        <v>744.93257381430828</v>
      </c>
      <c r="X14" s="230">
        <f t="shared" si="5"/>
        <v>4.9662171587620554</v>
      </c>
      <c r="Y14" s="8">
        <f t="shared" si="6"/>
        <v>760</v>
      </c>
      <c r="Z14" s="179">
        <f t="shared" si="7"/>
        <v>5.0666666666666664</v>
      </c>
      <c r="AA14" s="2">
        <f t="shared" si="8"/>
        <v>22800</v>
      </c>
      <c r="AB14" s="2">
        <f t="shared" si="9"/>
        <v>3546.6666666666665</v>
      </c>
      <c r="AC14" s="2">
        <f t="shared" si="10"/>
        <v>49400</v>
      </c>
      <c r="AD14" s="2">
        <f t="shared" ref="AD14" si="15">AC14*intir</f>
        <v>4446</v>
      </c>
      <c r="AE14" s="2">
        <f t="shared" ref="AE14" si="16">AC14*itr</f>
        <v>1185.6000000000001</v>
      </c>
      <c r="AF14" s="2">
        <f t="shared" ref="AF14" si="17">AB14+AD14+AE14</f>
        <v>9178.2666666666664</v>
      </c>
      <c r="AG14" s="181">
        <f t="shared" ref="AG14" si="18">AF14/Q14</f>
        <v>61.188444444444443</v>
      </c>
    </row>
    <row r="15" spans="1:36" x14ac:dyDescent="0.2">
      <c r="A15" s="1">
        <v>22</v>
      </c>
      <c r="B15" s="1" t="str">
        <f t="shared" si="0"/>
        <v>0.16, Dry Applicator SP 70' 300 cu ft</v>
      </c>
      <c r="C15" s="151">
        <v>0.16</v>
      </c>
      <c r="D15" s="151" t="s">
        <v>436</v>
      </c>
      <c r="E15" s="172" t="s">
        <v>218</v>
      </c>
      <c r="F15" s="172" t="s">
        <v>236</v>
      </c>
      <c r="G15" s="151" t="str">
        <f t="shared" si="1"/>
        <v>Dry Applicator SP 70' 300 cu ft</v>
      </c>
      <c r="H15" s="29">
        <v>31200</v>
      </c>
      <c r="I15" s="28">
        <v>16.984999999999999</v>
      </c>
      <c r="J15" s="32">
        <v>70</v>
      </c>
      <c r="K15" s="31">
        <v>12</v>
      </c>
      <c r="L15" s="30">
        <v>65</v>
      </c>
      <c r="M15" s="4">
        <f t="shared" si="2"/>
        <v>1.5109890109890108E-2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0.4</v>
      </c>
      <c r="V15" s="12">
        <v>1.4</v>
      </c>
      <c r="W15" s="27">
        <f t="shared" si="4"/>
        <v>2870.1847159054905</v>
      </c>
      <c r="X15" s="27">
        <f t="shared" si="5"/>
        <v>8.2005277597299724</v>
      </c>
      <c r="Y15" s="8">
        <f t="shared" si="6"/>
        <v>585</v>
      </c>
      <c r="Z15" s="179">
        <f t="shared" si="7"/>
        <v>1.6714285714285715</v>
      </c>
      <c r="AA15" s="2">
        <f t="shared" si="8"/>
        <v>9360</v>
      </c>
      <c r="AB15" s="2">
        <f t="shared" si="9"/>
        <v>2730</v>
      </c>
      <c r="AC15" s="2">
        <f t="shared" si="10"/>
        <v>20280</v>
      </c>
      <c r="AD15" s="2">
        <f t="shared" si="11"/>
        <v>1825.2</v>
      </c>
      <c r="AE15" s="2">
        <f t="shared" si="12"/>
        <v>486.72</v>
      </c>
      <c r="AF15" s="2">
        <f t="shared" si="13"/>
        <v>5041.92</v>
      </c>
      <c r="AG15" s="181">
        <f t="shared" si="14"/>
        <v>14.405485714285714</v>
      </c>
    </row>
    <row r="16" spans="1:36" x14ac:dyDescent="0.2">
      <c r="A16" s="1">
        <v>48</v>
      </c>
      <c r="B16" s="1" t="str">
        <f t="shared" si="0"/>
        <v>0.2, Sprayer  600-750 gal 60' 175 hp</v>
      </c>
      <c r="C16" s="151">
        <v>0.2</v>
      </c>
      <c r="D16" s="151" t="s">
        <v>436</v>
      </c>
      <c r="E16" s="172" t="s">
        <v>219</v>
      </c>
      <c r="F16" s="172" t="s">
        <v>237</v>
      </c>
      <c r="G16" s="151" t="str">
        <f t="shared" si="1"/>
        <v>Sprayer  600-750 gal 60' 175 hp</v>
      </c>
      <c r="H16" s="235">
        <v>193000</v>
      </c>
      <c r="I16" s="28">
        <v>9</v>
      </c>
      <c r="J16" s="32">
        <v>60</v>
      </c>
      <c r="K16" s="31">
        <v>12</v>
      </c>
      <c r="L16" s="30">
        <v>65</v>
      </c>
      <c r="M16" s="4">
        <f t="shared" si="2"/>
        <v>1.7628205128205128E-2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3636.9757425416874</v>
      </c>
      <c r="X16" s="27">
        <f t="shared" si="5"/>
        <v>10.391359264404821</v>
      </c>
      <c r="Y16" s="8">
        <f t="shared" si="6"/>
        <v>3618.75</v>
      </c>
      <c r="Z16" s="179">
        <f t="shared" si="7"/>
        <v>10.339285714285714</v>
      </c>
      <c r="AA16" s="2">
        <f t="shared" si="8"/>
        <v>57900</v>
      </c>
      <c r="AB16" s="2">
        <f t="shared" si="9"/>
        <v>16887.5</v>
      </c>
      <c r="AC16" s="2">
        <f t="shared" si="10"/>
        <v>125450</v>
      </c>
      <c r="AD16" s="2">
        <f t="shared" si="11"/>
        <v>11290.5</v>
      </c>
      <c r="AE16" s="2">
        <f t="shared" si="12"/>
        <v>3010.8</v>
      </c>
      <c r="AF16" s="2">
        <f t="shared" si="13"/>
        <v>31188.799999999999</v>
      </c>
      <c r="AG16" s="181">
        <f t="shared" si="14"/>
        <v>89.110857142857142</v>
      </c>
    </row>
    <row r="17" spans="1:33" x14ac:dyDescent="0.2">
      <c r="A17" s="1">
        <v>104</v>
      </c>
      <c r="B17" s="1" t="str">
        <f t="shared" si="0"/>
        <v>0.21, Sprayer  600-825 gal 80' 175 hp</v>
      </c>
      <c r="C17" s="151">
        <v>0.21</v>
      </c>
      <c r="D17" s="151" t="s">
        <v>436</v>
      </c>
      <c r="E17" s="172" t="s">
        <v>220</v>
      </c>
      <c r="F17" s="172" t="s">
        <v>238</v>
      </c>
      <c r="G17" s="151" t="str">
        <f t="shared" si="1"/>
        <v>Sprayer  600-825 gal 80' 175 hp</v>
      </c>
      <c r="H17" s="235">
        <v>202000</v>
      </c>
      <c r="I17" s="28">
        <v>11.811999999999999</v>
      </c>
      <c r="J17" s="32">
        <v>80</v>
      </c>
      <c r="K17" s="31">
        <v>12</v>
      </c>
      <c r="L17" s="30">
        <v>65</v>
      </c>
      <c r="M17" s="4">
        <f t="shared" si="2"/>
        <v>1.3221153846153846E-2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3806.5756476343049</v>
      </c>
      <c r="X17" s="27">
        <f t="shared" si="5"/>
        <v>10.875930421812299</v>
      </c>
      <c r="Y17" s="8">
        <f t="shared" si="6"/>
        <v>3787.5</v>
      </c>
      <c r="Z17" s="179">
        <f t="shared" si="7"/>
        <v>10.821428571428571</v>
      </c>
      <c r="AA17" s="2">
        <f t="shared" si="8"/>
        <v>60600</v>
      </c>
      <c r="AB17" s="2">
        <f t="shared" si="9"/>
        <v>17675</v>
      </c>
      <c r="AC17" s="2">
        <f t="shared" si="10"/>
        <v>131300</v>
      </c>
      <c r="AD17" s="2">
        <f t="shared" si="11"/>
        <v>11817</v>
      </c>
      <c r="AE17" s="2">
        <f t="shared" si="12"/>
        <v>3151.2000000000003</v>
      </c>
      <c r="AF17" s="2">
        <f t="shared" si="13"/>
        <v>32643.200000000001</v>
      </c>
      <c r="AG17" s="181">
        <f t="shared" si="14"/>
        <v>93.266285714285715</v>
      </c>
    </row>
    <row r="18" spans="1:33" x14ac:dyDescent="0.2">
      <c r="A18" s="1">
        <v>31</v>
      </c>
      <c r="B18" s="1" t="str">
        <f t="shared" si="0"/>
        <v>0.22, Sprayer  600-825 gal 90' 250 hp</v>
      </c>
      <c r="C18" s="151">
        <v>0.22</v>
      </c>
      <c r="D18" s="151" t="s">
        <v>436</v>
      </c>
      <c r="E18" s="172" t="s">
        <v>220</v>
      </c>
      <c r="F18" s="172" t="s">
        <v>239</v>
      </c>
      <c r="G18" s="151" t="str">
        <f t="shared" si="1"/>
        <v>Sprayer  600-825 gal 90' 250 hp</v>
      </c>
      <c r="H18" s="235">
        <v>273000</v>
      </c>
      <c r="I18" s="28">
        <v>12.739000000000001</v>
      </c>
      <c r="J18" s="32">
        <v>90</v>
      </c>
      <c r="K18" s="31">
        <v>12</v>
      </c>
      <c r="L18" s="30">
        <v>65</v>
      </c>
      <c r="M18" s="4">
        <f t="shared" si="2"/>
        <v>1.1752136752136752E-2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5144.5304544760656</v>
      </c>
      <c r="X18" s="27">
        <f t="shared" si="5"/>
        <v>14.698658441360188</v>
      </c>
      <c r="Y18" s="8">
        <f t="shared" si="6"/>
        <v>5118.75</v>
      </c>
      <c r="Z18" s="179">
        <f t="shared" si="7"/>
        <v>14.625</v>
      </c>
      <c r="AA18" s="2">
        <f t="shared" si="8"/>
        <v>81900</v>
      </c>
      <c r="AB18" s="2">
        <f t="shared" si="9"/>
        <v>23887.5</v>
      </c>
      <c r="AC18" s="2">
        <f t="shared" si="10"/>
        <v>177450</v>
      </c>
      <c r="AD18" s="2">
        <f t="shared" si="11"/>
        <v>15970.5</v>
      </c>
      <c r="AE18" s="2">
        <f t="shared" si="12"/>
        <v>4258.8</v>
      </c>
      <c r="AF18" s="2">
        <f t="shared" si="13"/>
        <v>44116.800000000003</v>
      </c>
      <c r="AG18" s="181">
        <f t="shared" si="14"/>
        <v>126.048</v>
      </c>
    </row>
    <row r="19" spans="1:33" x14ac:dyDescent="0.2">
      <c r="A19" s="1">
        <v>93</v>
      </c>
      <c r="B19" s="1" t="str">
        <f t="shared" si="0"/>
        <v>0.23, Sprayer  800 gal 80' 250 hp</v>
      </c>
      <c r="C19" s="151">
        <v>0.23</v>
      </c>
      <c r="D19" s="151" t="s">
        <v>436</v>
      </c>
      <c r="E19" s="172" t="s">
        <v>221</v>
      </c>
      <c r="F19" s="172" t="s">
        <v>240</v>
      </c>
      <c r="G19" s="151" t="str">
        <f t="shared" si="1"/>
        <v>Sprayer  800 gal 80' 250 hp</v>
      </c>
      <c r="H19" s="235">
        <v>261000</v>
      </c>
      <c r="I19" s="28">
        <v>12.8681</v>
      </c>
      <c r="J19" s="32">
        <v>80</v>
      </c>
      <c r="K19" s="31">
        <v>12</v>
      </c>
      <c r="L19" s="30">
        <v>65</v>
      </c>
      <c r="M19" s="4">
        <f t="shared" si="2"/>
        <v>1.3221153846153846E-2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4918.397247685909</v>
      </c>
      <c r="X19" s="27">
        <f t="shared" si="5"/>
        <v>14.052563564816882</v>
      </c>
      <c r="Y19" s="8">
        <f t="shared" si="6"/>
        <v>4893.75</v>
      </c>
      <c r="Z19" s="179">
        <f t="shared" si="7"/>
        <v>13.982142857142858</v>
      </c>
      <c r="AA19" s="2">
        <f t="shared" si="8"/>
        <v>78300</v>
      </c>
      <c r="AB19" s="2">
        <f t="shared" si="9"/>
        <v>22837.5</v>
      </c>
      <c r="AC19" s="2">
        <f t="shared" si="10"/>
        <v>169650</v>
      </c>
      <c r="AD19" s="2">
        <f t="shared" si="11"/>
        <v>15268.5</v>
      </c>
      <c r="AE19" s="2">
        <f t="shared" si="12"/>
        <v>4071.6</v>
      </c>
      <c r="AF19" s="2">
        <f t="shared" si="13"/>
        <v>42177.599999999999</v>
      </c>
      <c r="AG19" s="181">
        <f t="shared" si="14"/>
        <v>120.50742857142856</v>
      </c>
    </row>
    <row r="20" spans="1:33" x14ac:dyDescent="0.2">
      <c r="A20" s="1">
        <v>56</v>
      </c>
      <c r="B20" s="1" t="str">
        <f t="shared" si="0"/>
        <v>0.24, Sprayer  800 gal 100' 250 hp</v>
      </c>
      <c r="C20" s="151">
        <v>0.24</v>
      </c>
      <c r="D20" s="151" t="s">
        <v>436</v>
      </c>
      <c r="E20" s="172" t="s">
        <v>221</v>
      </c>
      <c r="F20" s="172" t="s">
        <v>241</v>
      </c>
      <c r="G20" s="151" t="str">
        <f t="shared" si="1"/>
        <v>Sprayer  800 gal 100' 250 hp</v>
      </c>
      <c r="H20" s="235">
        <v>250000</v>
      </c>
      <c r="I20" s="28">
        <v>14.154</v>
      </c>
      <c r="J20" s="32">
        <v>100</v>
      </c>
      <c r="K20" s="31">
        <v>12</v>
      </c>
      <c r="L20" s="30">
        <v>65</v>
      </c>
      <c r="M20" s="4">
        <f t="shared" si="2"/>
        <v>1.0576923076923078E-2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4711.1084747949317</v>
      </c>
      <c r="X20" s="27">
        <f t="shared" si="5"/>
        <v>13.460309927985518</v>
      </c>
      <c r="Y20" s="8">
        <f t="shared" si="6"/>
        <v>4687.5</v>
      </c>
      <c r="Z20" s="179">
        <f t="shared" si="7"/>
        <v>13.392857142857142</v>
      </c>
      <c r="AA20" s="2">
        <f t="shared" si="8"/>
        <v>75000</v>
      </c>
      <c r="AB20" s="2">
        <f t="shared" si="9"/>
        <v>21875</v>
      </c>
      <c r="AC20" s="2">
        <f t="shared" si="10"/>
        <v>162500</v>
      </c>
      <c r="AD20" s="2">
        <f t="shared" si="11"/>
        <v>14625</v>
      </c>
      <c r="AE20" s="2">
        <f t="shared" si="12"/>
        <v>3900</v>
      </c>
      <c r="AF20" s="2">
        <f t="shared" si="13"/>
        <v>40400</v>
      </c>
      <c r="AG20" s="181">
        <f t="shared" si="14"/>
        <v>115.42857142857143</v>
      </c>
    </row>
    <row r="21" spans="1:33" x14ac:dyDescent="0.2">
      <c r="A21" s="1">
        <v>101</v>
      </c>
      <c r="B21" s="1" t="str">
        <f t="shared" si="0"/>
        <v>0.25, Sprayer 1000-1400 gal 90' 275 hp</v>
      </c>
      <c r="C21" s="151">
        <v>0.25</v>
      </c>
      <c r="D21" s="151" t="s">
        <v>436</v>
      </c>
      <c r="E21" s="172" t="s">
        <v>222</v>
      </c>
      <c r="F21" s="172" t="s">
        <v>242</v>
      </c>
      <c r="G21" s="151" t="str">
        <f t="shared" si="1"/>
        <v>Sprayer 1000-1400 gal 90' 275 hp</v>
      </c>
      <c r="H21" s="235">
        <v>294000</v>
      </c>
      <c r="I21" s="28">
        <v>14.154</v>
      </c>
      <c r="J21" s="32">
        <v>90</v>
      </c>
      <c r="K21" s="31">
        <v>12</v>
      </c>
      <c r="L21" s="30">
        <v>65</v>
      </c>
      <c r="M21" s="4">
        <f t="shared" si="2"/>
        <v>1.1752136752136752E-2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5540.2635663588399</v>
      </c>
      <c r="X21" s="27">
        <f t="shared" si="5"/>
        <v>15.829324475310971</v>
      </c>
      <c r="Y21" s="8">
        <f t="shared" si="6"/>
        <v>5512.5</v>
      </c>
      <c r="Z21" s="179">
        <f t="shared" si="7"/>
        <v>15.75</v>
      </c>
      <c r="AA21" s="2">
        <f t="shared" si="8"/>
        <v>88200</v>
      </c>
      <c r="AB21" s="2">
        <f t="shared" si="9"/>
        <v>25725</v>
      </c>
      <c r="AC21" s="2">
        <f t="shared" si="10"/>
        <v>191100</v>
      </c>
      <c r="AD21" s="2">
        <f t="shared" si="11"/>
        <v>17199</v>
      </c>
      <c r="AE21" s="2">
        <f t="shared" si="12"/>
        <v>4586.4000000000005</v>
      </c>
      <c r="AF21" s="2">
        <f t="shared" si="13"/>
        <v>47510.400000000001</v>
      </c>
      <c r="AG21" s="181">
        <f t="shared" si="14"/>
        <v>135.744</v>
      </c>
    </row>
    <row r="22" spans="1:33" x14ac:dyDescent="0.2">
      <c r="A22" s="1">
        <v>103</v>
      </c>
      <c r="B22" s="1" t="str">
        <f t="shared" si="0"/>
        <v>0.26, Sprayer 1000 gal 100' 300 hp</v>
      </c>
      <c r="C22" s="151">
        <v>0.26</v>
      </c>
      <c r="D22" s="151" t="s">
        <v>436</v>
      </c>
      <c r="E22" s="172" t="s">
        <v>223</v>
      </c>
      <c r="F22" s="172" t="s">
        <v>243</v>
      </c>
      <c r="G22" s="151" t="str">
        <f t="shared" si="1"/>
        <v>Sprayer 1000 gal 100' 300 hp</v>
      </c>
      <c r="H22" s="235">
        <v>308000</v>
      </c>
      <c r="I22" s="28">
        <v>15.441000000000001</v>
      </c>
      <c r="J22" s="32">
        <v>100</v>
      </c>
      <c r="K22" s="31">
        <v>12</v>
      </c>
      <c r="L22" s="30">
        <v>65</v>
      </c>
      <c r="M22" s="4">
        <f t="shared" si="2"/>
        <v>1.0576923076923078E-2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5804.0856409473563</v>
      </c>
      <c r="X22" s="27">
        <f t="shared" si="5"/>
        <v>16.58310183127816</v>
      </c>
      <c r="Y22" s="8">
        <f t="shared" si="6"/>
        <v>5775</v>
      </c>
      <c r="Z22" s="179">
        <f t="shared" si="7"/>
        <v>16.5</v>
      </c>
      <c r="AA22" s="2">
        <f t="shared" si="8"/>
        <v>92400</v>
      </c>
      <c r="AB22" s="2">
        <f t="shared" si="9"/>
        <v>26950</v>
      </c>
      <c r="AC22" s="2">
        <f t="shared" si="10"/>
        <v>200200</v>
      </c>
      <c r="AD22" s="2">
        <f t="shared" si="11"/>
        <v>18018</v>
      </c>
      <c r="AE22" s="2">
        <f t="shared" si="12"/>
        <v>4804.8</v>
      </c>
      <c r="AF22" s="2">
        <f t="shared" si="13"/>
        <v>49772.800000000003</v>
      </c>
      <c r="AG22" s="181">
        <f t="shared" si="14"/>
        <v>142.208</v>
      </c>
    </row>
    <row r="23" spans="1:33" x14ac:dyDescent="0.2">
      <c r="A23" s="1">
        <v>87</v>
      </c>
      <c r="B23" s="1" t="str">
        <f t="shared" si="0"/>
        <v>0.27, Sprayer 1200+ gal 120' 300 hp</v>
      </c>
      <c r="C23" s="151">
        <v>0.27</v>
      </c>
      <c r="D23" s="151" t="s">
        <v>436</v>
      </c>
      <c r="E23" s="172" t="s">
        <v>224</v>
      </c>
      <c r="F23" s="172" t="s">
        <v>244</v>
      </c>
      <c r="G23" s="151" t="str">
        <f t="shared" si="1"/>
        <v>Sprayer 1200+ gal 120' 300 hp</v>
      </c>
      <c r="H23" s="235">
        <v>343000</v>
      </c>
      <c r="I23" s="28">
        <v>15.442</v>
      </c>
      <c r="J23" s="32">
        <v>120</v>
      </c>
      <c r="K23" s="31">
        <v>12</v>
      </c>
      <c r="L23" s="30">
        <v>65</v>
      </c>
      <c r="M23" s="4">
        <f t="shared" si="2"/>
        <v>8.814102564102564E-3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3"/>
        <v>2800</v>
      </c>
      <c r="T23" s="11">
        <v>1</v>
      </c>
      <c r="U23" s="12">
        <v>0.2</v>
      </c>
      <c r="V23" s="12">
        <v>2.25</v>
      </c>
      <c r="W23" s="27">
        <f t="shared" si="4"/>
        <v>6463.640827418646</v>
      </c>
      <c r="X23" s="27">
        <f t="shared" si="5"/>
        <v>18.467545221196133</v>
      </c>
      <c r="Y23" s="8">
        <f t="shared" si="6"/>
        <v>6431.25</v>
      </c>
      <c r="Z23" s="179">
        <f t="shared" si="7"/>
        <v>18.375</v>
      </c>
      <c r="AA23" s="2">
        <f t="shared" si="8"/>
        <v>102900</v>
      </c>
      <c r="AB23" s="2">
        <f t="shared" si="9"/>
        <v>30012.5</v>
      </c>
      <c r="AC23" s="2">
        <f t="shared" si="10"/>
        <v>222950</v>
      </c>
      <c r="AD23" s="2">
        <f t="shared" si="11"/>
        <v>20065.5</v>
      </c>
      <c r="AE23" s="2">
        <f t="shared" si="12"/>
        <v>5350.8</v>
      </c>
      <c r="AF23" s="2">
        <f t="shared" si="13"/>
        <v>55428.800000000003</v>
      </c>
      <c r="AG23" s="181">
        <f t="shared" si="14"/>
        <v>158.36799999999999</v>
      </c>
    </row>
    <row r="24" spans="1:33" x14ac:dyDescent="0.2">
      <c r="D24" s="151" t="s">
        <v>436</v>
      </c>
    </row>
    <row r="25" spans="1:33" x14ac:dyDescent="0.2">
      <c r="D25" s="151" t="s">
        <v>436</v>
      </c>
    </row>
    <row r="26" spans="1:33" x14ac:dyDescent="0.2">
      <c r="D26" s="151" t="s">
        <v>436</v>
      </c>
    </row>
    <row r="27" spans="1:33" x14ac:dyDescent="0.2">
      <c r="D27" s="151" t="s">
        <v>436</v>
      </c>
    </row>
    <row r="28" spans="1:33" x14ac:dyDescent="0.2">
      <c r="D28" s="151" t="s">
        <v>436</v>
      </c>
    </row>
    <row r="29" spans="1:33" x14ac:dyDescent="0.2">
      <c r="D29" s="151" t="s">
        <v>436</v>
      </c>
    </row>
    <row r="30" spans="1:33" x14ac:dyDescent="0.2">
      <c r="D30" s="151" t="s">
        <v>436</v>
      </c>
    </row>
    <row r="31" spans="1:33" x14ac:dyDescent="0.2">
      <c r="D31" s="151" t="s">
        <v>436</v>
      </c>
    </row>
    <row r="32" spans="1:33" x14ac:dyDescent="0.2">
      <c r="D32" s="151" t="s">
        <v>436</v>
      </c>
    </row>
    <row r="33" spans="4:4" x14ac:dyDescent="0.2">
      <c r="D33" s="151" t="s">
        <v>436</v>
      </c>
    </row>
    <row r="34" spans="4:4" x14ac:dyDescent="0.2">
      <c r="D34" s="151" t="s">
        <v>436</v>
      </c>
    </row>
    <row r="35" spans="4:4" x14ac:dyDescent="0.2">
      <c r="D35" s="151" t="s">
        <v>436</v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2015-09-25T21:03:12Z</cp:lastPrinted>
  <dcterms:created xsi:type="dcterms:W3CDTF">2010-11-24T19:49:39Z</dcterms:created>
  <dcterms:modified xsi:type="dcterms:W3CDTF">2017-10-09T21:24:23Z</dcterms:modified>
</cp:coreProperties>
</file>