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vi\OneDrive - University of Georgia\Documents\Extension Analysis\2016 Budget Updates\"/>
    </mc:Choice>
  </mc:AlternateContent>
  <bookViews>
    <workbookView xWindow="0" yWindow="0" windowWidth="28800" windowHeight="12432" tabRatio="597" activeTab="1"/>
  </bookViews>
  <sheets>
    <sheet name="Instructions" sheetId="7" r:id="rId1"/>
    <sheet name="Main" sheetId="1" r:id="rId2"/>
    <sheet name="Bermuda" sheetId="2" r:id="rId3"/>
    <sheet name="Bahia" sheetId="55" r:id="rId4"/>
    <sheet name="Winter_Grazing" sheetId="56" r:id="rId5"/>
    <sheet name="Summer_Annual" sheetId="57" r:id="rId6"/>
    <sheet name="Hay" sheetId="58" r:id="rId7"/>
    <sheet name="Feed" sheetId="23" r:id="rId8"/>
    <sheet name="Vet" sheetId="17" r:id="rId9"/>
    <sheet name="Auction" sheetId="51" r:id="rId10"/>
    <sheet name="Lvstk_Facil" sheetId="53" r:id="rId11"/>
    <sheet name="Equipment" sheetId="54" r:id="rId12"/>
    <sheet name="Fixed_Cost" sheetId="5" state="hidden" r:id="rId13"/>
    <sheet name="Fixed_Payment" sheetId="6" state="hidden" r:id="rId14"/>
    <sheet name="J" sheetId="10" state="hidden" r:id="rId15"/>
    <sheet name="K" sheetId="11" state="hidden" r:id="rId16"/>
    <sheet name="L" sheetId="12" state="hidden" r:id="rId17"/>
    <sheet name="M" sheetId="13" state="hidden" r:id="rId18"/>
    <sheet name="N" sheetId="14" state="hidden" r:id="rId19"/>
    <sheet name="O" sheetId="15" state="hidden" r:id="rId20"/>
  </sheets>
  <externalReferences>
    <externalReference r:id="rId21"/>
    <externalReference r:id="rId22"/>
    <externalReference r:id="rId23"/>
    <externalReference r:id="rId24"/>
  </externalReferences>
  <definedNames>
    <definedName name="\0">#REF!</definedName>
    <definedName name="\A">#REF!</definedName>
    <definedName name="\AUTOEXEC" localSheetId="10">#N/A</definedName>
    <definedName name="\AUTOEXEC">#N/A</definedName>
    <definedName name="\B">#N/A</definedName>
    <definedName name="\C">#REF!</definedName>
    <definedName name="\EXPDATA">#N/A</definedName>
    <definedName name="\G">#REF!</definedName>
    <definedName name="\H">#REF!</definedName>
    <definedName name="\I">#REF!</definedName>
    <definedName name="\L">#REF!</definedName>
    <definedName name="\N">#REF!</definedName>
    <definedName name="\O">#REF!</definedName>
    <definedName name="\Q">#REF!</definedName>
    <definedName name="\R">#N/A</definedName>
    <definedName name="\S">#REF!</definedName>
    <definedName name="\T">#REF!</definedName>
    <definedName name="\X">#REF!</definedName>
    <definedName name="\Y">#REF!</definedName>
    <definedName name="\Z">#REF!</definedName>
    <definedName name="_GPH7" localSheetId="9">[1]Instructions:G!$H$4:$H$4</definedName>
    <definedName name="_GPH7">Instructions!$G$4:$G$4</definedName>
    <definedName name="_GPH72" localSheetId="9">[1]Instructions:G!$H$5:$H$5</definedName>
    <definedName name="_GPH72">Instructions!$G$5:$G$5</definedName>
    <definedName name="_NUM1">#N/A</definedName>
    <definedName name="_NUM2">#N/A</definedName>
    <definedName name="_NUM3">#N/A</definedName>
    <definedName name="_NUM4">#N/A</definedName>
    <definedName name="_NUM5">#N/A</definedName>
    <definedName name="_NUM6">#N/A</definedName>
    <definedName name="_NUM7">#N/A</definedName>
    <definedName name="_OUT1">#N/A</definedName>
    <definedName name="_OUT2">#N/A</definedName>
    <definedName name="_OUT3" localSheetId="3">#REF!</definedName>
    <definedName name="_OUT3" localSheetId="6">#REF!</definedName>
    <definedName name="_OUT3" localSheetId="5">#REF!</definedName>
    <definedName name="_OUT3" localSheetId="4">#REF!</definedName>
    <definedName name="_OUT3">Bermuda:Summer_Annual!$B$3:$I$16</definedName>
    <definedName name="_OUT4">Fixed_Cost!$B$3:$I$30</definedName>
    <definedName name="_OUT5">Fixed_Payment!$B$3:$J$43</definedName>
    <definedName name="_R1">#N/A</definedName>
    <definedName name="ADP">Fixed_Payment!$B$3</definedName>
    <definedName name="AFC" localSheetId="10">Lvstk_Facil!#REF!</definedName>
    <definedName name="AFC">Fixed_Cost!$B$2</definedName>
    <definedName name="AFP">#N/A</definedName>
    <definedName name="AGVAR" localSheetId="9">#N/A</definedName>
    <definedName name="AGVAR" localSheetId="10">#N/A</definedName>
    <definedName name="AGVAR">#N/A</definedName>
    <definedName name="ALLDATA" localSheetId="9">[1]Instructions:G!$A$4:$N$5</definedName>
    <definedName name="ALLDATA">Instructions!$B$4:$M$5</definedName>
    <definedName name="ASSUM">#N/A</definedName>
    <definedName name="auction_print">Auction!$A$3:$G$13</definedName>
    <definedName name="AVG_INV" localSheetId="10">Lvstk_Facil!$F$39</definedName>
    <definedName name="AVG_INV">#REF!</definedName>
    <definedName name="AVG_INV_INT" localSheetId="10">Lvstk_Facil!#REF!</definedName>
    <definedName name="AVG_INV_INT">#REF!</definedName>
    <definedName name="bahia" localSheetId="5">Bahia!$H$16</definedName>
    <definedName name="bahia">Bahia!$H$16</definedName>
    <definedName name="bahiapasture_print">Bahia!$A$3:$H$17</definedName>
    <definedName name="bermuda" localSheetId="3">Bahia!$H$16</definedName>
    <definedName name="bermuda">Bermuda!$H$16</definedName>
    <definedName name="bermudapasture_print">Bermuda!$A$1:$H$16</definedName>
    <definedName name="BREAKEVEN" localSheetId="10">#N/A</definedName>
    <definedName name="BREAKEVEN">#N/A</definedName>
    <definedName name="breakeven_returns">Main!$B$82:$L$129</definedName>
    <definedName name="bud_type">Main!$T$1</definedName>
    <definedName name="budgetnumbers">Main!$B$15:$L$121</definedName>
    <definedName name="build_dep" localSheetId="10">Lvstk_Facil!$I$25</definedName>
    <definedName name="build_dep">#REF!</definedName>
    <definedName name="bull_cull">Main!$H$30</definedName>
    <definedName name="bull_price">Main!$H$32</definedName>
    <definedName name="bull_vet">Vet!$G$31</definedName>
    <definedName name="bull_wt">Main!$H$31</definedName>
    <definedName name="bullfeed_cost">Feed!$G$36</definedName>
    <definedName name="bullfeed_lbs">Feed!$E$36</definedName>
    <definedName name="bulls">Main!$H$29</definedName>
    <definedName name="BUTTON1">#N/A</definedName>
    <definedName name="BUTTON2">#N/A</definedName>
    <definedName name="calf_vet">Vet!$G$40</definedName>
    <definedName name="calfcrop_pcnt">Main!$H$19</definedName>
    <definedName name="calffeed_cost">Feed!$G$48</definedName>
    <definedName name="calffeed_lbs">Feed!$E$48</definedName>
    <definedName name="calves_sold">Main!$H$25</definedName>
    <definedName name="CASHFORMAT">#REF!</definedName>
    <definedName name="cattle_fixed">[2]Fixed_Cost!$J$45</definedName>
    <definedName name="CENTER">#REF!</definedName>
    <definedName name="cf_total">[2]Fixed_Payment!$J$41</definedName>
    <definedName name="cow_cull">Main!$H$20</definedName>
    <definedName name="cow_death">Main!$H$26</definedName>
    <definedName name="cow_dep">Equipment!$J$21</definedName>
    <definedName name="cow_fc">Equipment!$D$27</definedName>
    <definedName name="cow_inv">Equipment!$H$21</definedName>
    <definedName name="cow_price">Main!$H$28</definedName>
    <definedName name="cow_vet">Vet!$G$11</definedName>
    <definedName name="cow_wt">Main!$H$27</definedName>
    <definedName name="cowfeed_cost">Feed!$G$11</definedName>
    <definedName name="cowfeed_lbs">Feed!$E$11</definedName>
    <definedName name="cows">Main!$H$18</definedName>
    <definedName name="CUMPGPH" localSheetId="9">[1]Instructions:G!$A$4:$A$4</definedName>
    <definedName name="CUMPGPH">Instructions!$B$4:$B$4</definedName>
    <definedName name="CUMPGPH2" localSheetId="9">[1]Instructions:G!$A$5:$A$5</definedName>
    <definedName name="CUMPGPH2">Instructions!$B$5:$B$5</definedName>
    <definedName name="death_loss">[3]Main!$I$26</definedName>
    <definedName name="DEBT1">[3]Main:Debt_Payments!$B$45:$J$190</definedName>
    <definedName name="ENR" localSheetId="10">#N/A</definedName>
    <definedName name="ENR">#N/A</definedName>
    <definedName name="ENR_MNR" localSheetId="10">#N/A</definedName>
    <definedName name="ENR_MNR">#N/A</definedName>
    <definedName name="equip_fc">Equipment!$D$32</definedName>
    <definedName name="equip_pmt" localSheetId="10">Lvstk_Facil!#REF!</definedName>
    <definedName name="equip_pmt">Equipment!$P$21</definedName>
    <definedName name="equipment_print">Equipment!$A$2:$P$21</definedName>
    <definedName name="ETR" localSheetId="10">#N/A</definedName>
    <definedName name="ETR">Main!N38</definedName>
    <definedName name="exp_wt">Main!$E$101</definedName>
    <definedName name="EXPP" localSheetId="10">#N/A</definedName>
    <definedName name="EXPP">#N/A</definedName>
    <definedName name="EXPY" localSheetId="10">#N/A</definedName>
    <definedName name="EXPY">#N/A</definedName>
    <definedName name="facil_avginv" localSheetId="10">Lvstk_Facil!$E$38</definedName>
    <definedName name="facil_avginv">#REF!</definedName>
    <definedName name="facil_fc" localSheetId="10">Lvstk_Facil!$E$40</definedName>
    <definedName name="facil_fc">#REF!</definedName>
    <definedName name="facil_int" localSheetId="10">Lvstk_Facil!$E$39</definedName>
    <definedName name="facil_int">#REF!</definedName>
    <definedName name="facil_inv">Lvstk_Facil!$F$25</definedName>
    <definedName name="facil_pmt" localSheetId="10">Lvstk_Facil!$N$25</definedName>
    <definedName name="facil_pmt">#REF!</definedName>
    <definedName name="feed_print">Feed!$A$2:$G$48</definedName>
    <definedName name="FIXEDCOST">#REF!</definedName>
    <definedName name="FOOTER">#REF!</definedName>
    <definedName name="G_CALC">#REF!</definedName>
    <definedName name="GP">#REF!</definedName>
    <definedName name="GPHDATA1">#N/A</definedName>
    <definedName name="GPHDATA2">#N/A</definedName>
    <definedName name="GPHDATA3" localSheetId="9">[1]Instructions:G!$A$4:$N$4</definedName>
    <definedName name="GPHDATA3">Instructions!$B$4:$M$4</definedName>
    <definedName name="GPHINS">#N/A</definedName>
    <definedName name="GPRINT">#REF!</definedName>
    <definedName name="GR_OP">#REF!</definedName>
    <definedName name="hay">Hay!$H$17</definedName>
    <definedName name="Hay_dep">Equipment!$K$21</definedName>
    <definedName name="hay_inv">Equipment!$I$21</definedName>
    <definedName name="hay_print">Hay!$A$2:$H$18</definedName>
    <definedName name="hay_tons">Hay!$C$2</definedName>
    <definedName name="hfr_cullprice">Main!$H$24</definedName>
    <definedName name="hfr_culls">Main!$H$22</definedName>
    <definedName name="hfr_cullwt">Main!$H$23</definedName>
    <definedName name="hfr_vet">Vet!$G$21</definedName>
    <definedName name="hfrfeed_cost">Feed!$G$24</definedName>
    <definedName name="hfrfeed_lbs">Feed!$E$24</definedName>
    <definedName name="hfrs">Main!$H$21</definedName>
    <definedName name="impl_avginv" localSheetId="10">Lvstk_Facil!#REF!</definedName>
    <definedName name="impl_avginv">#REF!</definedName>
    <definedName name="impl_dep" localSheetId="10">Lvstk_Facil!#REF!</definedName>
    <definedName name="impl_dep">#REF!</definedName>
    <definedName name="impl_fc" localSheetId="10">Lvstk_Facil!#REF!</definedName>
    <definedName name="impl_fc">#REF!</definedName>
    <definedName name="impl_int" localSheetId="10">Lvstk_Facil!#REF!</definedName>
    <definedName name="impl_int">#REF!</definedName>
    <definedName name="INS_PMT" localSheetId="10">Lvstk_Facil!#REF!</definedName>
    <definedName name="INS_PMT">#REF!</definedName>
    <definedName name="INS_RATE" localSheetId="10">Lvstk_Facil!#REF!</definedName>
    <definedName name="INS_RATE">#REF!</definedName>
    <definedName name="INV_RATE" localSheetId="10">Lvstk_Facil!#REF!</definedName>
    <definedName name="INV_RATE">#REF!</definedName>
    <definedName name="land_fc" localSheetId="10">Lvstk_Facil!$E$45</definedName>
    <definedName name="land_fc">#REF!</definedName>
    <definedName name="land_int">Main!$G$77</definedName>
    <definedName name="land_inv" localSheetId="10">Lvstk_Facil!$F$29</definedName>
    <definedName name="land_inv">#REF!</definedName>
    <definedName name="LAND_PMT" localSheetId="10">Lvstk_Facil!$N$29</definedName>
    <definedName name="LAND_PMT">#REF!</definedName>
    <definedName name="livestock_facil_print">Lvstk_Facil!$E$35</definedName>
    <definedName name="lvst_int" localSheetId="10">Lvstk_Facil!$E$35</definedName>
    <definedName name="lvst_int">#REF!</definedName>
    <definedName name="lvstk_dep" localSheetId="10">Lvstk_Facil!$I$11</definedName>
    <definedName name="lvstk_dep">#REF!</definedName>
    <definedName name="lvstk_fc" localSheetId="10">Lvstk_Facil!$E$36</definedName>
    <definedName name="lvstk_fc">#REF!</definedName>
    <definedName name="lvstk_inv" localSheetId="10">Lvstk_Facil!$F$11</definedName>
    <definedName name="lvstk_inv">#REF!</definedName>
    <definedName name="lvstk_pmt" localSheetId="10">Lvstk_Facil!$N$11</definedName>
    <definedName name="lvstk_pmt">#REF!</definedName>
    <definedName name="lvtsk">Lvstk_Facil!$F$11</definedName>
    <definedName name="lvtsk_inv">Lvstk_Facil!$F$11</definedName>
    <definedName name="mach_fixed">[2]Fixed_Cost!$J$46</definedName>
    <definedName name="mktng_cst">Auction!$G$12</definedName>
    <definedName name="MNR" localSheetId="10">#N/A</definedName>
    <definedName name="MNR">#N/A</definedName>
    <definedName name="MP" localSheetId="10">#N/A</definedName>
    <definedName name="MP">#N/A</definedName>
    <definedName name="MTC" localSheetId="10">#N/A</definedName>
    <definedName name="MTC">#N/A</definedName>
    <definedName name="MTR" localSheetId="10">#N/A</definedName>
    <definedName name="MTR">#N/A</definedName>
    <definedName name="MY" localSheetId="10">#N/A</definedName>
    <definedName name="MY">#N/A</definedName>
    <definedName name="page1_print">Main!$B$14:$L$80</definedName>
    <definedName name="payment">[4]Fixed_Payment!$J$45</definedName>
    <definedName name="PG">#REF!</definedName>
    <definedName name="_xlnm.Print_Area" localSheetId="9">Auction!$A$3:$G$13</definedName>
    <definedName name="_xlnm.Print_Area" localSheetId="3">Bahia!$A$3:$H$17</definedName>
    <definedName name="_xlnm.Print_Area" localSheetId="2">Bermuda!$A$3:$H$17</definedName>
    <definedName name="_xlnm.Print_Area" localSheetId="11">Equipment!$A$2:$P$32</definedName>
    <definedName name="_xlnm.Print_Area" localSheetId="7">Feed!$A$2:$G$48</definedName>
    <definedName name="_xlnm.Print_Area" localSheetId="12">Fixed_Cost!$B$3:$I$30</definedName>
    <definedName name="_xlnm.Print_Area" localSheetId="13">Fixed_Payment!$B$3:$J$42</definedName>
    <definedName name="_xlnm.Print_Area" localSheetId="6">Hay!$A$2:$H$24</definedName>
    <definedName name="_xlnm.Print_Area" localSheetId="10">Lvstk_Facil!$B$3:$N$29</definedName>
    <definedName name="_xlnm.Print_Area" localSheetId="1">Main!$B$14:$J$130</definedName>
    <definedName name="_xlnm.Print_Area" localSheetId="5">Summer_Annual!$A$3:$H$17</definedName>
    <definedName name="_xlnm.Print_Area" localSheetId="8">Vet!$A$3:$G$40</definedName>
    <definedName name="_xlnm.Print_Area" localSheetId="4">Winter_Grazing!$A$3:$H$20</definedName>
    <definedName name="PRINTIT">#REF!</definedName>
    <definedName name="PRINTOP">#REF!</definedName>
    <definedName name="PRINTTWO">#REF!</definedName>
    <definedName name="purch_hay_total">#REF!</definedName>
    <definedName name="RET">#REF!</definedName>
    <definedName name="RISK" localSheetId="9">#N/A</definedName>
    <definedName name="RISK" localSheetId="10">#N/A</definedName>
    <definedName name="RISK">#N/A</definedName>
    <definedName name="SPINVAL">#REF!</definedName>
    <definedName name="STRHH" localSheetId="10">#N/A</definedName>
    <definedName name="STRHH">#N/A</definedName>
    <definedName name="STRHL" localSheetId="10">#N/A</definedName>
    <definedName name="STRHL">#N/A</definedName>
    <definedName name="STRLH" localSheetId="10">#N/A</definedName>
    <definedName name="STRLH">#N/A</definedName>
    <definedName name="STRLL" localSheetId="10">#N/A</definedName>
    <definedName name="STRLL">#N/A</definedName>
    <definedName name="STRO" localSheetId="10">#N/A</definedName>
    <definedName name="STRO">#N/A</definedName>
    <definedName name="STRP" localSheetId="10">#N/A</definedName>
    <definedName name="STRP">#N/A</definedName>
    <definedName name="summer">Summer_Annual!$H$16</definedName>
    <definedName name="summergrazing_print">Summer_Annual!$A$3:$H$16</definedName>
    <definedName name="TFC">[4]Fixed_Cost!$J$44</definedName>
    <definedName name="title">Main!$B$1:$I$4</definedName>
    <definedName name="TITLE1" localSheetId="10">#N/A</definedName>
    <definedName name="TITLE1">#N/A</definedName>
    <definedName name="TITLE2" localSheetId="9">#N/A</definedName>
    <definedName name="TITLE2" localSheetId="10">#N/A</definedName>
    <definedName name="TITLE2">#N/A</definedName>
    <definedName name="TITLE3" localSheetId="9">#N/A</definedName>
    <definedName name="TITLE3" localSheetId="10">#N/A</definedName>
    <definedName name="TITLE3">#N/A</definedName>
    <definedName name="TITLE4" localSheetId="9">#N/A</definedName>
    <definedName name="TITLE4" localSheetId="10">#N/A</definedName>
    <definedName name="TITLE4">#N/A</definedName>
    <definedName name="TITLE5">#N/A</definedName>
    <definedName name="TOP">#N/A</definedName>
    <definedName name="TOTAL">#REF!</definedName>
    <definedName name="total_fixed">Main!$H$80</definedName>
    <definedName name="TOTAL_INV" localSheetId="10">Lvstk_Facil!#REF!</definedName>
    <definedName name="TOTAL_INV">#REF!</definedName>
    <definedName name="tractor_dep" localSheetId="10">Lvstk_Facil!#REF!</definedName>
    <definedName name="tractor_dep">#REF!</definedName>
    <definedName name="UNIT" localSheetId="10">#N/A</definedName>
    <definedName name="UNIT">#N/A</definedName>
    <definedName name="UNITCOST" localSheetId="10">#N/A</definedName>
    <definedName name="UNITCOST">#N/A</definedName>
    <definedName name="VARCOST">#N/A</definedName>
    <definedName name="VARFORMAT">#REF!</definedName>
    <definedName name="vet_print">Vet!$A$3:$G$40</definedName>
    <definedName name="waste_dep" localSheetId="10">Lvstk_Facil!#REF!</definedName>
    <definedName name="waste_dep">#REF!</definedName>
    <definedName name="waste_fc" localSheetId="10">Lvstk_Facil!#REF!</definedName>
    <definedName name="waste_fc">#REF!</definedName>
    <definedName name="waste_int" localSheetId="10">Lvstk_Facil!#REF!</definedName>
    <definedName name="waste_int">#REF!</definedName>
    <definedName name="waste_inv" localSheetId="10">Lvstk_Facil!#REF!</definedName>
    <definedName name="waste_inv">#REF!</definedName>
    <definedName name="WASTE_MGMT_PMT" localSheetId="10">Lvstk_Facil!#REF!</definedName>
    <definedName name="WASTE_MGMT_PMT">#REF!</definedName>
    <definedName name="winter" localSheetId="5">Summer_Annual!$H$16</definedName>
    <definedName name="winter">Winter_Grazing!$H$19</definedName>
    <definedName name="wintergrazing_print">Winter_Grazing!$A$3:$H$19</definedName>
    <definedName name="YTWO">#REF!</definedName>
  </definedNames>
  <calcPr calcId="152511"/>
</workbook>
</file>

<file path=xl/calcChain.xml><?xml version="1.0" encoding="utf-8"?>
<calcChain xmlns="http://schemas.openxmlformats.org/spreadsheetml/2006/main">
  <c r="F40" i="1" l="1"/>
  <c r="H40" i="1"/>
  <c r="J40" i="1"/>
  <c r="I36" i="1"/>
  <c r="I37" i="1"/>
  <c r="H10" i="2" l="1"/>
  <c r="H9" i="2"/>
  <c r="G40" i="1"/>
  <c r="G39" i="1"/>
  <c r="I39" i="1"/>
  <c r="F48" i="1"/>
  <c r="H11" i="55"/>
  <c r="H8" i="55"/>
  <c r="H11" i="2"/>
  <c r="F47" i="1"/>
  <c r="H12" i="56"/>
  <c r="H13" i="56"/>
  <c r="H14" i="56"/>
  <c r="F49" i="1"/>
  <c r="H11" i="57"/>
  <c r="H9" i="57"/>
  <c r="H10" i="57"/>
  <c r="H8" i="57"/>
  <c r="F50" i="1"/>
  <c r="H9" i="58"/>
  <c r="H10" i="58"/>
  <c r="H8" i="58"/>
  <c r="H11" i="58"/>
  <c r="F51" i="1"/>
  <c r="F52" i="1"/>
  <c r="H52" i="1" s="1"/>
  <c r="I52" i="1" s="1"/>
  <c r="F60" i="1"/>
  <c r="F61" i="1"/>
  <c r="F62" i="1"/>
  <c r="G26" i="17"/>
  <c r="G27" i="17"/>
  <c r="G28" i="17"/>
  <c r="G29" i="17"/>
  <c r="G30" i="17"/>
  <c r="F65" i="1"/>
  <c r="H65" i="1" s="1"/>
  <c r="I65" i="1" s="1"/>
  <c r="F66" i="1"/>
  <c r="H66" i="1" s="1"/>
  <c r="I66" i="1" s="1"/>
  <c r="F68" i="1"/>
  <c r="H68" i="1" s="1"/>
  <c r="I68" i="1" s="1"/>
  <c r="C15" i="54"/>
  <c r="C20" i="54"/>
  <c r="C19" i="54"/>
  <c r="E19" i="54" s="1"/>
  <c r="C18" i="54"/>
  <c r="E18" i="54"/>
  <c r="K18" i="54" s="1"/>
  <c r="C17" i="54"/>
  <c r="C16" i="54"/>
  <c r="H16" i="54" s="1"/>
  <c r="O20" i="54"/>
  <c r="P20" i="54"/>
  <c r="O19" i="54"/>
  <c r="P19" i="54" s="1"/>
  <c r="O18" i="54"/>
  <c r="P18" i="54" s="1"/>
  <c r="O17" i="54"/>
  <c r="P17" i="54" s="1"/>
  <c r="O16" i="54"/>
  <c r="O15" i="54"/>
  <c r="P15" i="54" s="1"/>
  <c r="O13" i="54"/>
  <c r="O12" i="54"/>
  <c r="O11" i="54"/>
  <c r="P11" i="54" s="1"/>
  <c r="O10" i="54"/>
  <c r="P10" i="54" s="1"/>
  <c r="O9" i="54"/>
  <c r="O8" i="54"/>
  <c r="P8" i="54" s="1"/>
  <c r="O7" i="54"/>
  <c r="P7" i="54" s="1"/>
  <c r="O6" i="54"/>
  <c r="P6" i="54" s="1"/>
  <c r="O5" i="54"/>
  <c r="O4" i="54"/>
  <c r="P4" i="54" s="1"/>
  <c r="P16" i="54"/>
  <c r="E47" i="23"/>
  <c r="G47" i="23"/>
  <c r="E46" i="23"/>
  <c r="G46" i="23" s="1"/>
  <c r="E45" i="23"/>
  <c r="G45" i="23" s="1"/>
  <c r="E44" i="23"/>
  <c r="G44" i="23" s="1"/>
  <c r="E43" i="23"/>
  <c r="G43" i="23" s="1"/>
  <c r="E42" i="23"/>
  <c r="G42" i="23" s="1"/>
  <c r="E41" i="23"/>
  <c r="G41" i="23" s="1"/>
  <c r="E29" i="23"/>
  <c r="G29" i="23" s="1"/>
  <c r="E23" i="23"/>
  <c r="G23" i="23" s="1"/>
  <c r="E22" i="23"/>
  <c r="G22" i="23" s="1"/>
  <c r="E21" i="23"/>
  <c r="G21" i="23" s="1"/>
  <c r="E20" i="23"/>
  <c r="G20" i="23" s="1"/>
  <c r="E19" i="23"/>
  <c r="G19" i="23"/>
  <c r="E18" i="23"/>
  <c r="G18" i="23" s="1"/>
  <c r="E17" i="23"/>
  <c r="E10" i="23"/>
  <c r="G10" i="23" s="1"/>
  <c r="E9" i="23"/>
  <c r="G9" i="23" s="1"/>
  <c r="E8" i="23"/>
  <c r="G8" i="23"/>
  <c r="E7" i="23"/>
  <c r="G7" i="23" s="1"/>
  <c r="E6" i="23"/>
  <c r="G6" i="23" s="1"/>
  <c r="E5" i="23"/>
  <c r="G5" i="23" s="1"/>
  <c r="E4" i="23"/>
  <c r="G4" i="23"/>
  <c r="H6" i="57"/>
  <c r="H12" i="57"/>
  <c r="H13" i="57"/>
  <c r="H14" i="57"/>
  <c r="H15" i="57"/>
  <c r="H11" i="56"/>
  <c r="H16" i="56"/>
  <c r="F37" i="1"/>
  <c r="G8" i="51"/>
  <c r="G7" i="51"/>
  <c r="G9" i="51"/>
  <c r="G10" i="51"/>
  <c r="H8" i="2"/>
  <c r="H13" i="2"/>
  <c r="H13" i="55"/>
  <c r="H9" i="55"/>
  <c r="H10" i="55"/>
  <c r="H14" i="58"/>
  <c r="G17" i="17"/>
  <c r="G35" i="17"/>
  <c r="G8" i="53"/>
  <c r="G9" i="53"/>
  <c r="G10" i="53"/>
  <c r="H9" i="53"/>
  <c r="H10" i="53"/>
  <c r="F9" i="53"/>
  <c r="K9" i="53" s="1"/>
  <c r="N9" i="53" s="1"/>
  <c r="H6" i="2"/>
  <c r="H6" i="55"/>
  <c r="I16" i="54"/>
  <c r="I18" i="54"/>
  <c r="H18" i="54"/>
  <c r="H19" i="54"/>
  <c r="H20" i="54"/>
  <c r="G78" i="1"/>
  <c r="G79" i="1"/>
  <c r="H19" i="1"/>
  <c r="E58" i="1"/>
  <c r="F58" i="1" s="1"/>
  <c r="H58" i="1" s="1"/>
  <c r="F67" i="1"/>
  <c r="H67" i="1" s="1"/>
  <c r="I67" i="1" s="1"/>
  <c r="H36" i="1"/>
  <c r="G36" i="1"/>
  <c r="J36" i="1"/>
  <c r="B80" i="1"/>
  <c r="B14" i="54"/>
  <c r="B9" i="54"/>
  <c r="B4" i="54"/>
  <c r="D79" i="1"/>
  <c r="D78" i="1"/>
  <c r="D77" i="1"/>
  <c r="F8" i="53"/>
  <c r="F10" i="53"/>
  <c r="K10" i="53" s="1"/>
  <c r="H6" i="58"/>
  <c r="H12" i="58"/>
  <c r="H13" i="58"/>
  <c r="H15" i="58"/>
  <c r="H16" i="58"/>
  <c r="C5" i="54"/>
  <c r="I5" i="54" s="1"/>
  <c r="C6" i="54"/>
  <c r="I6" i="54" s="1"/>
  <c r="C7" i="54"/>
  <c r="I7" i="54" s="1"/>
  <c r="C8" i="54"/>
  <c r="C10" i="54"/>
  <c r="H10" i="54" s="1"/>
  <c r="C11" i="54"/>
  <c r="H11" i="54" s="1"/>
  <c r="C12" i="54"/>
  <c r="I12" i="54" s="1"/>
  <c r="C13" i="54"/>
  <c r="I13" i="54" s="1"/>
  <c r="H13" i="54"/>
  <c r="E5" i="54"/>
  <c r="K5" i="54" s="1"/>
  <c r="E7" i="54"/>
  <c r="K7" i="54" s="1"/>
  <c r="E8" i="54"/>
  <c r="E11" i="54"/>
  <c r="J11" i="54" s="1"/>
  <c r="K11" i="54"/>
  <c r="H7" i="54"/>
  <c r="P9" i="54"/>
  <c r="P12" i="54"/>
  <c r="P13" i="54"/>
  <c r="B75" i="1"/>
  <c r="B89" i="1" s="1"/>
  <c r="D14" i="53"/>
  <c r="F14" i="53" s="1"/>
  <c r="K14" i="53" s="1"/>
  <c r="N14" i="53" s="1"/>
  <c r="F15" i="53"/>
  <c r="K15" i="53" s="1"/>
  <c r="F16" i="53"/>
  <c r="F17" i="53"/>
  <c r="G17" i="53" s="1"/>
  <c r="F18" i="53"/>
  <c r="K18" i="53" s="1"/>
  <c r="N18" i="53" s="1"/>
  <c r="F19" i="53"/>
  <c r="I19" i="53" s="1"/>
  <c r="F20" i="53"/>
  <c r="G20" i="53" s="1"/>
  <c r="F21" i="53"/>
  <c r="K21" i="53" s="1"/>
  <c r="N21" i="53" s="1"/>
  <c r="F22" i="53"/>
  <c r="G22" i="53" s="1"/>
  <c r="F23" i="53"/>
  <c r="I23" i="53" s="1"/>
  <c r="F24" i="53"/>
  <c r="K24" i="53" s="1"/>
  <c r="I15" i="53"/>
  <c r="I22" i="53"/>
  <c r="E44" i="53"/>
  <c r="F29" i="53"/>
  <c r="B79" i="1"/>
  <c r="B78" i="1"/>
  <c r="B92" i="1" s="1"/>
  <c r="B77" i="1"/>
  <c r="B74" i="1"/>
  <c r="B88" i="1" s="1"/>
  <c r="B76" i="1"/>
  <c r="B90" i="1" s="1"/>
  <c r="H12" i="2"/>
  <c r="H14" i="2"/>
  <c r="H15" i="2"/>
  <c r="H12" i="55"/>
  <c r="H14" i="55"/>
  <c r="H15" i="55"/>
  <c r="H7" i="56"/>
  <c r="H8" i="56"/>
  <c r="H9" i="56"/>
  <c r="H15" i="56"/>
  <c r="H17" i="56"/>
  <c r="H18" i="56"/>
  <c r="E30" i="23"/>
  <c r="E31" i="23"/>
  <c r="G31" i="23" s="1"/>
  <c r="E32" i="23"/>
  <c r="G32" i="23"/>
  <c r="E33" i="23"/>
  <c r="G33" i="23" s="1"/>
  <c r="E34" i="23"/>
  <c r="G34" i="23"/>
  <c r="E35" i="23"/>
  <c r="G35" i="23" s="1"/>
  <c r="G5" i="17"/>
  <c r="G6" i="17"/>
  <c r="G7" i="17"/>
  <c r="G8" i="17"/>
  <c r="G9" i="17"/>
  <c r="G16" i="17"/>
  <c r="G18" i="17"/>
  <c r="G19" i="17"/>
  <c r="G20" i="17"/>
  <c r="G38" i="17"/>
  <c r="G36" i="17"/>
  <c r="G40" i="17"/>
  <c r="G63" i="1" s="1"/>
  <c r="G37" i="17"/>
  <c r="G39" i="17"/>
  <c r="D86" i="1"/>
  <c r="H86" i="1" s="1"/>
  <c r="B91" i="1"/>
  <c r="N15" i="53"/>
  <c r="K20" i="53"/>
  <c r="N20" i="53" s="1"/>
  <c r="K22" i="53"/>
  <c r="N22" i="53" s="1"/>
  <c r="G7" i="6"/>
  <c r="B15" i="1"/>
  <c r="H6" i="56"/>
  <c r="G10" i="17"/>
  <c r="C10" i="17"/>
  <c r="C39" i="17"/>
  <c r="C38" i="17"/>
  <c r="C37" i="17"/>
  <c r="C36" i="17"/>
  <c r="C35" i="17"/>
  <c r="C30" i="17"/>
  <c r="C29" i="17"/>
  <c r="C28" i="17"/>
  <c r="C27" i="17"/>
  <c r="C26" i="17"/>
  <c r="C20" i="17"/>
  <c r="C19" i="17"/>
  <c r="C18" i="17"/>
  <c r="C17" i="17"/>
  <c r="C16" i="17"/>
  <c r="F14" i="6"/>
  <c r="J14" i="6" s="1"/>
  <c r="F15" i="6"/>
  <c r="J15" i="6" s="1"/>
  <c r="F16" i="6"/>
  <c r="J16" i="6" s="1"/>
  <c r="F17" i="6"/>
  <c r="J17" i="6" s="1"/>
  <c r="J18" i="6"/>
  <c r="J19" i="6"/>
  <c r="J20" i="6"/>
  <c r="F22" i="6"/>
  <c r="J22" i="6"/>
  <c r="F10" i="5"/>
  <c r="F11" i="5"/>
  <c r="I11" i="5" s="1"/>
  <c r="D12" i="5"/>
  <c r="F12" i="5"/>
  <c r="F22" i="5" s="1"/>
  <c r="F18" i="5"/>
  <c r="I18" i="5" s="1"/>
  <c r="G10" i="5"/>
  <c r="I10" i="5" s="1"/>
  <c r="G12" i="5"/>
  <c r="H6" i="5"/>
  <c r="H10" i="5"/>
  <c r="I17" i="5"/>
  <c r="I19" i="5"/>
  <c r="I20" i="5"/>
  <c r="C5" i="17"/>
  <c r="C6" i="17"/>
  <c r="C7" i="17"/>
  <c r="C8" i="17"/>
  <c r="C9" i="17"/>
  <c r="E61" i="1"/>
  <c r="E62" i="1"/>
  <c r="X118" i="1"/>
  <c r="I40" i="1"/>
  <c r="J7" i="54"/>
  <c r="H5" i="54"/>
  <c r="H6" i="54"/>
  <c r="H37" i="1"/>
  <c r="J18" i="54"/>
  <c r="F63" i="1"/>
  <c r="H63" i="1" s="1"/>
  <c r="G37" i="1"/>
  <c r="G30" i="23"/>
  <c r="O14" i="54"/>
  <c r="P14" i="54" s="1"/>
  <c r="C14" i="54"/>
  <c r="H14" i="54" s="1"/>
  <c r="E14" i="54"/>
  <c r="K14" i="54" s="1"/>
  <c r="K8" i="53"/>
  <c r="N8" i="53" s="1"/>
  <c r="E48" i="23"/>
  <c r="N24" i="53"/>
  <c r="I24" i="53"/>
  <c r="I17" i="53"/>
  <c r="K17" i="53"/>
  <c r="N17" i="53"/>
  <c r="E63" i="1"/>
  <c r="E24" i="23"/>
  <c r="F24" i="23" s="1"/>
  <c r="G17" i="23"/>
  <c r="E17" i="54"/>
  <c r="J17" i="54" s="1"/>
  <c r="H17" i="54"/>
  <c r="I17" i="54"/>
  <c r="G23" i="53"/>
  <c r="K23" i="53"/>
  <c r="N23" i="53" s="1"/>
  <c r="C4" i="54"/>
  <c r="I18" i="53"/>
  <c r="J37" i="1"/>
  <c r="I9" i="53"/>
  <c r="P5" i="54"/>
  <c r="E20" i="54"/>
  <c r="K20" i="54" s="1"/>
  <c r="I20" i="54"/>
  <c r="J14" i="54"/>
  <c r="I4" i="54"/>
  <c r="J20" i="54"/>
  <c r="E4" i="54"/>
  <c r="K4" i="54" s="1"/>
  <c r="J4" i="54"/>
  <c r="I12" i="5" l="1"/>
  <c r="G24" i="53"/>
  <c r="I14" i="53"/>
  <c r="I21" i="53"/>
  <c r="J5" i="54"/>
  <c r="E13" i="54"/>
  <c r="I11" i="54"/>
  <c r="G11" i="17"/>
  <c r="G60" i="1" s="1"/>
  <c r="H60" i="1" s="1"/>
  <c r="I60" i="1" s="1"/>
  <c r="I20" i="53"/>
  <c r="G21" i="53"/>
  <c r="E6" i="54"/>
  <c r="K6" i="54" s="1"/>
  <c r="I10" i="54"/>
  <c r="J37" i="6"/>
  <c r="I19" i="54"/>
  <c r="G31" i="17"/>
  <c r="G62" i="1" s="1"/>
  <c r="H62" i="1" s="1"/>
  <c r="I62" i="1" s="1"/>
  <c r="H16" i="57"/>
  <c r="G50" i="1" s="1"/>
  <c r="H50" i="1" s="1"/>
  <c r="G24" i="23"/>
  <c r="H55" i="1" s="1"/>
  <c r="I55" i="1" s="1"/>
  <c r="H16" i="55"/>
  <c r="G48" i="1" s="1"/>
  <c r="H48" i="1" s="1"/>
  <c r="I48" i="1" s="1"/>
  <c r="P21" i="54"/>
  <c r="N10" i="53"/>
  <c r="N11" i="53" s="1"/>
  <c r="K11" i="53"/>
  <c r="I58" i="1"/>
  <c r="K8" i="54"/>
  <c r="J8" i="54"/>
  <c r="G48" i="23"/>
  <c r="H57" i="1" s="1"/>
  <c r="I63" i="1"/>
  <c r="G21" i="17"/>
  <c r="G61" i="1" s="1"/>
  <c r="H61" i="1" s="1"/>
  <c r="F77" i="1"/>
  <c r="H77" i="1" s="1"/>
  <c r="E43" i="53"/>
  <c r="E45" i="53" s="1"/>
  <c r="F78" i="1"/>
  <c r="H78" i="1" s="1"/>
  <c r="I78" i="1" s="1"/>
  <c r="G19" i="53"/>
  <c r="K19" i="54"/>
  <c r="J19" i="54"/>
  <c r="H16" i="2"/>
  <c r="G47" i="1" s="1"/>
  <c r="H47" i="1" s="1"/>
  <c r="I47" i="1" s="1"/>
  <c r="J38" i="1"/>
  <c r="K17" i="54"/>
  <c r="K29" i="53"/>
  <c r="N29" i="53" s="1"/>
  <c r="I22" i="5"/>
  <c r="I14" i="54"/>
  <c r="H19" i="56"/>
  <c r="G49" i="1" s="1"/>
  <c r="H49" i="1" s="1"/>
  <c r="K19" i="53"/>
  <c r="N19" i="53" s="1"/>
  <c r="H12" i="54"/>
  <c r="I8" i="54"/>
  <c r="H8" i="54"/>
  <c r="F11" i="53"/>
  <c r="G11" i="23"/>
  <c r="H54" i="1" s="1"/>
  <c r="G36" i="23"/>
  <c r="G6" i="6"/>
  <c r="G16" i="53"/>
  <c r="I16" i="53"/>
  <c r="C9" i="54"/>
  <c r="C21" i="54" s="1"/>
  <c r="G38" i="1"/>
  <c r="H38" i="1"/>
  <c r="J41" i="1" s="1"/>
  <c r="I38" i="1"/>
  <c r="O21" i="54"/>
  <c r="B21" i="54"/>
  <c r="F38" i="1"/>
  <c r="H25" i="1"/>
  <c r="E36" i="23"/>
  <c r="F25" i="53"/>
  <c r="I10" i="53"/>
  <c r="I11" i="53" s="1"/>
  <c r="K16" i="53"/>
  <c r="E12" i="54"/>
  <c r="E10" i="54"/>
  <c r="J6" i="54"/>
  <c r="H4" i="54"/>
  <c r="E34" i="53"/>
  <c r="E11" i="23"/>
  <c r="E56" i="1" s="1"/>
  <c r="F56" i="1" s="1"/>
  <c r="E16" i="54"/>
  <c r="I15" i="54"/>
  <c r="E15" i="54"/>
  <c r="H15" i="54"/>
  <c r="G11" i="53"/>
  <c r="H17" i="58"/>
  <c r="H18" i="58" s="1"/>
  <c r="E33" i="53"/>
  <c r="G22" i="5"/>
  <c r="I54" i="1"/>
  <c r="E57" i="1"/>
  <c r="F57" i="1" s="1"/>
  <c r="E54" i="1" l="1"/>
  <c r="F54" i="1" s="1"/>
  <c r="K13" i="54"/>
  <c r="J13" i="54"/>
  <c r="E55" i="1"/>
  <c r="F55" i="1" s="1"/>
  <c r="F11" i="23"/>
  <c r="I25" i="53"/>
  <c r="H59" i="1"/>
  <c r="G55" i="1"/>
  <c r="I59" i="1"/>
  <c r="K15" i="54"/>
  <c r="J15" i="54"/>
  <c r="K12" i="54"/>
  <c r="J12" i="54"/>
  <c r="I77" i="1"/>
  <c r="F48" i="23"/>
  <c r="N16" i="53"/>
  <c r="N25" i="53" s="1"/>
  <c r="K25" i="53"/>
  <c r="Q121" i="1"/>
  <c r="Q119" i="1"/>
  <c r="Q122" i="1"/>
  <c r="Q120" i="1"/>
  <c r="Q160" i="1" s="1"/>
  <c r="Q118" i="1"/>
  <c r="F70" i="1"/>
  <c r="F86" i="1"/>
  <c r="E97" i="1"/>
  <c r="I9" i="54"/>
  <c r="I21" i="54" s="1"/>
  <c r="I49" i="1"/>
  <c r="E36" i="53"/>
  <c r="J16" i="54"/>
  <c r="K16" i="54"/>
  <c r="E101" i="1"/>
  <c r="G41" i="1"/>
  <c r="H41" i="1"/>
  <c r="I41" i="1" s="1"/>
  <c r="S121" i="1" s="1"/>
  <c r="H56" i="1"/>
  <c r="H53" i="1" s="1"/>
  <c r="F36" i="23"/>
  <c r="I50" i="1"/>
  <c r="S120" i="1"/>
  <c r="Q159" i="1" s="1"/>
  <c r="F79" i="1"/>
  <c r="H79" i="1" s="1"/>
  <c r="G56" i="1"/>
  <c r="I61" i="1"/>
  <c r="D91" i="1"/>
  <c r="F91" i="1" s="1"/>
  <c r="G51" i="1"/>
  <c r="H51" i="1" s="1"/>
  <c r="I51" i="1" s="1"/>
  <c r="J10" i="54"/>
  <c r="K10" i="54"/>
  <c r="F64" i="1"/>
  <c r="H64" i="1" s="1"/>
  <c r="H9" i="54"/>
  <c r="H21" i="54" s="1"/>
  <c r="G25" i="53"/>
  <c r="E38" i="53" s="1"/>
  <c r="E40" i="53" s="1"/>
  <c r="H75" i="1" s="1"/>
  <c r="F41" i="1"/>
  <c r="E9" i="54"/>
  <c r="I24" i="5"/>
  <c r="I26" i="5"/>
  <c r="J38" i="6" s="1"/>
  <c r="J41" i="6" s="1"/>
  <c r="J42" i="6" s="1"/>
  <c r="G57" i="1"/>
  <c r="I57" i="1"/>
  <c r="H91" i="1" l="1"/>
  <c r="F69" i="1"/>
  <c r="H69" i="1" s="1"/>
  <c r="I69" i="1" s="1"/>
  <c r="I75" i="1"/>
  <c r="D89" i="1"/>
  <c r="J75" i="1"/>
  <c r="Q129" i="1"/>
  <c r="Q130" i="1" s="1"/>
  <c r="Q132" i="1" s="1"/>
  <c r="J79" i="1"/>
  <c r="D92" i="1"/>
  <c r="I79" i="1"/>
  <c r="S119" i="1"/>
  <c r="V121" i="1" s="1"/>
  <c r="E47" i="53"/>
  <c r="H74" i="1"/>
  <c r="K9" i="54"/>
  <c r="K21" i="54" s="1"/>
  <c r="D29" i="54" s="1"/>
  <c r="D31" i="54" s="1"/>
  <c r="D32" i="54" s="1"/>
  <c r="J9" i="54"/>
  <c r="J21" i="54" s="1"/>
  <c r="D24" i="54" s="1"/>
  <c r="D26" i="54" s="1"/>
  <c r="D27" i="54" s="1"/>
  <c r="E21" i="54"/>
  <c r="I64" i="1"/>
  <c r="S122" i="1"/>
  <c r="E103" i="1"/>
  <c r="J64" i="1" s="1"/>
  <c r="C101" i="1"/>
  <c r="J78" i="1"/>
  <c r="X119" i="1"/>
  <c r="S118" i="1"/>
  <c r="G103" i="1"/>
  <c r="G101" i="1"/>
  <c r="I101" i="1" s="1"/>
  <c r="I56" i="1"/>
  <c r="I53" i="1" s="1"/>
  <c r="J77" i="1"/>
  <c r="I28" i="5"/>
  <c r="I30" i="5" s="1"/>
  <c r="H76" i="1" l="1"/>
  <c r="H80" i="1" s="1"/>
  <c r="H20" i="58"/>
  <c r="H21" i="58" s="1"/>
  <c r="H23" i="58" s="1"/>
  <c r="H89" i="1"/>
  <c r="F89" i="1"/>
  <c r="I103" i="1"/>
  <c r="Q131" i="1"/>
  <c r="Q133" i="1" s="1"/>
  <c r="C103" i="1"/>
  <c r="E6" i="51" s="1"/>
  <c r="G6" i="51" s="1"/>
  <c r="G12" i="51" s="1"/>
  <c r="G70" i="1" s="1"/>
  <c r="H70" i="1" s="1"/>
  <c r="J67" i="1"/>
  <c r="J65" i="1"/>
  <c r="J66" i="1"/>
  <c r="J68" i="1"/>
  <c r="J52" i="1"/>
  <c r="J55" i="1"/>
  <c r="J63" i="1"/>
  <c r="J48" i="1"/>
  <c r="J58" i="1"/>
  <c r="J54" i="1"/>
  <c r="J62" i="1"/>
  <c r="J60" i="1"/>
  <c r="J59" i="1"/>
  <c r="J49" i="1"/>
  <c r="J51" i="1"/>
  <c r="J47" i="1"/>
  <c r="J61" i="1"/>
  <c r="J50" i="1"/>
  <c r="J57" i="1"/>
  <c r="J69" i="1"/>
  <c r="J56" i="1"/>
  <c r="S129" i="1"/>
  <c r="S131" i="1" s="1"/>
  <c r="S133" i="1" s="1"/>
  <c r="J74" i="1"/>
  <c r="I74" i="1"/>
  <c r="D88" i="1"/>
  <c r="H92" i="1"/>
  <c r="F92" i="1"/>
  <c r="J53" i="1" l="1"/>
  <c r="S130" i="1"/>
  <c r="S132" i="1" s="1"/>
  <c r="Q135" i="1" s="1"/>
  <c r="Q137" i="1" s="1"/>
  <c r="Q164" i="1"/>
  <c r="I80" i="1"/>
  <c r="J80" i="1"/>
  <c r="H88" i="1"/>
  <c r="F88" i="1"/>
  <c r="S135" i="1"/>
  <c r="S137" i="1" s="1"/>
  <c r="S136" i="1"/>
  <c r="S138" i="1" s="1"/>
  <c r="S163" i="1" s="1"/>
  <c r="J70" i="1"/>
  <c r="I70" i="1"/>
  <c r="H71" i="1"/>
  <c r="I76" i="1"/>
  <c r="D90" i="1"/>
  <c r="J76" i="1"/>
  <c r="Q136" i="1" l="1"/>
  <c r="Q138" i="1" s="1"/>
  <c r="S162" i="1" s="1"/>
  <c r="J71" i="1"/>
  <c r="D85" i="1"/>
  <c r="D87" i="1" s="1"/>
  <c r="F87" i="1" s="1"/>
  <c r="I71" i="1"/>
  <c r="H90" i="1"/>
  <c r="F90" i="1"/>
  <c r="D126" i="1"/>
  <c r="S160" i="1"/>
  <c r="S161" i="1"/>
  <c r="Q139" i="1" l="1"/>
  <c r="S164" i="1" s="1"/>
  <c r="S139" i="1"/>
  <c r="S165" i="1" s="1"/>
  <c r="D128" i="1"/>
  <c r="E126" i="1"/>
  <c r="F126" i="1"/>
  <c r="D127" i="1"/>
  <c r="V120" i="1"/>
  <c r="Q124" i="1"/>
  <c r="H85" i="1"/>
  <c r="F85" i="1"/>
  <c r="Q162" i="1"/>
  <c r="Q165" i="1" s="1"/>
  <c r="Q161" i="1" l="1"/>
  <c r="D114" i="1"/>
  <c r="H114" i="1"/>
  <c r="G114" i="1"/>
  <c r="F114" i="1"/>
  <c r="I114" i="1"/>
  <c r="J114" i="1"/>
  <c r="J118" i="1"/>
  <c r="E114" i="1"/>
  <c r="H87" i="1"/>
  <c r="D93" i="1"/>
  <c r="E128" i="1"/>
  <c r="F128" i="1"/>
  <c r="F127" i="1"/>
  <c r="E127" i="1"/>
  <c r="Q163" i="1"/>
  <c r="AC169" i="1" l="1"/>
  <c r="AD169" i="1" s="1"/>
  <c r="AE170" i="1" s="1"/>
  <c r="AF170" i="1" s="1"/>
  <c r="W167" i="1"/>
  <c r="X167" i="1" s="1"/>
  <c r="S159" i="1"/>
  <c r="J120" i="1"/>
  <c r="J119" i="1"/>
  <c r="Q169" i="1"/>
  <c r="Q171" i="1"/>
  <c r="R171" i="1" s="1"/>
  <c r="S172" i="1" s="1"/>
  <c r="W169" i="1"/>
  <c r="W171" i="1"/>
  <c r="AC167" i="1"/>
  <c r="AD167" i="1" s="1"/>
  <c r="F93" i="1"/>
  <c r="H93" i="1"/>
  <c r="Q167" i="1"/>
  <c r="R167" i="1" s="1"/>
  <c r="S171" i="1" l="1"/>
  <c r="T171" i="1" s="1"/>
  <c r="AE167" i="1"/>
  <c r="AF167" i="1" s="1"/>
  <c r="AG170" i="1"/>
  <c r="AH170" i="1" s="1"/>
  <c r="Y167" i="1"/>
  <c r="R169" i="1"/>
  <c r="S170" i="1" s="1"/>
  <c r="X171" i="1"/>
  <c r="Y171" i="1" s="1"/>
  <c r="Y168" i="1"/>
  <c r="Z168" i="1" s="1"/>
  <c r="AE168" i="1"/>
  <c r="AG168" i="1" s="1"/>
  <c r="S169" i="1"/>
  <c r="X169" i="1"/>
  <c r="Y169" i="1" s="1"/>
  <c r="S167" i="1"/>
  <c r="AE169" i="1"/>
  <c r="S168" i="1"/>
  <c r="U172" i="1"/>
  <c r="T172" i="1"/>
  <c r="AG167" i="1" l="1"/>
  <c r="AH167" i="1" s="1"/>
  <c r="U171" i="1"/>
  <c r="V171" i="1" s="1"/>
  <c r="AF168" i="1"/>
  <c r="AH168" i="1" s="1"/>
  <c r="Z167" i="1"/>
  <c r="AA167" i="1"/>
  <c r="AA168" i="1"/>
  <c r="AB168" i="1" s="1"/>
  <c r="E115" i="1" s="1"/>
  <c r="Z169" i="1"/>
  <c r="AA169" i="1"/>
  <c r="AF169" i="1"/>
  <c r="AG169" i="1"/>
  <c r="AA171" i="1"/>
  <c r="Z171" i="1"/>
  <c r="U167" i="1"/>
  <c r="T167" i="1"/>
  <c r="T170" i="1"/>
  <c r="U170" i="1"/>
  <c r="Y170" i="1"/>
  <c r="T169" i="1"/>
  <c r="U169" i="1"/>
  <c r="U168" i="1"/>
  <c r="T168" i="1"/>
  <c r="Y172" i="1"/>
  <c r="V172" i="1"/>
  <c r="V169" i="1" l="1"/>
  <c r="G116" i="1" s="1"/>
  <c r="AB167" i="1"/>
  <c r="V167" i="1"/>
  <c r="F115" i="1"/>
  <c r="E116" i="1"/>
  <c r="V170" i="1"/>
  <c r="AB171" i="1"/>
  <c r="AB169" i="1"/>
  <c r="V168" i="1"/>
  <c r="Z172" i="1"/>
  <c r="AA172" i="1"/>
  <c r="AH169" i="1"/>
  <c r="Z170" i="1"/>
  <c r="AA170" i="1"/>
  <c r="F116" i="1"/>
  <c r="J115" i="1"/>
  <c r="J116" i="1"/>
  <c r="I115" i="1" l="1"/>
  <c r="I116" i="1"/>
  <c r="G115" i="1"/>
  <c r="H115" i="1"/>
  <c r="H116" i="1"/>
  <c r="AB172" i="1"/>
  <c r="E118" i="1" s="1"/>
  <c r="AB170" i="1"/>
  <c r="D116" i="1"/>
  <c r="D115" i="1"/>
</calcChain>
</file>

<file path=xl/comments1.xml><?xml version="1.0" encoding="utf-8"?>
<comments xmlns="http://schemas.openxmlformats.org/spreadsheetml/2006/main">
  <authors>
    <author>Curt Lacy</author>
  </authors>
  <commentList>
    <comment ref="D8" authorId="0" shapeId="0">
      <text>
        <r>
          <rPr>
            <b/>
            <sz val="8"/>
            <color indexed="81"/>
            <rFont val="Tahoma"/>
            <family val="2"/>
          </rPr>
          <t>If you raise your own replacements this will be all of the cows in your herd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<sst xmlns="http://schemas.openxmlformats.org/spreadsheetml/2006/main" count="828" uniqueCount="430">
  <si>
    <t>INPUT DATA: Your values in the unprotected or highlighted cells</t>
  </si>
  <si>
    <t/>
  </si>
  <si>
    <t>(Total Cost Budget)</t>
  </si>
  <si>
    <t>NUMBER OF BROOD COWS</t>
  </si>
  <si>
    <t xml:space="preserve"> </t>
  </si>
  <si>
    <t>PERCENT CALF CROP (DECIMAL)</t>
  </si>
  <si>
    <t>COW CULLING PERCENTAGE (DECIMAL)</t>
  </si>
  <si>
    <t>NUMBER OF REPLACEMENT HEIFERS RAISED</t>
  </si>
  <si>
    <t xml:space="preserve">          </t>
  </si>
  <si>
    <t>NUMBER OF CALVES SOLD</t>
  </si>
  <si>
    <t>BROOD COW DEATH LOSS (DECIMAL)</t>
  </si>
  <si>
    <t>SELLING WEIGHT OF CULL COWS (CWT.)</t>
  </si>
  <si>
    <t>PRICE OF CULL COWS ($/CWT.)</t>
  </si>
  <si>
    <t>BEST</t>
  </si>
  <si>
    <t>OPT.</t>
  </si>
  <si>
    <t>MEDIAN</t>
  </si>
  <si>
    <t xml:space="preserve"> PESS.</t>
  </si>
  <si>
    <t>WORST</t>
  </si>
  <si>
    <t>SELL PRICE OF STEERS($/CWT.)</t>
  </si>
  <si>
    <t xml:space="preserve">           </t>
  </si>
  <si>
    <t>SELL PRICE OF HEIFERS($/CWT)</t>
  </si>
  <si>
    <t>WEIGHTED AVE. SELLING PRICE</t>
  </si>
  <si>
    <t>TOTAL</t>
  </si>
  <si>
    <t>UNIT</t>
  </si>
  <si>
    <t>QUANTITY</t>
  </si>
  <si>
    <t>PRICE</t>
  </si>
  <si>
    <t>AMOUNT</t>
  </si>
  <si>
    <t>VARIABLE COSTS :</t>
  </si>
  <si>
    <t xml:space="preserve">       </t>
  </si>
  <si>
    <t>ACRE</t>
  </si>
  <si>
    <t>TOTAL VARIABLE COST</t>
  </si>
  <si>
    <t>DIRECT FIXED COST</t>
  </si>
  <si>
    <t xml:space="preserve">                       EXPECTED BREAK-EVEN TABLE</t>
  </si>
  <si>
    <t>NET VARIABLE COST</t>
  </si>
  <si>
    <t>LAND</t>
  </si>
  <si>
    <t xml:space="preserve">     EXPECTED RETURNS FROM CALF SALES TABLE</t>
  </si>
  <si>
    <t xml:space="preserve"> CALVES SOLD</t>
  </si>
  <si>
    <t>EXP. WEIGHT</t>
  </si>
  <si>
    <t>TOTAL WEIGHT</t>
  </si>
  <si>
    <t xml:space="preserve">  EXP.PRICE</t>
  </si>
  <si>
    <t>TOTAL RETURN</t>
  </si>
  <si>
    <t>(cwt./cow)</t>
  </si>
  <si>
    <t xml:space="preserve">  (cwt.)</t>
  </si>
  <si>
    <t xml:space="preserve">   ($/cwt.)</t>
  </si>
  <si>
    <t>(cwt./calf)</t>
  </si>
  <si>
    <t>Net return levels (TOP ROW);</t>
  </si>
  <si>
    <t>The chances of obtaining this level or more (MIDDLE ROW); and</t>
  </si>
  <si>
    <t>The chances of obtaining this level or less (BOTTOM ROW).</t>
  </si>
  <si>
    <t>Optimistic</t>
  </si>
  <si>
    <t>Expected</t>
  </si>
  <si>
    <t xml:space="preserve">  Pessimistic</t>
  </si>
  <si>
    <t>*</t>
  </si>
  <si>
    <t>Chances</t>
  </si>
  <si>
    <t xml:space="preserve">    Must match budget Entries</t>
  </si>
  <si>
    <t>-</t>
  </si>
  <si>
    <t xml:space="preserve">  CHANCE FOR PROFIT </t>
  </si>
  <si>
    <t xml:space="preserve">  Best Y</t>
  </si>
  <si>
    <t xml:space="preserve">  Best P</t>
  </si>
  <si>
    <t>EXP.CULL WEIGHT</t>
  </si>
  <si>
    <t xml:space="preserve">  Opt. Y</t>
  </si>
  <si>
    <t xml:space="preserve">  Opt. P</t>
  </si>
  <si>
    <t>EXP.CULL PRICE</t>
  </si>
  <si>
    <t xml:space="preserve">  Med. Y</t>
  </si>
  <si>
    <t xml:space="preserve">  Med. P</t>
  </si>
  <si>
    <t>PROFIT IS RETURN TO RISK AND ALL "ZERO" ITEMS IN THE BUDGET.</t>
  </si>
  <si>
    <t xml:space="preserve">  Pess. Y</t>
  </si>
  <si>
    <t xml:space="preserve">  Pess. P</t>
  </si>
  <si>
    <t>MAY ENTER YOUR OWN VALUES.</t>
  </si>
  <si>
    <t xml:space="preserve">  Worst Y</t>
  </si>
  <si>
    <t xml:space="preserve">  Worst P</t>
  </si>
  <si>
    <t xml:space="preserve">  H&amp;MC</t>
  </si>
  <si>
    <t xml:space="preserve">  T.C.</t>
  </si>
  <si>
    <t>:</t>
  </si>
  <si>
    <t>Calculations</t>
  </si>
  <si>
    <t xml:space="preserve">  Exp. Y</t>
  </si>
  <si>
    <t xml:space="preserve">  Exp. P</t>
  </si>
  <si>
    <t xml:space="preserve">  SYO</t>
  </si>
  <si>
    <t xml:space="preserve">  SPO</t>
  </si>
  <si>
    <t xml:space="preserve">  SYP</t>
  </si>
  <si>
    <t xml:space="preserve">  SPP</t>
  </si>
  <si>
    <t xml:space="preserve">  VYO</t>
  </si>
  <si>
    <t xml:space="preserve">  VPO</t>
  </si>
  <si>
    <t xml:space="preserve">  VYP</t>
  </si>
  <si>
    <t xml:space="preserve">  VPP</t>
  </si>
  <si>
    <t xml:space="preserve">  VTRHH</t>
  </si>
  <si>
    <t xml:space="preserve">  VTRLL</t>
  </si>
  <si>
    <t xml:space="preserve">  VTRHL</t>
  </si>
  <si>
    <t xml:space="preserve">  VTRLH</t>
  </si>
  <si>
    <t xml:space="preserve">  STRHH</t>
  </si>
  <si>
    <t xml:space="preserve">  STRLL</t>
  </si>
  <si>
    <t xml:space="preserve">  STRHL</t>
  </si>
  <si>
    <t xml:space="preserve">  STRLH</t>
  </si>
  <si>
    <t xml:space="preserve">  STRO</t>
  </si>
  <si>
    <t xml:space="preserve">  STRP</t>
  </si>
  <si>
    <t>Calculation of NR and for Z values</t>
  </si>
  <si>
    <t xml:space="preserve">  MP</t>
  </si>
  <si>
    <t>ENR_MNR</t>
  </si>
  <si>
    <t xml:space="preserve">  MY</t>
  </si>
  <si>
    <t>STRHH</t>
  </si>
  <si>
    <t xml:space="preserve">  MTR</t>
  </si>
  <si>
    <t>STRLL</t>
  </si>
  <si>
    <t xml:space="preserve">  MTC</t>
  </si>
  <si>
    <t>STRHL</t>
  </si>
  <si>
    <t xml:space="preserve">  MNR</t>
  </si>
  <si>
    <t>STRLH</t>
  </si>
  <si>
    <t xml:space="preserve">  ETR</t>
  </si>
  <si>
    <t xml:space="preserve">  ENR</t>
  </si>
  <si>
    <t xml:space="preserve">     ITEM</t>
  </si>
  <si>
    <t>YRS.</t>
  </si>
  <si>
    <t>LBS.</t>
  </si>
  <si>
    <t>TONS</t>
  </si>
  <si>
    <t>TOTAL COST PER ACRE</t>
  </si>
  <si>
    <t>INVESTMENT AND ANNUAL FIXED COST</t>
  </si>
  <si>
    <t>(Check All Entries This Page)</t>
  </si>
  <si>
    <t xml:space="preserve">                                        NO. OF C0WS:</t>
  </si>
  <si>
    <t xml:space="preserve">                                        INTEREST RATE:</t>
  </si>
  <si>
    <t>NUMBER</t>
  </si>
  <si>
    <t>COST/HEAD</t>
  </si>
  <si>
    <t>NEW COST</t>
  </si>
  <si>
    <t>SALVAGE</t>
  </si>
  <si>
    <t>YEARS</t>
  </si>
  <si>
    <t>DEPR.</t>
  </si>
  <si>
    <t>COWS</t>
  </si>
  <si>
    <t>HEIFERS</t>
  </si>
  <si>
    <t>BULLS</t>
  </si>
  <si>
    <t>CORRAL &amp; LOADING CHUTE</t>
  </si>
  <si>
    <t>FENCE (MI.)</t>
  </si>
  <si>
    <t>FEED RACKS</t>
  </si>
  <si>
    <t>MISC. EQUIPMENT</t>
  </si>
  <si>
    <t>TOTAL INVESTMENT &amp; DEPRECIATION</t>
  </si>
  <si>
    <t>INTEREST ON INVESTMENT (AVE. INV. TIMES INT. RATE)</t>
  </si>
  <si>
    <t>TAXES AND INSURANCE</t>
  </si>
  <si>
    <t>TOTAL ANNUAL FIXED COST</t>
  </si>
  <si>
    <t>TOTAL ANNUAL FIXED COST PER BROOD COW</t>
  </si>
  <si>
    <t>ANNUAL ENTERPRISE FIXED PAYMENTS</t>
  </si>
  <si>
    <t xml:space="preserve"> (Check All Entries This Page)</t>
  </si>
  <si>
    <t>NO. OF ACRES:</t>
  </si>
  <si>
    <t>NO. OF COWS:</t>
  </si>
  <si>
    <t>DEBT PAYMENT CALCULATION ON NEW INVESTMENT:</t>
  </si>
  <si>
    <t>(For Use In Calculating Fixed Cash Outlays on New Investment)</t>
  </si>
  <si>
    <t xml:space="preserve">    ----FINANCING----</t>
  </si>
  <si>
    <t>ITEM</t>
  </si>
  <si>
    <t>COST</t>
  </si>
  <si>
    <t>INT.RATE</t>
  </si>
  <si>
    <t>PAYMENT</t>
  </si>
  <si>
    <t>MISC. EQUIP.</t>
  </si>
  <si>
    <t>CURRENT ANNUAL DEBT PAYMENTS:</t>
  </si>
  <si>
    <t>(For Use In Totaling Debt Payments on Existing Investment)</t>
  </si>
  <si>
    <t>LOAN # 1</t>
  </si>
  <si>
    <t>LOAN # 2</t>
  </si>
  <si>
    <t>LOAN # 3</t>
  </si>
  <si>
    <t>LOAN # 4</t>
  </si>
  <si>
    <t>LOAN # 5</t>
  </si>
  <si>
    <t>TOTAL ANNUAL DEBT PAYMENT</t>
  </si>
  <si>
    <t>TOTAL ANNUAL FIXED OUTLAY</t>
  </si>
  <si>
    <t>TOTAL ANNUAL FIXED PAYMENT PER COW</t>
  </si>
  <si>
    <t>COW-CALF  BUDGET</t>
  </si>
  <si>
    <t>Budget</t>
  </si>
  <si>
    <t xml:space="preserve"> Type</t>
  </si>
  <si>
    <t xml:space="preserve">  </t>
  </si>
  <si>
    <t xml:space="preserve">CASH </t>
  </si>
  <si>
    <t>FLOW</t>
  </si>
  <si>
    <t xml:space="preserve"> VARIABLE </t>
  </si>
  <si>
    <t>Button</t>
  </si>
  <si>
    <t>(Variable Cost Budget)</t>
  </si>
  <si>
    <t>ANNUAL FIXED PAYMENT</t>
  </si>
  <si>
    <t>Returns</t>
  </si>
  <si>
    <t>REMEMBER</t>
  </si>
  <si>
    <t xml:space="preserve">  In order to Print a specific budget</t>
  </si>
  <si>
    <t xml:space="preserve">  you must Calculate before you</t>
  </si>
  <si>
    <t xml:space="preserve">  Print that particular budget.</t>
  </si>
  <si>
    <t>Note: Be sure to enable all</t>
  </si>
  <si>
    <t>macros on start-up.</t>
  </si>
  <si>
    <t>Item</t>
  </si>
  <si>
    <t>Unit</t>
  </si>
  <si>
    <t>Total</t>
  </si>
  <si>
    <t>Other</t>
  </si>
  <si>
    <t>Calf</t>
  </si>
  <si>
    <t>Cow</t>
  </si>
  <si>
    <t>Number Applications</t>
  </si>
  <si>
    <t>$/Applic.</t>
  </si>
  <si>
    <t>$/Unit</t>
  </si>
  <si>
    <t>Total Cost</t>
  </si>
  <si>
    <t xml:space="preserve"> - Cow Herd</t>
  </si>
  <si>
    <t xml:space="preserve"> - Calves</t>
  </si>
  <si>
    <t>SELLING WEIGHT OF CULL BULLS (CWT.)</t>
  </si>
  <si>
    <t>PRICE OF CULL BULLS ($/CWT.)</t>
  </si>
  <si>
    <t>NUMBER OF BULLS</t>
  </si>
  <si>
    <t>BULL CULLING PERCENTAGE (DECIMAL)</t>
  </si>
  <si>
    <t>Based on Budgets Originally Developed by John C. McKissick</t>
  </si>
  <si>
    <t>Preg Check</t>
  </si>
  <si>
    <t xml:space="preserve"> - Bulls</t>
  </si>
  <si>
    <t>Bull</t>
  </si>
  <si>
    <t>$/Cow</t>
  </si>
  <si>
    <t>$/unit</t>
  </si>
  <si>
    <t>Days fed</t>
  </si>
  <si>
    <t>Pounds Fed per Day</t>
  </si>
  <si>
    <t>Total Pounds Fed</t>
  </si>
  <si>
    <t>Tons</t>
  </si>
  <si>
    <t>Cost/Cow</t>
  </si>
  <si>
    <t>RETURNS OVER TOTAL COST ADJUSTED FOR RISK</t>
  </si>
  <si>
    <t>RETURNS OVER CASH FLOW COST ADJUSTED FOR RISK</t>
  </si>
  <si>
    <t xml:space="preserve"> - Replacement Heifers</t>
  </si>
  <si>
    <t>Supplemental Feed for Replacement Heifers</t>
  </si>
  <si>
    <t>REPLACEMENT HEIFER CULLING PERCENT</t>
  </si>
  <si>
    <t>PRICE OF CULL HEIFERS ($/CWT.)</t>
  </si>
  <si>
    <t>SELLING WEIGHT OF CULL HEIFERS (CWT.)</t>
  </si>
  <si>
    <t>RETURNS OVER VARIABLE COST ADJUSTED FOR RISK</t>
  </si>
  <si>
    <t>Heifer</t>
  </si>
  <si>
    <t>Supplemental Feed for Herd Bulls</t>
  </si>
  <si>
    <t>Veterinary Expenses for Cow Herd</t>
  </si>
  <si>
    <t>STEER WEANING/SALES  WEIGHT (CWT.)</t>
  </si>
  <si>
    <t>HEIFER WEANING/SALES WEIGHT (CWT.)</t>
  </si>
  <si>
    <t>AVERAGE WEANING/SALES WEIGHT (CWT.)</t>
  </si>
  <si>
    <t>NOTE</t>
  </si>
  <si>
    <r>
      <t xml:space="preserve">  All input in </t>
    </r>
    <r>
      <rPr>
        <b/>
        <sz val="11"/>
        <color indexed="10"/>
        <rFont val="Arial"/>
        <family val="2"/>
      </rPr>
      <t>red</t>
    </r>
    <r>
      <rPr>
        <b/>
        <sz val="11"/>
        <color indexed="56"/>
        <rFont val="Arial"/>
        <family val="2"/>
      </rPr>
      <t xml:space="preserve"> and </t>
    </r>
    <r>
      <rPr>
        <b/>
        <sz val="11"/>
        <rFont val="Arial"/>
        <family val="2"/>
      </rPr>
      <t xml:space="preserve">black </t>
    </r>
    <r>
      <rPr>
        <b/>
        <sz val="11"/>
        <color indexed="56"/>
        <rFont val="Arial"/>
        <family val="2"/>
      </rPr>
      <t>is not to</t>
    </r>
  </si>
  <si>
    <t xml:space="preserve">       WELCOME TO THE SOUTH GEORGIA</t>
  </si>
  <si>
    <t xml:space="preserve">  be tampered with! Only type into</t>
  </si>
  <si>
    <r>
      <t xml:space="preserve">  cells that contain </t>
    </r>
    <r>
      <rPr>
        <b/>
        <sz val="11"/>
        <color indexed="57"/>
        <rFont val="Arial"/>
        <family val="2"/>
      </rPr>
      <t>green</t>
    </r>
    <r>
      <rPr>
        <b/>
        <sz val="11"/>
        <color indexed="56"/>
        <rFont val="Arial"/>
        <family val="2"/>
      </rPr>
      <t xml:space="preserve"> characters.</t>
    </r>
  </si>
  <si>
    <t>$/Cwt.</t>
  </si>
  <si>
    <t xml:space="preserve"> TOTAL COSTS</t>
  </si>
  <si>
    <t>Return to Main Budget</t>
  </si>
  <si>
    <t>MILES</t>
  </si>
  <si>
    <t>Auction &amp; Hauling Cost Detail</t>
  </si>
  <si>
    <t>%</t>
  </si>
  <si>
    <t>Day</t>
  </si>
  <si>
    <t>Total Auction &amp; Hauling Cost</t>
  </si>
  <si>
    <t>Marketing Detail</t>
  </si>
  <si>
    <t>Acres</t>
  </si>
  <si>
    <t>Units/Cow</t>
  </si>
  <si>
    <t>Total Quantity</t>
  </si>
  <si>
    <t>Total Amount</t>
  </si>
  <si>
    <t>Extension Agricultural Economics Department, University of Georgia</t>
  </si>
  <si>
    <t xml:space="preserve"> COW-CALF BUDGET (SOUTH GEORGIA)</t>
  </si>
  <si>
    <t>(Cash Cost Budget)</t>
  </si>
  <si>
    <t>Supplemental Feed for Cows</t>
  </si>
  <si>
    <t>Total Feed for Cows</t>
  </si>
  <si>
    <t>Total Feed for Replacements</t>
  </si>
  <si>
    <t>Total Feed for Herd Bulls</t>
  </si>
  <si>
    <t>Supplemental Feed for Calves</t>
  </si>
  <si>
    <t>Total Feed for Calves</t>
  </si>
  <si>
    <t>Total Cost/Cow</t>
  </si>
  <si>
    <t>Total Vet Expenses for Cows</t>
  </si>
  <si>
    <t>Veterinary Expenses for Replacement Heifers</t>
  </si>
  <si>
    <t>Veterinary Expenses for Herd Bulls</t>
  </si>
  <si>
    <t>Veterinary Expenses for Calves</t>
  </si>
  <si>
    <t>Total Vet Expenses for Replacements</t>
  </si>
  <si>
    <t>Total Vet Expenses for Bulls</t>
  </si>
  <si>
    <t>Total Vet Expenses for Calves</t>
  </si>
  <si>
    <t>Lbs./Cow</t>
  </si>
  <si>
    <t>Breeding Soundness Exam</t>
  </si>
  <si>
    <t>% of Facilities</t>
  </si>
  <si>
    <t>Hrs./Cow</t>
  </si>
  <si>
    <t>Implant</t>
  </si>
  <si>
    <t>IBR,BVD,5-way Lepto, Vibrio</t>
  </si>
  <si>
    <t>Deworm</t>
  </si>
  <si>
    <t>Delice</t>
  </si>
  <si>
    <t>Fly Tags</t>
  </si>
  <si>
    <t>IBR,PI3,BVD,BRSV</t>
  </si>
  <si>
    <t>5-way Lepto</t>
  </si>
  <si>
    <t>Synchronization</t>
  </si>
  <si>
    <t>Veterinary Detail</t>
  </si>
  <si>
    <t>Return to Main Page</t>
  </si>
  <si>
    <t>INVESTMENT, ANNUAL FIXED COSTS, AND ANNUAL PAYMENTS</t>
  </si>
  <si>
    <t>Number</t>
  </si>
  <si>
    <t>Salvage Value</t>
  </si>
  <si>
    <t>Years of Useful Life</t>
  </si>
  <si>
    <t>Annual Depreciation</t>
  </si>
  <si>
    <t>Percent Financed</t>
  </si>
  <si>
    <t>Amount Financed</t>
  </si>
  <si>
    <t>Interest Rate</t>
  </si>
  <si>
    <t>Years Financed</t>
  </si>
  <si>
    <t>Annual Payment</t>
  </si>
  <si>
    <t>LIVESTOCK</t>
  </si>
  <si>
    <t>TOTAL LIVESTOCK</t>
  </si>
  <si>
    <t>BUILDINGS &amp; FACILITIES</t>
  </si>
  <si>
    <t>TOTAL BUILDINGS &amp;  FACILITIES</t>
  </si>
  <si>
    <t xml:space="preserve">LAND </t>
  </si>
  <si>
    <t>TOTALS FOR FIXED COSTS</t>
  </si>
  <si>
    <t>Total Livestock Fixed Cost</t>
  </si>
  <si>
    <t>Average Buildings &amp; Facilities Investment</t>
  </si>
  <si>
    <t>Interest on Average buildings &amp; Facilities Investment</t>
  </si>
  <si>
    <t>Total Buildings &amp; Facilities Fixed Cost</t>
  </si>
  <si>
    <t>Land Investment</t>
  </si>
  <si>
    <t>Interest on Land Investment</t>
  </si>
  <si>
    <t>Total Land Fixed Cost</t>
  </si>
  <si>
    <t>TOTAL ANNUAL FIXED COSTS</t>
  </si>
  <si>
    <t>Purchased HEIFERS</t>
  </si>
  <si>
    <t>Bulls</t>
  </si>
  <si>
    <t>Fences (Miles)</t>
  </si>
  <si>
    <t>Head Gate</t>
  </si>
  <si>
    <t>Chutes &amp; Pens</t>
  </si>
  <si>
    <t>Barn</t>
  </si>
  <si>
    <t>Hay Racks</t>
  </si>
  <si>
    <t>Feed Troughs</t>
  </si>
  <si>
    <t>Miscellanous Equipment</t>
  </si>
  <si>
    <t>Cost</t>
  </si>
  <si>
    <t>Useful Life</t>
  </si>
  <si>
    <t>% Used in Cow-Calf</t>
  </si>
  <si>
    <t>%Used in Hay</t>
  </si>
  <si>
    <t>%Financed</t>
  </si>
  <si>
    <t>Years</t>
  </si>
  <si>
    <t>75 hp Tractor-2wd</t>
  </si>
  <si>
    <t>Depreciation</t>
  </si>
  <si>
    <t>Cow-Calf Depreciation</t>
  </si>
  <si>
    <t>Hay Depreciation</t>
  </si>
  <si>
    <t>130 hp Tractor-MFWD</t>
  </si>
  <si>
    <t>Total Payment</t>
  </si>
  <si>
    <t>% Cattle or Hay Payment</t>
  </si>
  <si>
    <t>Front-end loader w/spear</t>
  </si>
  <si>
    <t>12' Grain Drill</t>
  </si>
  <si>
    <t>8' Disc Mower</t>
  </si>
  <si>
    <t>17' Double Hay Rake</t>
  </si>
  <si>
    <t>17' Hay Tedder</t>
  </si>
  <si>
    <t>20' Hay Trailer -2</t>
  </si>
  <si>
    <t>Large Round Baler</t>
  </si>
  <si>
    <t>7' Rotary Mower</t>
  </si>
  <si>
    <t>Other 1</t>
  </si>
  <si>
    <t>Other 2</t>
  </si>
  <si>
    <t>Other 3</t>
  </si>
  <si>
    <t>Other 4</t>
  </si>
  <si>
    <t>Other 5</t>
  </si>
  <si>
    <t>Other 6</t>
  </si>
  <si>
    <t>Hay Investment</t>
  </si>
  <si>
    <t>Cow-Calf Avg Investment</t>
  </si>
  <si>
    <t>14' Disk Harrow</t>
  </si>
  <si>
    <t>Pasture Rent</t>
  </si>
  <si>
    <t>Machinery Rent</t>
  </si>
  <si>
    <t>Year</t>
  </si>
  <si>
    <t>Fence &amp; Facilties Repairs &amp; Maintenance</t>
  </si>
  <si>
    <t>Labor</t>
  </si>
  <si>
    <t>Acre</t>
  </si>
  <si>
    <t>Gallons</t>
  </si>
  <si>
    <t>Machinery Repairs &amp; Maintenance</t>
  </si>
  <si>
    <t>Machinery Fuel</t>
  </si>
  <si>
    <t>Prorated Establishment Cost</t>
  </si>
  <si>
    <t>Fertilizer</t>
  </si>
  <si>
    <t xml:space="preserve"> Nitrogen</t>
  </si>
  <si>
    <t xml:space="preserve"> Phosphorous (P2O5)</t>
  </si>
  <si>
    <t xml:space="preserve"> Potash (K2O)</t>
  </si>
  <si>
    <t>Lime</t>
  </si>
  <si>
    <t>Quantity</t>
  </si>
  <si>
    <t>Price</t>
  </si>
  <si>
    <t>Return To Main</t>
  </si>
  <si>
    <t>Bermuda Pasture  Detail</t>
  </si>
  <si>
    <t>Bermuda Pasture</t>
  </si>
  <si>
    <t>Bahia Pasture</t>
  </si>
  <si>
    <t xml:space="preserve">Hybrid Bermuda Pasture Per Acre Cost Detail </t>
  </si>
  <si>
    <t>Bahia Pasture Per Acre Cost Detail</t>
  </si>
  <si>
    <t>Bahia Pasture  Detail</t>
  </si>
  <si>
    <t>Winter Annual Pasture</t>
  </si>
  <si>
    <t>Rye</t>
  </si>
  <si>
    <t>Bushel</t>
  </si>
  <si>
    <t>Ryegrass</t>
  </si>
  <si>
    <t>Lbs.</t>
  </si>
  <si>
    <t>Clover</t>
  </si>
  <si>
    <t>Winter Grazing Per Acre Cost Detail</t>
  </si>
  <si>
    <t>Wheat</t>
  </si>
  <si>
    <t>Winter Grazing Detail</t>
  </si>
  <si>
    <t>Summer Annual Pasture</t>
  </si>
  <si>
    <t>Summer Grazing Detail</t>
  </si>
  <si>
    <t>Summer Annual Per Acre Cost Detail</t>
  </si>
  <si>
    <t>Hay Production</t>
  </si>
  <si>
    <t>Bermuda Hay Detail</t>
  </si>
  <si>
    <t xml:space="preserve">Hybrid Bermuda Hay Per Acre Cost Detail </t>
  </si>
  <si>
    <t>Herbicide</t>
  </si>
  <si>
    <t>Tons per Acre</t>
  </si>
  <si>
    <t>Hours</t>
  </si>
  <si>
    <t>Total Supplemental Feed</t>
  </si>
  <si>
    <t>Supplemental Feed  Detail</t>
  </si>
  <si>
    <t>Purchased Hay</t>
  </si>
  <si>
    <t>Tons/Cow</t>
  </si>
  <si>
    <t>Total Vet &amp; Medicine</t>
  </si>
  <si>
    <t>Auction &amp; Hauling</t>
  </si>
  <si>
    <t>Interest on Operating Capital (8 months)</t>
  </si>
  <si>
    <t>Percent</t>
  </si>
  <si>
    <t>DETAIL FOR EQUIPMENT USED IN COW-CALF AND HAY OPERATIONS</t>
  </si>
  <si>
    <t>Return to Main</t>
  </si>
  <si>
    <t>Salt &amp; Minerals</t>
  </si>
  <si>
    <t>Head</t>
  </si>
  <si>
    <t>Cow Unit</t>
  </si>
  <si>
    <t>calf</t>
  </si>
  <si>
    <t>Ton</t>
  </si>
  <si>
    <t>Labor (including insurance, taxes, and SS)</t>
  </si>
  <si>
    <t>Variable Cost</t>
  </si>
  <si>
    <t>Less: Value of cull cows, bulls and heifers</t>
  </si>
  <si>
    <t>Livestock  Detail</t>
  </si>
  <si>
    <t>Building &amp; Facilities Detail</t>
  </si>
  <si>
    <t>Equipment Detail</t>
  </si>
  <si>
    <t>Land Detail</t>
  </si>
  <si>
    <t>Average Cow Equipment Investment</t>
  </si>
  <si>
    <t>Interest rate on Average Investment</t>
  </si>
  <si>
    <t>Interest on Average Cow Equipment Investment</t>
  </si>
  <si>
    <t>Total Cow Equipment Fixed Costs</t>
  </si>
  <si>
    <t>Average Hay Equipment Investment</t>
  </si>
  <si>
    <t>Interest on Average Hay Equipment Investment</t>
  </si>
  <si>
    <t>Total Hay Equipment Fixed Costs</t>
  </si>
  <si>
    <t>Checkoff</t>
  </si>
  <si>
    <t>Hauling</t>
  </si>
  <si>
    <t>Yardage</t>
  </si>
  <si>
    <t>Commission</t>
  </si>
  <si>
    <t>TOTAL VARIABLE COST PER TON</t>
  </si>
  <si>
    <t>TOTAL FIXED COSTS</t>
  </si>
  <si>
    <t>TOTAL FIXED COSTS PER TON</t>
  </si>
  <si>
    <t>TOTAL HAY COSTS PER TON</t>
  </si>
  <si>
    <t>Select Budget Types</t>
  </si>
  <si>
    <t>Raised Females</t>
  </si>
  <si>
    <t>Purchased Females</t>
  </si>
  <si>
    <t>Average Raised Female Investment</t>
  </si>
  <si>
    <t>Interest to Charge on Average Livestock Investment</t>
  </si>
  <si>
    <t>No dep. on raised animals</t>
  </si>
  <si>
    <t>FIXED COST SECTION</t>
  </si>
  <si>
    <t>Ingredient</t>
  </si>
  <si>
    <t>Cost/Bull</t>
  </si>
  <si>
    <t>Cost/Calf</t>
  </si>
  <si>
    <t>Returns to Land, Labor, Capital and Management</t>
  </si>
  <si>
    <t>Total Dollars</t>
  </si>
  <si>
    <t>$/Calf Marketed</t>
  </si>
  <si>
    <t xml:space="preserve">  BASE BUDGETED NET REVENUE - TOTAL</t>
  </si>
  <si>
    <t xml:space="preserve">  BASE BUDGETED NET REVENUE - $/HEAD MARKETED</t>
  </si>
  <si>
    <t xml:space="preserve">  BASE BUDGETED NET REVENUE - $/COW</t>
  </si>
  <si>
    <t>Returns to Labor, Capital and Management</t>
  </si>
  <si>
    <t>Returns to Land, Capital and Management</t>
  </si>
  <si>
    <t>Average Purchased Livestock Investment</t>
  </si>
  <si>
    <t>Millet/Forage Sorghum</t>
  </si>
  <si>
    <t>Total Tons Fed</t>
  </si>
  <si>
    <t>WCS</t>
  </si>
  <si>
    <t>Soy hulls</t>
  </si>
  <si>
    <t>Revised by Levi A. Russell, 2016</t>
  </si>
  <si>
    <t xml:space="preserve"> COW-CALF BUDGET (SOUTH GEORGIA-2017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</si>
</sst>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164" formatCode="0.0%"/>
    <numFmt numFmtId="165" formatCode="0.000"/>
    <numFmt numFmtId="166" formatCode="&quot;$&quot;#,##0.00"/>
    <numFmt numFmtId="167" formatCode="&quot;$&quot;#,##0"/>
    <numFmt numFmtId="168" formatCode="&quot;$&quot;#,##0.000"/>
  </numFmts>
  <fonts count="40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Helv"/>
    </font>
    <font>
      <i/>
      <sz val="10"/>
      <name val="Arial"/>
      <family val="2"/>
    </font>
    <font>
      <b/>
      <sz val="10"/>
      <color indexed="37"/>
      <name val="Arial"/>
      <family val="2"/>
    </font>
    <font>
      <sz val="10"/>
      <color indexed="32"/>
      <name val="Arial"/>
      <family val="2"/>
    </font>
    <font>
      <b/>
      <sz val="10"/>
      <color indexed="10"/>
      <name val="Arial"/>
      <family val="2"/>
    </font>
    <font>
      <b/>
      <sz val="10"/>
      <color indexed="32"/>
      <name val="Arial"/>
      <family val="2"/>
    </font>
    <font>
      <b/>
      <sz val="10"/>
      <color indexed="9"/>
      <name val="Arial"/>
      <family val="2"/>
    </font>
    <font>
      <sz val="10"/>
      <color indexed="35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sz val="10"/>
      <color indexed="18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2"/>
      <color indexed="56"/>
      <name val="Arial"/>
      <family val="2"/>
    </font>
    <font>
      <b/>
      <sz val="11"/>
      <color indexed="56"/>
      <name val="Arial"/>
      <family val="2"/>
    </font>
    <font>
      <b/>
      <sz val="11"/>
      <name val="Arial"/>
      <family val="2"/>
    </font>
    <font>
      <b/>
      <sz val="11"/>
      <color indexed="57"/>
      <name val="Arial"/>
      <family val="2"/>
    </font>
    <font>
      <b/>
      <sz val="10"/>
      <color indexed="56"/>
      <name val="Arial"/>
      <family val="2"/>
    </font>
    <font>
      <sz val="10"/>
      <color indexed="17"/>
      <name val="Arial"/>
      <family val="2"/>
    </font>
    <font>
      <sz val="10"/>
      <name val="Bookman Old Style"/>
      <family val="1"/>
    </font>
    <font>
      <b/>
      <sz val="10"/>
      <name val="Bookman Old Style"/>
      <family val="1"/>
    </font>
    <font>
      <sz val="8"/>
      <name val="Arial"/>
      <family val="2"/>
    </font>
    <font>
      <b/>
      <sz val="12"/>
      <color indexed="37"/>
      <name val="Arial"/>
      <family val="2"/>
    </font>
    <font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9"/>
      </patternFill>
    </fill>
    <fill>
      <patternFill patternType="solid">
        <fgColor indexed="43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9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indexed="47"/>
        <bgColor indexed="9"/>
      </patternFill>
    </fill>
    <fill>
      <patternFill patternType="solid">
        <fgColor indexed="8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57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ck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/>
      <right/>
      <top/>
      <bottom style="thin">
        <color indexed="0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0"/>
      </left>
      <right/>
      <top style="thick">
        <color indexed="0"/>
      </top>
      <bottom/>
      <diagonal/>
    </border>
    <border>
      <left/>
      <right/>
      <top style="thick">
        <color indexed="0"/>
      </top>
      <bottom/>
      <diagonal/>
    </border>
    <border>
      <left style="thick">
        <color indexed="0"/>
      </left>
      <right/>
      <top/>
      <bottom/>
      <diagonal/>
    </border>
    <border>
      <left style="thick">
        <color indexed="0"/>
      </left>
      <right/>
      <top/>
      <bottom style="thick">
        <color indexed="0"/>
      </bottom>
      <diagonal/>
    </border>
    <border>
      <left style="thin">
        <color indexed="0"/>
      </left>
      <right/>
      <top/>
      <bottom style="thick">
        <color indexed="0"/>
      </bottom>
      <diagonal/>
    </border>
    <border>
      <left style="thin">
        <color indexed="0"/>
      </left>
      <right/>
      <top style="thick">
        <color indexed="0"/>
      </top>
      <bottom/>
      <diagonal/>
    </border>
    <border>
      <left style="thick">
        <color indexed="0"/>
      </left>
      <right style="thin">
        <color indexed="0"/>
      </right>
      <top style="thick">
        <color indexed="0"/>
      </top>
      <bottom/>
      <diagonal/>
    </border>
    <border>
      <left style="thick">
        <color indexed="0"/>
      </left>
      <right style="thin">
        <color indexed="0"/>
      </right>
      <top/>
      <bottom style="thick">
        <color indexed="0"/>
      </bottom>
      <diagonal/>
    </border>
    <border>
      <left style="thick">
        <color indexed="0"/>
      </left>
      <right style="thin">
        <color indexed="0"/>
      </right>
      <top style="thin">
        <color indexed="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0"/>
      </left>
      <right/>
      <top/>
      <bottom style="double">
        <color indexed="0"/>
      </bottom>
      <diagonal/>
    </border>
    <border>
      <left/>
      <right/>
      <top/>
      <bottom style="double">
        <color indexed="0"/>
      </bottom>
      <diagonal/>
    </border>
    <border>
      <left/>
      <right style="double">
        <color indexed="0"/>
      </right>
      <top/>
      <bottom style="double">
        <color indexed="0"/>
      </bottom>
      <diagonal/>
    </border>
    <border>
      <left style="double">
        <color indexed="0"/>
      </left>
      <right/>
      <top style="double">
        <color indexed="0"/>
      </top>
      <bottom/>
      <diagonal/>
    </border>
    <border>
      <left/>
      <right style="double">
        <color indexed="0"/>
      </right>
      <top style="double">
        <color indexed="0"/>
      </top>
      <bottom/>
      <diagonal/>
    </border>
    <border>
      <left style="double">
        <color indexed="0"/>
      </left>
      <right/>
      <top/>
      <bottom/>
      <diagonal/>
    </border>
    <border>
      <left/>
      <right style="double">
        <color indexed="0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8">
    <xf numFmtId="0" fontId="0" fillId="0" borderId="0">
      <alignment vertical="top"/>
    </xf>
    <xf numFmtId="0" fontId="4" fillId="0" borderId="0" applyNumberFormat="0" applyFill="0" applyAlignment="0" applyProtection="0"/>
    <xf numFmtId="4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7" fontId="17" fillId="0" borderId="0" applyFont="0" applyFill="0" applyBorder="0" applyAlignment="0" applyProtection="0"/>
    <xf numFmtId="7" fontId="17" fillId="4" borderId="0"/>
    <xf numFmtId="5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1" fillId="4" borderId="0"/>
    <xf numFmtId="0" fontId="2" fillId="0" borderId="0" applyNumberFormat="0" applyFont="0" applyFill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/>
    <xf numFmtId="10" fontId="17" fillId="0" borderId="0" applyFont="0" applyFill="0" applyBorder="0" applyAlignment="0" applyProtection="0"/>
    <xf numFmtId="10" fontId="17" fillId="4" borderId="0"/>
    <xf numFmtId="0" fontId="17" fillId="0" borderId="1" applyNumberFormat="0" applyFont="0" applyBorder="0" applyAlignment="0" applyProtection="0"/>
  </cellStyleXfs>
  <cellXfs count="464">
    <xf numFmtId="2" fontId="0" fillId="0" borderId="0" xfId="0" applyNumberFormat="1" applyAlignment="1"/>
    <xf numFmtId="2" fontId="0" fillId="0" borderId="0" xfId="0" applyNumberFormat="1" applyAlignment="1" applyProtection="1">
      <protection locked="0"/>
    </xf>
    <xf numFmtId="1" fontId="0" fillId="0" borderId="0" xfId="0" applyNumberFormat="1" applyAlignment="1" applyProtection="1">
      <protection locked="0"/>
    </xf>
    <xf numFmtId="1" fontId="0" fillId="0" borderId="0" xfId="0" applyNumberFormat="1" applyAlignment="1"/>
    <xf numFmtId="9" fontId="0" fillId="0" borderId="0" xfId="0" applyNumberFormat="1" applyAlignment="1"/>
    <xf numFmtId="3" fontId="0" fillId="0" borderId="0" xfId="0" applyNumberFormat="1" applyAlignment="1" applyProtection="1">
      <protection locked="0"/>
    </xf>
    <xf numFmtId="2" fontId="6" fillId="0" borderId="0" xfId="0" applyNumberFormat="1" applyFont="1" applyBorder="1" applyAlignment="1" applyProtection="1">
      <alignment horizontal="centerContinuous"/>
      <protection locked="0"/>
    </xf>
    <xf numFmtId="1" fontId="7" fillId="0" borderId="0" xfId="0" applyNumberFormat="1" applyFont="1" applyAlignment="1" applyProtection="1">
      <protection locked="0"/>
    </xf>
    <xf numFmtId="2" fontId="7" fillId="0" borderId="0" xfId="0" applyNumberFormat="1" applyFont="1" applyAlignment="1" applyProtection="1">
      <protection locked="0"/>
    </xf>
    <xf numFmtId="9" fontId="7" fillId="0" borderId="0" xfId="0" applyNumberFormat="1" applyFont="1" applyAlignment="1" applyProtection="1">
      <protection locked="0"/>
    </xf>
    <xf numFmtId="0" fontId="7" fillId="0" borderId="0" xfId="0" applyNumberFormat="1" applyFont="1" applyAlignment="1" applyProtection="1">
      <protection locked="0"/>
    </xf>
    <xf numFmtId="3" fontId="7" fillId="0" borderId="0" xfId="0" applyNumberFormat="1" applyFont="1" applyAlignment="1" applyProtection="1">
      <protection locked="0"/>
    </xf>
    <xf numFmtId="164" fontId="7" fillId="0" borderId="0" xfId="0" applyNumberFormat="1" applyFont="1" applyAlignment="1" applyProtection="1">
      <protection locked="0"/>
    </xf>
    <xf numFmtId="165" fontId="7" fillId="0" borderId="0" xfId="0" applyNumberFormat="1" applyFont="1" applyAlignment="1" applyProtection="1">
      <protection locked="0"/>
    </xf>
    <xf numFmtId="2" fontId="0" fillId="0" borderId="0" xfId="0" applyNumberFormat="1" applyFont="1" applyAlignment="1" applyProtection="1">
      <alignment horizontal="centerContinuous"/>
      <protection locked="0"/>
    </xf>
    <xf numFmtId="2" fontId="3" fillId="0" borderId="2" xfId="0" applyNumberFormat="1" applyFont="1" applyFill="1" applyBorder="1" applyAlignment="1" applyProtection="1">
      <alignment horizontal="centerContinuous"/>
      <protection locked="0"/>
    </xf>
    <xf numFmtId="2" fontId="9" fillId="0" borderId="0" xfId="0" applyNumberFormat="1" applyFont="1" applyBorder="1" applyAlignment="1" applyProtection="1">
      <alignment horizontal="centerContinuous"/>
      <protection locked="0"/>
    </xf>
    <xf numFmtId="2" fontId="0" fillId="0" borderId="3" xfId="0" applyNumberFormat="1" applyFill="1" applyBorder="1" applyAlignment="1" applyProtection="1">
      <protection locked="0"/>
    </xf>
    <xf numFmtId="2" fontId="9" fillId="0" borderId="0" xfId="9" applyNumberFormat="1" applyFont="1" applyAlignment="1" applyProtection="1">
      <alignment horizontal="centerContinuous"/>
      <protection locked="0"/>
    </xf>
    <xf numFmtId="2" fontId="3" fillId="0" borderId="4" xfId="0" applyNumberFormat="1" applyFont="1" applyFill="1" applyBorder="1" applyAlignment="1" applyProtection="1">
      <alignment horizontal="centerContinuous"/>
      <protection locked="0"/>
    </xf>
    <xf numFmtId="2" fontId="3" fillId="0" borderId="5" xfId="0" applyNumberFormat="1" applyFont="1" applyFill="1" applyBorder="1" applyAlignment="1" applyProtection="1">
      <alignment horizontal="centerContinuous"/>
      <protection locked="0"/>
    </xf>
    <xf numFmtId="2" fontId="3" fillId="0" borderId="6" xfId="0" applyNumberFormat="1" applyFont="1" applyFill="1" applyBorder="1" applyAlignment="1" applyProtection="1">
      <alignment horizontal="centerContinuous"/>
      <protection locked="0"/>
    </xf>
    <xf numFmtId="2" fontId="3" fillId="0" borderId="7" xfId="0" applyNumberFormat="1" applyFont="1" applyFill="1" applyBorder="1" applyAlignment="1" applyProtection="1">
      <alignment horizontal="centerContinuous"/>
      <protection locked="0"/>
    </xf>
    <xf numFmtId="2" fontId="3" fillId="0" borderId="8" xfId="0" applyNumberFormat="1" applyFont="1" applyFill="1" applyBorder="1" applyAlignment="1" applyProtection="1">
      <protection locked="0"/>
    </xf>
    <xf numFmtId="2" fontId="3" fillId="0" borderId="9" xfId="0" applyNumberFormat="1" applyFont="1" applyFill="1" applyBorder="1" applyAlignment="1" applyProtection="1">
      <protection locked="0"/>
    </xf>
    <xf numFmtId="164" fontId="0" fillId="0" borderId="0" xfId="0" applyNumberFormat="1" applyAlignment="1" applyProtection="1">
      <protection locked="0"/>
    </xf>
    <xf numFmtId="2" fontId="8" fillId="0" borderId="0" xfId="0" applyNumberFormat="1" applyFont="1" applyBorder="1" applyAlignment="1" applyProtection="1">
      <protection locked="0"/>
    </xf>
    <xf numFmtId="2" fontId="0" fillId="0" borderId="10" xfId="0" applyNumberFormat="1" applyFill="1" applyBorder="1" applyAlignment="1" applyProtection="1">
      <protection locked="0"/>
    </xf>
    <xf numFmtId="2" fontId="0" fillId="0" borderId="11" xfId="0" applyNumberFormat="1" applyFill="1" applyBorder="1" applyAlignment="1" applyProtection="1">
      <protection locked="0"/>
    </xf>
    <xf numFmtId="2" fontId="0" fillId="0" borderId="12" xfId="0" applyNumberFormat="1" applyFont="1" applyFill="1" applyBorder="1" applyAlignment="1" applyProtection="1">
      <alignment horizontal="centerContinuous"/>
      <protection locked="0"/>
    </xf>
    <xf numFmtId="2" fontId="3" fillId="0" borderId="12" xfId="0" applyNumberFormat="1" applyFont="1" applyFill="1" applyBorder="1" applyAlignment="1" applyProtection="1">
      <protection locked="0"/>
    </xf>
    <xf numFmtId="5" fontId="0" fillId="0" borderId="0" xfId="0" applyNumberFormat="1" applyAlignment="1" applyProtection="1">
      <protection locked="0"/>
    </xf>
    <xf numFmtId="2" fontId="12" fillId="0" borderId="0" xfId="0" applyNumberFormat="1" applyFont="1" applyAlignment="1" applyProtection="1">
      <protection locked="0"/>
    </xf>
    <xf numFmtId="2" fontId="13" fillId="0" borderId="0" xfId="0" applyNumberFormat="1" applyFont="1" applyAlignment="1" applyProtection="1">
      <protection locked="0"/>
    </xf>
    <xf numFmtId="2" fontId="3" fillId="5" borderId="10" xfId="0" applyNumberFormat="1" applyFont="1" applyFill="1" applyBorder="1" applyAlignment="1" applyProtection="1">
      <alignment horizontal="centerContinuous"/>
      <protection locked="0"/>
    </xf>
    <xf numFmtId="2" fontId="3" fillId="5" borderId="13" xfId="0" applyNumberFormat="1" applyFont="1" applyFill="1" applyBorder="1" applyAlignment="1" applyProtection="1">
      <alignment horizontal="centerContinuous"/>
      <protection locked="0"/>
    </xf>
    <xf numFmtId="0" fontId="3" fillId="5" borderId="13" xfId="0" applyFont="1" applyFill="1" applyBorder="1" applyAlignment="1" applyProtection="1">
      <alignment horizontal="centerContinuous"/>
      <protection locked="0"/>
    </xf>
    <xf numFmtId="2" fontId="3" fillId="5" borderId="11" xfId="0" applyNumberFormat="1" applyFont="1" applyFill="1" applyBorder="1" applyAlignment="1" applyProtection="1">
      <alignment horizontal="centerContinuous"/>
      <protection locked="0"/>
    </xf>
    <xf numFmtId="0" fontId="3" fillId="5" borderId="14" xfId="0" applyFont="1" applyFill="1" applyBorder="1" applyAlignment="1" applyProtection="1">
      <alignment horizontal="centerContinuous"/>
      <protection locked="0"/>
    </xf>
    <xf numFmtId="2" fontId="3" fillId="5" borderId="0" xfId="0" applyNumberFormat="1" applyFont="1" applyFill="1" applyBorder="1" applyAlignment="1" applyProtection="1">
      <alignment horizontal="centerContinuous"/>
      <protection locked="0"/>
    </xf>
    <xf numFmtId="0" fontId="3" fillId="5" borderId="0" xfId="0" applyFont="1" applyFill="1" applyBorder="1" applyAlignment="1" applyProtection="1">
      <alignment horizontal="centerContinuous"/>
      <protection locked="0"/>
    </xf>
    <xf numFmtId="2" fontId="3" fillId="5" borderId="15" xfId="0" applyNumberFormat="1" applyFont="1" applyFill="1" applyBorder="1" applyAlignment="1" applyProtection="1">
      <alignment horizontal="centerContinuous"/>
      <protection locked="0"/>
    </xf>
    <xf numFmtId="2" fontId="3" fillId="5" borderId="2" xfId="0" applyNumberFormat="1" applyFont="1" applyFill="1" applyBorder="1" applyAlignment="1" applyProtection="1">
      <alignment horizontal="centerContinuous"/>
      <protection locked="0"/>
    </xf>
    <xf numFmtId="0" fontId="3" fillId="5" borderId="16" xfId="0" applyFont="1" applyFill="1" applyBorder="1" applyAlignment="1" applyProtection="1">
      <alignment horizontal="centerContinuous"/>
      <protection locked="0"/>
    </xf>
    <xf numFmtId="2" fontId="3" fillId="5" borderId="12" xfId="0" applyNumberFormat="1" applyFont="1" applyFill="1" applyBorder="1" applyAlignment="1" applyProtection="1">
      <alignment horizontal="centerContinuous"/>
      <protection locked="0"/>
    </xf>
    <xf numFmtId="166" fontId="7" fillId="0" borderId="0" xfId="0" applyNumberFormat="1" applyFont="1" applyAlignment="1" applyProtection="1">
      <protection locked="0"/>
    </xf>
    <xf numFmtId="166" fontId="0" fillId="0" borderId="0" xfId="0" applyNumberFormat="1" applyAlignment="1" applyProtection="1">
      <protection locked="0"/>
    </xf>
    <xf numFmtId="3" fontId="12" fillId="0" borderId="0" xfId="0" applyNumberFormat="1" applyFont="1" applyAlignment="1" applyProtection="1">
      <protection locked="0"/>
    </xf>
    <xf numFmtId="2" fontId="15" fillId="0" borderId="0" xfId="0" applyNumberFormat="1" applyFont="1" applyAlignment="1" applyProtection="1">
      <protection locked="0"/>
    </xf>
    <xf numFmtId="0" fontId="17" fillId="0" borderId="0" xfId="13"/>
    <xf numFmtId="7" fontId="17" fillId="0" borderId="0" xfId="4" applyFont="1"/>
    <xf numFmtId="2" fontId="0" fillId="0" borderId="0" xfId="0" applyNumberFormat="1" applyBorder="1" applyAlignment="1" applyProtection="1">
      <protection locked="0"/>
    </xf>
    <xf numFmtId="0" fontId="21" fillId="6" borderId="17" xfId="0" applyFont="1" applyFill="1" applyBorder="1" applyAlignment="1" applyProtection="1">
      <alignment horizontal="left"/>
      <protection locked="0"/>
    </xf>
    <xf numFmtId="0" fontId="22" fillId="6" borderId="18" xfId="0" applyFont="1" applyFill="1" applyBorder="1" applyAlignment="1" applyProtection="1">
      <alignment horizontal="center"/>
      <protection locked="0"/>
    </xf>
    <xf numFmtId="0" fontId="21" fillId="6" borderId="19" xfId="0" applyFont="1" applyFill="1" applyBorder="1" applyAlignment="1" applyProtection="1">
      <alignment horizontal="left"/>
      <protection locked="0"/>
    </xf>
    <xf numFmtId="0" fontId="21" fillId="6" borderId="20" xfId="0" applyFont="1" applyFill="1" applyBorder="1" applyAlignment="1" applyProtection="1">
      <alignment horizontal="left"/>
      <protection locked="0"/>
    </xf>
    <xf numFmtId="0" fontId="21" fillId="6" borderId="0" xfId="0" applyFont="1" applyFill="1" applyBorder="1" applyAlignment="1" applyProtection="1">
      <alignment horizontal="left"/>
      <protection locked="0"/>
    </xf>
    <xf numFmtId="0" fontId="21" fillId="6" borderId="21" xfId="0" applyFont="1" applyFill="1" applyBorder="1" applyAlignment="1" applyProtection="1">
      <alignment horizontal="left"/>
      <protection locked="0"/>
    </xf>
    <xf numFmtId="0" fontId="23" fillId="6" borderId="20" xfId="0" applyFont="1" applyFill="1" applyBorder="1" applyAlignment="1" applyProtection="1">
      <alignment horizontal="left"/>
      <protection locked="0"/>
    </xf>
    <xf numFmtId="0" fontId="21" fillId="6" borderId="22" xfId="0" applyFont="1" applyFill="1" applyBorder="1" applyAlignment="1" applyProtection="1">
      <alignment horizontal="left"/>
      <protection locked="0"/>
    </xf>
    <xf numFmtId="0" fontId="21" fillId="6" borderId="23" xfId="0" applyFont="1" applyFill="1" applyBorder="1" applyAlignment="1" applyProtection="1">
      <alignment horizontal="left"/>
      <protection locked="0"/>
    </xf>
    <xf numFmtId="0" fontId="21" fillId="6" borderId="24" xfId="0" applyFont="1" applyFill="1" applyBorder="1" applyAlignment="1" applyProtection="1">
      <alignment horizontal="left"/>
      <protection locked="0"/>
    </xf>
    <xf numFmtId="2" fontId="0" fillId="2" borderId="25" xfId="0" applyNumberFormat="1" applyFont="1" applyFill="1" applyBorder="1" applyAlignment="1" applyProtection="1">
      <alignment horizontal="centerContinuous"/>
      <protection locked="0"/>
    </xf>
    <xf numFmtId="2" fontId="0" fillId="2" borderId="26" xfId="0" applyNumberFormat="1" applyFont="1" applyFill="1" applyBorder="1" applyAlignment="1" applyProtection="1">
      <alignment horizontal="centerContinuous"/>
      <protection locked="0"/>
    </xf>
    <xf numFmtId="2" fontId="0" fillId="6" borderId="19" xfId="0" applyNumberFormat="1" applyFill="1" applyBorder="1" applyAlignment="1" applyProtection="1">
      <protection locked="0"/>
    </xf>
    <xf numFmtId="2" fontId="3" fillId="2" borderId="27" xfId="0" applyNumberFormat="1" applyFont="1" applyFill="1" applyBorder="1" applyAlignment="1" applyProtection="1">
      <alignment horizontal="left"/>
      <protection locked="0"/>
    </xf>
    <xf numFmtId="0" fontId="0" fillId="6" borderId="0" xfId="0" applyFont="1" applyFill="1" applyAlignment="1" applyProtection="1">
      <alignment horizontal="centerContinuous"/>
      <protection locked="0"/>
    </xf>
    <xf numFmtId="2" fontId="3" fillId="2" borderId="0" xfId="0" applyNumberFormat="1" applyFont="1" applyFill="1" applyBorder="1" applyAlignment="1" applyProtection="1">
      <alignment horizontal="centerContinuous"/>
      <protection locked="0"/>
    </xf>
    <xf numFmtId="2" fontId="0" fillId="6" borderId="21" xfId="0" applyNumberFormat="1" applyFill="1" applyBorder="1" applyAlignment="1" applyProtection="1">
      <protection locked="0"/>
    </xf>
    <xf numFmtId="2" fontId="0" fillId="2" borderId="27" xfId="0" applyNumberFormat="1" applyFill="1" applyBorder="1" applyAlignment="1" applyProtection="1">
      <alignment horizontal="left"/>
      <protection locked="0"/>
    </xf>
    <xf numFmtId="2" fontId="0" fillId="2" borderId="27" xfId="0" applyNumberFormat="1" applyFill="1" applyBorder="1" applyAlignment="1" applyProtection="1">
      <protection locked="0"/>
    </xf>
    <xf numFmtId="2" fontId="0" fillId="7" borderId="28" xfId="0" applyNumberFormat="1" applyFill="1" applyBorder="1" applyAlignment="1" applyProtection="1">
      <protection locked="0"/>
    </xf>
    <xf numFmtId="2" fontId="0" fillId="7" borderId="29" xfId="0" applyNumberFormat="1" applyFill="1" applyBorder="1" applyAlignment="1" applyProtection="1">
      <protection locked="0"/>
    </xf>
    <xf numFmtId="2" fontId="11" fillId="6" borderId="30" xfId="0" applyNumberFormat="1" applyFont="1" applyFill="1" applyBorder="1" applyAlignment="1" applyProtection="1">
      <protection locked="0"/>
    </xf>
    <xf numFmtId="2" fontId="0" fillId="6" borderId="29" xfId="0" applyNumberFormat="1" applyFill="1" applyBorder="1" applyAlignment="1" applyProtection="1">
      <protection locked="0"/>
    </xf>
    <xf numFmtId="2" fontId="0" fillId="2" borderId="28" xfId="0" applyNumberFormat="1" applyFill="1" applyBorder="1" applyAlignment="1" applyProtection="1">
      <protection locked="0"/>
    </xf>
    <xf numFmtId="2" fontId="0" fillId="2" borderId="29" xfId="0" applyNumberFormat="1" applyFill="1" applyBorder="1" applyAlignment="1" applyProtection="1">
      <protection locked="0"/>
    </xf>
    <xf numFmtId="2" fontId="0" fillId="6" borderId="30" xfId="0" applyNumberFormat="1" applyFill="1" applyBorder="1" applyAlignment="1" applyProtection="1">
      <protection locked="0"/>
    </xf>
    <xf numFmtId="2" fontId="0" fillId="6" borderId="14" xfId="0" applyNumberFormat="1" applyFill="1" applyBorder="1" applyAlignment="1" applyProtection="1">
      <protection locked="0"/>
    </xf>
    <xf numFmtId="2" fontId="0" fillId="2" borderId="0" xfId="0" applyNumberFormat="1" applyFill="1" applyBorder="1" applyAlignment="1" applyProtection="1">
      <protection locked="0"/>
    </xf>
    <xf numFmtId="0" fontId="0" fillId="6" borderId="21" xfId="0" applyFill="1" applyBorder="1" applyAlignment="1" applyProtection="1">
      <protection locked="0"/>
    </xf>
    <xf numFmtId="0" fontId="14" fillId="6" borderId="20" xfId="0" applyFont="1" applyFill="1" applyBorder="1" applyAlignment="1" applyProtection="1">
      <protection locked="0"/>
    </xf>
    <xf numFmtId="0" fontId="0" fillId="6" borderId="0" xfId="0" applyFill="1" applyBorder="1" applyAlignment="1" applyProtection="1">
      <protection locked="0"/>
    </xf>
    <xf numFmtId="0" fontId="0" fillId="6" borderId="20" xfId="0" applyFill="1" applyBorder="1" applyAlignment="1" applyProtection="1">
      <protection locked="0"/>
    </xf>
    <xf numFmtId="0" fontId="0" fillId="6" borderId="22" xfId="0" applyFill="1" applyBorder="1" applyAlignment="1" applyProtection="1">
      <protection locked="0"/>
    </xf>
    <xf numFmtId="0" fontId="0" fillId="6" borderId="23" xfId="0" applyFill="1" applyBorder="1" applyAlignment="1" applyProtection="1">
      <protection locked="0"/>
    </xf>
    <xf numFmtId="0" fontId="0" fillId="6" borderId="24" xfId="0" applyFill="1" applyBorder="1" applyAlignment="1" applyProtection="1">
      <protection locked="0"/>
    </xf>
    <xf numFmtId="0" fontId="26" fillId="6" borderId="0" xfId="0" applyFont="1" applyFill="1" applyBorder="1" applyAlignment="1" applyProtection="1">
      <protection locked="0"/>
    </xf>
    <xf numFmtId="2" fontId="0" fillId="0" borderId="20" xfId="0" applyNumberFormat="1" applyBorder="1" applyAlignment="1" applyProtection="1">
      <protection locked="0"/>
    </xf>
    <xf numFmtId="2" fontId="10" fillId="3" borderId="31" xfId="0" applyNumberFormat="1" applyFont="1" applyFill="1" applyBorder="1" applyAlignment="1" applyProtection="1">
      <alignment horizontal="center"/>
      <protection locked="0"/>
    </xf>
    <xf numFmtId="2" fontId="10" fillId="8" borderId="30" xfId="0" applyNumberFormat="1" applyFont="1" applyFill="1" applyBorder="1" applyAlignment="1" applyProtection="1">
      <alignment horizontal="center"/>
      <protection locked="0"/>
    </xf>
    <xf numFmtId="2" fontId="10" fillId="3" borderId="32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center"/>
      <protection locked="0"/>
    </xf>
    <xf numFmtId="2" fontId="10" fillId="9" borderId="31" xfId="0" applyNumberFormat="1" applyFont="1" applyFill="1" applyBorder="1" applyAlignment="1" applyProtection="1">
      <alignment horizontal="center"/>
      <protection locked="0"/>
    </xf>
    <xf numFmtId="2" fontId="10" fillId="9" borderId="32" xfId="0" applyNumberFormat="1" applyFont="1" applyFill="1" applyBorder="1" applyAlignment="1" applyProtection="1">
      <alignment horizontal="center"/>
      <protection locked="0"/>
    </xf>
    <xf numFmtId="2" fontId="10" fillId="9" borderId="33" xfId="0" applyNumberFormat="1" applyFont="1" applyFill="1" applyBorder="1" applyAlignment="1" applyProtection="1">
      <alignment horizontal="center"/>
      <protection locked="0"/>
    </xf>
    <xf numFmtId="166" fontId="20" fillId="0" borderId="0" xfId="0" applyNumberFormat="1" applyFont="1" applyAlignment="1" applyProtection="1">
      <protection locked="0"/>
    </xf>
    <xf numFmtId="3" fontId="20" fillId="0" borderId="0" xfId="0" applyNumberFormat="1" applyFont="1" applyAlignment="1" applyProtection="1">
      <protection locked="0"/>
    </xf>
    <xf numFmtId="3" fontId="27" fillId="0" borderId="0" xfId="0" applyNumberFormat="1" applyFont="1" applyAlignment="1" applyProtection="1">
      <protection locked="0"/>
    </xf>
    <xf numFmtId="2" fontId="27" fillId="0" borderId="0" xfId="0" applyNumberFormat="1" applyFont="1" applyAlignment="1" applyProtection="1">
      <protection locked="0"/>
    </xf>
    <xf numFmtId="166" fontId="27" fillId="0" borderId="0" xfId="0" applyNumberFormat="1" applyFont="1" applyAlignment="1" applyProtection="1">
      <protection locked="0"/>
    </xf>
    <xf numFmtId="1" fontId="20" fillId="0" borderId="0" xfId="0" applyNumberFormat="1" applyFont="1" applyAlignment="1" applyProtection="1">
      <protection locked="0"/>
    </xf>
    <xf numFmtId="167" fontId="20" fillId="0" borderId="0" xfId="0" applyNumberFormat="1" applyFont="1" applyAlignment="1" applyProtection="1">
      <protection locked="0"/>
    </xf>
    <xf numFmtId="166" fontId="8" fillId="0" borderId="0" xfId="0" applyNumberFormat="1" applyFont="1" applyAlignment="1" applyProtection="1">
      <protection locked="0"/>
    </xf>
    <xf numFmtId="167" fontId="27" fillId="0" borderId="0" xfId="0" applyNumberFormat="1" applyFont="1" applyAlignment="1" applyProtection="1">
      <protection locked="0"/>
    </xf>
    <xf numFmtId="164" fontId="27" fillId="0" borderId="0" xfId="0" applyNumberFormat="1" applyFont="1" applyAlignment="1" applyProtection="1">
      <protection locked="0"/>
    </xf>
    <xf numFmtId="166" fontId="27" fillId="0" borderId="34" xfId="0" applyNumberFormat="1" applyFont="1" applyBorder="1" applyAlignment="1" applyProtection="1">
      <protection locked="0"/>
    </xf>
    <xf numFmtId="167" fontId="8" fillId="0" borderId="0" xfId="0" applyNumberFormat="1" applyFont="1" applyAlignment="1" applyProtection="1">
      <protection locked="0"/>
    </xf>
    <xf numFmtId="166" fontId="8" fillId="0" borderId="34" xfId="0" applyNumberFormat="1" applyFont="1" applyBorder="1" applyAlignment="1" applyProtection="1">
      <protection locked="0"/>
    </xf>
    <xf numFmtId="2" fontId="0" fillId="10" borderId="0" xfId="0" applyNumberFormat="1" applyFill="1" applyAlignment="1" applyProtection="1">
      <protection locked="0"/>
    </xf>
    <xf numFmtId="2" fontId="12" fillId="10" borderId="0" xfId="0" applyNumberFormat="1" applyFont="1" applyFill="1" applyAlignment="1" applyProtection="1">
      <protection locked="0"/>
    </xf>
    <xf numFmtId="2" fontId="19" fillId="10" borderId="0" xfId="0" applyNumberFormat="1" applyFont="1" applyFill="1" applyAlignment="1" applyProtection="1">
      <protection locked="0"/>
    </xf>
    <xf numFmtId="166" fontId="20" fillId="10" borderId="0" xfId="0" applyNumberFormat="1" applyFont="1" applyFill="1" applyAlignment="1" applyProtection="1">
      <protection locked="0"/>
    </xf>
    <xf numFmtId="2" fontId="20" fillId="10" borderId="0" xfId="0" applyNumberFormat="1" applyFont="1" applyFill="1" applyAlignment="1" applyProtection="1">
      <protection locked="0"/>
    </xf>
    <xf numFmtId="7" fontId="20" fillId="10" borderId="0" xfId="4" applyFont="1" applyFill="1" applyProtection="1">
      <protection locked="0"/>
    </xf>
    <xf numFmtId="2" fontId="28" fillId="4" borderId="0" xfId="14" applyNumberFormat="1" applyFont="1" applyFill="1" applyBorder="1"/>
    <xf numFmtId="2" fontId="29" fillId="4" borderId="0" xfId="14" applyNumberFormat="1" applyFont="1" applyFill="1" applyBorder="1"/>
    <xf numFmtId="166" fontId="29" fillId="4" borderId="0" xfId="14" applyNumberFormat="1" applyFont="1" applyFill="1" applyBorder="1"/>
    <xf numFmtId="2" fontId="18" fillId="0" borderId="0" xfId="12" applyNumberFormat="1" applyAlignment="1" applyProtection="1">
      <protection locked="0"/>
    </xf>
    <xf numFmtId="0" fontId="0" fillId="0" borderId="0" xfId="0" applyAlignment="1" applyProtection="1">
      <protection locked="0"/>
    </xf>
    <xf numFmtId="0" fontId="12" fillId="0" borderId="0" xfId="0" applyFont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2" fontId="2" fillId="10" borderId="0" xfId="0" applyNumberFormat="1" applyFont="1" applyFill="1" applyBorder="1" applyAlignment="1" applyProtection="1">
      <protection locked="0"/>
    </xf>
    <xf numFmtId="2" fontId="9" fillId="10" borderId="0" xfId="9" applyNumberFormat="1" applyFont="1" applyFill="1" applyAlignment="1" applyProtection="1">
      <alignment horizontal="centerContinuous"/>
      <protection locked="0"/>
    </xf>
    <xf numFmtId="2" fontId="0" fillId="10" borderId="0" xfId="0" applyNumberFormat="1" applyFont="1" applyFill="1" applyAlignment="1" applyProtection="1">
      <alignment horizontal="centerContinuous"/>
      <protection locked="0"/>
    </xf>
    <xf numFmtId="1" fontId="0" fillId="10" borderId="0" xfId="0" applyNumberFormat="1" applyFill="1" applyAlignment="1" applyProtection="1">
      <protection locked="0"/>
    </xf>
    <xf numFmtId="164" fontId="7" fillId="10" borderId="0" xfId="0" applyNumberFormat="1" applyFont="1" applyFill="1" applyAlignment="1" applyProtection="1">
      <protection locked="0"/>
    </xf>
    <xf numFmtId="2" fontId="3" fillId="10" borderId="6" xfId="0" applyNumberFormat="1" applyFont="1" applyFill="1" applyBorder="1" applyAlignment="1" applyProtection="1">
      <alignment horizontal="center"/>
      <protection locked="0"/>
    </xf>
    <xf numFmtId="2" fontId="3" fillId="10" borderId="7" xfId="0" applyNumberFormat="1" applyFont="1" applyFill="1" applyBorder="1" applyAlignment="1" applyProtection="1">
      <alignment horizontal="center"/>
      <protection locked="0"/>
    </xf>
    <xf numFmtId="3" fontId="3" fillId="10" borderId="6" xfId="0" applyNumberFormat="1" applyFont="1" applyFill="1" applyBorder="1" applyAlignment="1" applyProtection="1">
      <alignment horizontal="center"/>
      <protection locked="0"/>
    </xf>
    <xf numFmtId="1" fontId="3" fillId="10" borderId="7" xfId="0" applyNumberFormat="1" applyFont="1" applyFill="1" applyBorder="1" applyAlignment="1" applyProtection="1">
      <alignment horizontal="center"/>
      <protection locked="0"/>
    </xf>
    <xf numFmtId="1" fontId="20" fillId="10" borderId="0" xfId="0" applyNumberFormat="1" applyFont="1" applyFill="1" applyAlignment="1" applyProtection="1">
      <protection locked="0"/>
    </xf>
    <xf numFmtId="166" fontId="27" fillId="10" borderId="0" xfId="0" applyNumberFormat="1" applyFont="1" applyFill="1" applyAlignment="1" applyProtection="1">
      <protection locked="0"/>
    </xf>
    <xf numFmtId="166" fontId="0" fillId="10" borderId="0" xfId="0" applyNumberFormat="1" applyFill="1" applyAlignment="1" applyProtection="1">
      <protection locked="0"/>
    </xf>
    <xf numFmtId="1" fontId="27" fillId="10" borderId="0" xfId="0" applyNumberFormat="1" applyFont="1" applyFill="1" applyAlignment="1" applyProtection="1">
      <protection locked="0"/>
    </xf>
    <xf numFmtId="2" fontId="7" fillId="10" borderId="0" xfId="0" applyNumberFormat="1" applyFont="1" applyFill="1" applyAlignment="1" applyProtection="1">
      <protection locked="0"/>
    </xf>
    <xf numFmtId="2" fontId="27" fillId="10" borderId="0" xfId="0" applyNumberFormat="1" applyFont="1" applyFill="1" applyAlignment="1" applyProtection="1">
      <protection locked="0"/>
    </xf>
    <xf numFmtId="167" fontId="20" fillId="10" borderId="0" xfId="0" applyNumberFormat="1" applyFont="1" applyFill="1" applyAlignment="1" applyProtection="1">
      <protection locked="0"/>
    </xf>
    <xf numFmtId="166" fontId="8" fillId="10" borderId="0" xfId="0" applyNumberFormat="1" applyFont="1" applyFill="1" applyAlignment="1" applyProtection="1">
      <protection locked="0"/>
    </xf>
    <xf numFmtId="166" fontId="12" fillId="10" borderId="0" xfId="0" applyNumberFormat="1" applyFont="1" applyFill="1" applyAlignment="1" applyProtection="1">
      <protection locked="0"/>
    </xf>
    <xf numFmtId="2" fontId="15" fillId="10" borderId="0" xfId="0" applyNumberFormat="1" applyFont="1" applyFill="1" applyAlignment="1" applyProtection="1">
      <protection locked="0"/>
    </xf>
    <xf numFmtId="168" fontId="27" fillId="10" borderId="0" xfId="0" applyNumberFormat="1" applyFont="1" applyFill="1" applyAlignment="1" applyProtection="1">
      <protection locked="0"/>
    </xf>
    <xf numFmtId="2" fontId="0" fillId="4" borderId="0" xfId="0" applyNumberFormat="1" applyFill="1" applyAlignment="1" applyProtection="1">
      <protection locked="0"/>
    </xf>
    <xf numFmtId="2" fontId="12" fillId="4" borderId="0" xfId="0" applyNumberFormat="1" applyFont="1" applyFill="1" applyAlignment="1" applyProtection="1">
      <protection locked="0"/>
    </xf>
    <xf numFmtId="2" fontId="18" fillId="0" borderId="0" xfId="12" applyNumberFormat="1" applyAlignment="1" applyProtection="1">
      <alignment wrapText="1"/>
      <protection locked="0"/>
    </xf>
    <xf numFmtId="2" fontId="18" fillId="0" borderId="0" xfId="12" applyNumberFormat="1" applyFont="1" applyAlignment="1" applyProtection="1">
      <alignment wrapText="1"/>
      <protection locked="0"/>
    </xf>
    <xf numFmtId="2" fontId="0" fillId="0" borderId="0" xfId="0" applyNumberFormat="1" applyFill="1" applyAlignment="1" applyProtection="1">
      <protection locked="0"/>
    </xf>
    <xf numFmtId="2" fontId="18" fillId="0" borderId="0" xfId="12" applyNumberFormat="1" applyFill="1" applyAlignment="1" applyProtection="1">
      <protection locked="0"/>
    </xf>
    <xf numFmtId="2" fontId="19" fillId="4" borderId="0" xfId="14" applyNumberFormat="1" applyFont="1" applyFill="1" applyBorder="1"/>
    <xf numFmtId="2" fontId="19" fillId="4" borderId="0" xfId="14" applyNumberFormat="1" applyFont="1" applyFill="1" applyBorder="1" applyAlignment="1">
      <alignment horizontal="left"/>
    </xf>
    <xf numFmtId="7" fontId="19" fillId="4" borderId="0" xfId="5" applyFont="1"/>
    <xf numFmtId="2" fontId="32" fillId="0" borderId="0" xfId="0" applyNumberFormat="1" applyFont="1" applyAlignment="1" applyProtection="1">
      <protection locked="0"/>
    </xf>
    <xf numFmtId="164" fontId="32" fillId="0" borderId="0" xfId="0" applyNumberFormat="1" applyFont="1" applyAlignment="1" applyProtection="1">
      <protection locked="0"/>
    </xf>
    <xf numFmtId="164" fontId="32" fillId="0" borderId="0" xfId="0" applyNumberFormat="1" applyFont="1" applyBorder="1" applyAlignment="1" applyProtection="1">
      <protection locked="0"/>
    </xf>
    <xf numFmtId="166" fontId="32" fillId="0" borderId="0" xfId="0" applyNumberFormat="1" applyFont="1" applyAlignment="1" applyProtection="1">
      <protection locked="0"/>
    </xf>
    <xf numFmtId="2" fontId="32" fillId="0" borderId="0" xfId="0" applyNumberFormat="1" applyFont="1" applyFill="1" applyAlignment="1" applyProtection="1">
      <protection locked="0"/>
    </xf>
    <xf numFmtId="2" fontId="31" fillId="0" borderId="0" xfId="0" applyNumberFormat="1" applyFont="1" applyBorder="1" applyAlignment="1" applyProtection="1">
      <protection locked="0"/>
    </xf>
    <xf numFmtId="7" fontId="19" fillId="4" borderId="0" xfId="5" applyFont="1" applyBorder="1"/>
    <xf numFmtId="2" fontId="32" fillId="0" borderId="0" xfId="0" applyNumberFormat="1" applyFont="1" applyAlignment="1" applyProtection="1"/>
    <xf numFmtId="2" fontId="32" fillId="0" borderId="0" xfId="0" applyNumberFormat="1" applyFont="1" applyBorder="1" applyAlignment="1" applyProtection="1"/>
    <xf numFmtId="2" fontId="0" fillId="4" borderId="0" xfId="0" applyNumberFormat="1" applyFill="1" applyAlignment="1" applyProtection="1"/>
    <xf numFmtId="2" fontId="12" fillId="4" borderId="0" xfId="0" applyNumberFormat="1" applyFont="1" applyFill="1" applyAlignment="1" applyProtection="1"/>
    <xf numFmtId="2" fontId="12" fillId="4" borderId="35" xfId="0" applyNumberFormat="1" applyFont="1" applyFill="1" applyBorder="1" applyAlignment="1" applyProtection="1">
      <alignment horizontal="center"/>
    </xf>
    <xf numFmtId="166" fontId="0" fillId="4" borderId="0" xfId="0" applyNumberFormat="1" applyFill="1" applyAlignment="1" applyProtection="1"/>
    <xf numFmtId="2" fontId="12" fillId="4" borderId="36" xfId="0" applyNumberFormat="1" applyFont="1" applyFill="1" applyBorder="1" applyAlignment="1" applyProtection="1"/>
    <xf numFmtId="2" fontId="12" fillId="4" borderId="37" xfId="0" applyNumberFormat="1" applyFont="1" applyFill="1" applyBorder="1" applyAlignment="1" applyProtection="1"/>
    <xf numFmtId="2" fontId="12" fillId="4" borderId="38" xfId="0" applyNumberFormat="1" applyFont="1" applyFill="1" applyBorder="1" applyAlignment="1" applyProtection="1"/>
    <xf numFmtId="7" fontId="12" fillId="4" borderId="38" xfId="4" applyFont="1" applyFill="1" applyBorder="1" applyProtection="1"/>
    <xf numFmtId="0" fontId="17" fillId="0" borderId="0" xfId="13" applyProtection="1"/>
    <xf numFmtId="0" fontId="17" fillId="0" borderId="0" xfId="13" applyFont="1" applyProtection="1"/>
    <xf numFmtId="2" fontId="17" fillId="0" borderId="0" xfId="13" applyNumberFormat="1" applyProtection="1"/>
    <xf numFmtId="7" fontId="17" fillId="0" borderId="0" xfId="4" applyFont="1" applyProtection="1"/>
    <xf numFmtId="0" fontId="12" fillId="0" borderId="36" xfId="13" applyFont="1" applyBorder="1" applyAlignment="1" applyProtection="1">
      <alignment horizontal="center"/>
      <protection locked="0"/>
    </xf>
    <xf numFmtId="0" fontId="12" fillId="0" borderId="37" xfId="13" applyFont="1" applyBorder="1" applyAlignment="1" applyProtection="1">
      <alignment horizontal="center"/>
      <protection locked="0"/>
    </xf>
    <xf numFmtId="0" fontId="12" fillId="0" borderId="37" xfId="13" applyFont="1" applyBorder="1" applyAlignment="1" applyProtection="1">
      <alignment horizontal="center" wrapText="1"/>
      <protection locked="0"/>
    </xf>
    <xf numFmtId="0" fontId="12" fillId="0" borderId="36" xfId="13" applyFont="1" applyBorder="1" applyProtection="1">
      <protection locked="0"/>
    </xf>
    <xf numFmtId="0" fontId="12" fillId="0" borderId="37" xfId="13" applyFont="1" applyBorder="1" applyProtection="1">
      <protection locked="0"/>
    </xf>
    <xf numFmtId="7" fontId="12" fillId="0" borderId="38" xfId="13" applyNumberFormat="1" applyFont="1" applyBorder="1" applyProtection="1"/>
    <xf numFmtId="0" fontId="0" fillId="0" borderId="0" xfId="0" applyAlignment="1" applyProtection="1"/>
    <xf numFmtId="0" fontId="27" fillId="0" borderId="0" xfId="0" applyFont="1" applyAlignment="1" applyProtection="1"/>
    <xf numFmtId="0" fontId="12" fillId="0" borderId="0" xfId="0" applyFont="1" applyAlignment="1" applyProtection="1">
      <alignment horizontal="center" wrapText="1"/>
    </xf>
    <xf numFmtId="167" fontId="12" fillId="0" borderId="37" xfId="0" applyNumberFormat="1" applyFont="1" applyBorder="1" applyAlignment="1" applyProtection="1"/>
    <xf numFmtId="167" fontId="12" fillId="0" borderId="38" xfId="0" applyNumberFormat="1" applyFont="1" applyFill="1" applyBorder="1" applyAlignment="1" applyProtection="1"/>
    <xf numFmtId="1" fontId="0" fillId="0" borderId="0" xfId="0" applyNumberFormat="1" applyAlignment="1" applyProtection="1"/>
    <xf numFmtId="166" fontId="12" fillId="0" borderId="38" xfId="0" applyNumberFormat="1" applyFont="1" applyBorder="1" applyAlignment="1" applyProtection="1"/>
    <xf numFmtId="7" fontId="12" fillId="0" borderId="38" xfId="4" applyFont="1" applyBorder="1" applyProtection="1"/>
    <xf numFmtId="7" fontId="12" fillId="0" borderId="0" xfId="0" applyNumberFormat="1" applyFont="1" applyAlignment="1" applyProtection="1"/>
    <xf numFmtId="167" fontId="12" fillId="0" borderId="0" xfId="0" applyNumberFormat="1" applyFont="1" applyAlignment="1" applyProtection="1"/>
    <xf numFmtId="7" fontId="0" fillId="0" borderId="0" xfId="4" applyFont="1" applyProtection="1"/>
    <xf numFmtId="2" fontId="0" fillId="0" borderId="0" xfId="0" applyNumberFormat="1" applyAlignment="1" applyProtection="1">
      <alignment horizontal="center"/>
    </xf>
    <xf numFmtId="2" fontId="0" fillId="0" borderId="0" xfId="0" applyNumberFormat="1" applyAlignment="1" applyProtection="1"/>
    <xf numFmtId="10" fontId="0" fillId="0" borderId="0" xfId="15" applyFont="1" applyProtection="1"/>
    <xf numFmtId="2" fontId="12" fillId="0" borderId="39" xfId="0" applyNumberFormat="1" applyFont="1" applyBorder="1" applyAlignment="1" applyProtection="1"/>
    <xf numFmtId="7" fontId="12" fillId="0" borderId="40" xfId="4" applyFont="1" applyBorder="1" applyAlignment="1" applyProtection="1">
      <alignment horizontal="center" wrapText="1"/>
    </xf>
    <xf numFmtId="2" fontId="12" fillId="0" borderId="40" xfId="0" applyNumberFormat="1" applyFont="1" applyBorder="1" applyAlignment="1" applyProtection="1">
      <alignment horizontal="center" wrapText="1"/>
    </xf>
    <xf numFmtId="10" fontId="12" fillId="0" borderId="40" xfId="15" applyFont="1" applyBorder="1" applyAlignment="1" applyProtection="1">
      <alignment horizontal="center" wrapText="1"/>
    </xf>
    <xf numFmtId="1" fontId="12" fillId="0" borderId="40" xfId="0" applyNumberFormat="1" applyFont="1" applyBorder="1" applyAlignment="1" applyProtection="1">
      <alignment horizontal="center" wrapText="1"/>
    </xf>
    <xf numFmtId="7" fontId="12" fillId="0" borderId="40" xfId="4" applyFont="1" applyBorder="1" applyAlignment="1" applyProtection="1">
      <alignment wrapText="1"/>
    </xf>
    <xf numFmtId="2" fontId="12" fillId="0" borderId="0" xfId="0" applyNumberFormat="1" applyFont="1" applyBorder="1" applyAlignment="1" applyProtection="1"/>
    <xf numFmtId="7" fontId="19" fillId="0" borderId="0" xfId="4" applyFont="1" applyProtection="1"/>
    <xf numFmtId="10" fontId="19" fillId="0" borderId="0" xfId="15" applyFont="1" applyProtection="1"/>
    <xf numFmtId="7" fontId="19" fillId="0" borderId="38" xfId="4" applyFont="1" applyBorder="1" applyProtection="1"/>
    <xf numFmtId="2" fontId="19" fillId="0" borderId="0" xfId="0" applyNumberFormat="1" applyFont="1" applyAlignment="1" applyProtection="1"/>
    <xf numFmtId="0" fontId="19" fillId="0" borderId="0" xfId="0" applyFont="1" applyAlignment="1" applyProtection="1">
      <alignment horizontal="left"/>
    </xf>
    <xf numFmtId="0" fontId="12" fillId="0" borderId="38" xfId="13" applyFont="1" applyBorder="1" applyAlignment="1" applyProtection="1">
      <alignment horizontal="center"/>
    </xf>
    <xf numFmtId="4" fontId="17" fillId="11" borderId="0" xfId="0" applyNumberFormat="1" applyFont="1" applyFill="1" applyAlignment="1" applyProtection="1">
      <protection locked="0"/>
    </xf>
    <xf numFmtId="166" fontId="17" fillId="11" borderId="0" xfId="0" applyNumberFormat="1" applyFont="1" applyFill="1" applyAlignment="1" applyProtection="1">
      <protection locked="0"/>
    </xf>
    <xf numFmtId="4" fontId="17" fillId="0" borderId="0" xfId="0" applyNumberFormat="1" applyFont="1" applyFill="1" applyAlignment="1" applyProtection="1">
      <protection locked="0"/>
    </xf>
    <xf numFmtId="2" fontId="17" fillId="0" borderId="0" xfId="0" applyNumberFormat="1" applyFont="1" applyFill="1" applyAlignment="1" applyProtection="1">
      <protection locked="0"/>
    </xf>
    <xf numFmtId="4" fontId="17" fillId="4" borderId="0" xfId="0" applyNumberFormat="1" applyFont="1" applyFill="1" applyAlignment="1" applyProtection="1">
      <protection locked="0"/>
    </xf>
    <xf numFmtId="2" fontId="17" fillId="4" borderId="0" xfId="0" applyNumberFormat="1" applyFont="1" applyFill="1" applyAlignment="1" applyProtection="1">
      <protection locked="0"/>
    </xf>
    <xf numFmtId="166" fontId="17" fillId="4" borderId="0" xfId="0" applyNumberFormat="1" applyFont="1" applyFill="1" applyAlignment="1" applyProtection="1"/>
    <xf numFmtId="2" fontId="17" fillId="4" borderId="0" xfId="0" applyNumberFormat="1" applyFont="1" applyFill="1" applyAlignment="1" applyProtection="1"/>
    <xf numFmtId="2" fontId="3" fillId="4" borderId="37" xfId="0" applyNumberFormat="1" applyFont="1" applyFill="1" applyBorder="1" applyAlignment="1" applyProtection="1"/>
    <xf numFmtId="2" fontId="3" fillId="4" borderId="38" xfId="0" applyNumberFormat="1" applyFont="1" applyFill="1" applyBorder="1" applyAlignment="1" applyProtection="1"/>
    <xf numFmtId="0" fontId="12" fillId="0" borderId="36" xfId="13" applyFont="1" applyFill="1" applyBorder="1" applyProtection="1"/>
    <xf numFmtId="0" fontId="12" fillId="0" borderId="37" xfId="13" applyFont="1" applyFill="1" applyBorder="1" applyProtection="1"/>
    <xf numFmtId="2" fontId="12" fillId="0" borderId="37" xfId="13" applyNumberFormat="1" applyFont="1" applyFill="1" applyBorder="1" applyProtection="1"/>
    <xf numFmtId="0" fontId="17" fillId="12" borderId="0" xfId="13" applyFont="1" applyFill="1" applyProtection="1">
      <protection locked="0"/>
    </xf>
    <xf numFmtId="2" fontId="17" fillId="12" borderId="0" xfId="13" applyNumberFormat="1" applyFont="1" applyFill="1" applyProtection="1">
      <protection locked="0"/>
    </xf>
    <xf numFmtId="2" fontId="17" fillId="0" borderId="0" xfId="13" applyNumberFormat="1" applyFont="1" applyProtection="1"/>
    <xf numFmtId="7" fontId="17" fillId="12" borderId="0" xfId="4" applyFont="1" applyFill="1" applyProtection="1">
      <protection locked="0"/>
    </xf>
    <xf numFmtId="0" fontId="3" fillId="0" borderId="36" xfId="13" applyFont="1" applyFill="1" applyBorder="1" applyProtection="1"/>
    <xf numFmtId="0" fontId="3" fillId="0" borderId="37" xfId="13" applyFont="1" applyFill="1" applyBorder="1" applyProtection="1"/>
    <xf numFmtId="2" fontId="3" fillId="0" borderId="37" xfId="13" applyNumberFormat="1" applyFont="1" applyFill="1" applyBorder="1" applyProtection="1"/>
    <xf numFmtId="39" fontId="3" fillId="0" borderId="37" xfId="4" applyNumberFormat="1" applyFont="1" applyFill="1" applyBorder="1" applyProtection="1"/>
    <xf numFmtId="7" fontId="3" fillId="0" borderId="37" xfId="4" applyFont="1" applyFill="1" applyBorder="1" applyProtection="1"/>
    <xf numFmtId="7" fontId="3" fillId="0" borderId="38" xfId="4" applyFont="1" applyFill="1" applyBorder="1" applyProtection="1"/>
    <xf numFmtId="0" fontId="12" fillId="0" borderId="36" xfId="13" applyFont="1" applyBorder="1" applyProtection="1"/>
    <xf numFmtId="0" fontId="12" fillId="0" borderId="37" xfId="13" applyFont="1" applyBorder="1" applyProtection="1"/>
    <xf numFmtId="0" fontId="12" fillId="0" borderId="37" xfId="13" applyFont="1" applyBorder="1" applyAlignment="1" applyProtection="1">
      <alignment horizontal="center" wrapText="1"/>
    </xf>
    <xf numFmtId="0" fontId="12" fillId="0" borderId="38" xfId="13" applyFont="1" applyBorder="1" applyProtection="1"/>
    <xf numFmtId="0" fontId="12" fillId="0" borderId="37" xfId="13" applyFont="1" applyBorder="1" applyAlignment="1" applyProtection="1">
      <alignment horizontal="center"/>
    </xf>
    <xf numFmtId="0" fontId="19" fillId="0" borderId="0" xfId="13" applyFont="1" applyProtection="1">
      <protection locked="0"/>
    </xf>
    <xf numFmtId="0" fontId="19" fillId="0" borderId="0" xfId="13" applyFont="1" applyProtection="1"/>
    <xf numFmtId="39" fontId="12" fillId="0" borderId="37" xfId="4" applyNumberFormat="1" applyFont="1" applyFill="1" applyBorder="1" applyProtection="1"/>
    <xf numFmtId="7" fontId="12" fillId="0" borderId="37" xfId="4" applyFont="1" applyFill="1" applyBorder="1" applyProtection="1"/>
    <xf numFmtId="7" fontId="12" fillId="0" borderId="38" xfId="4" applyFont="1" applyFill="1" applyBorder="1" applyProtection="1"/>
    <xf numFmtId="0" fontId="19" fillId="12" borderId="0" xfId="13" applyFont="1" applyFill="1" applyProtection="1">
      <protection locked="0"/>
    </xf>
    <xf numFmtId="2" fontId="19" fillId="12" borderId="0" xfId="13" applyNumberFormat="1" applyFont="1" applyFill="1" applyProtection="1">
      <protection locked="0"/>
    </xf>
    <xf numFmtId="7" fontId="19" fillId="12" borderId="0" xfId="4" applyFont="1" applyFill="1" applyProtection="1">
      <protection locked="0"/>
    </xf>
    <xf numFmtId="0" fontId="19" fillId="0" borderId="0" xfId="13" applyFont="1"/>
    <xf numFmtId="2" fontId="12" fillId="4" borderId="36" xfId="14" applyNumberFormat="1" applyFont="1" applyFill="1" applyBorder="1" applyAlignment="1">
      <alignment horizontal="centerContinuous"/>
    </xf>
    <xf numFmtId="2" fontId="12" fillId="4" borderId="37" xfId="14" applyNumberFormat="1" applyFont="1" applyFill="1" applyBorder="1" applyAlignment="1">
      <alignment horizontal="centerContinuous"/>
    </xf>
    <xf numFmtId="2" fontId="12" fillId="4" borderId="37" xfId="10" applyNumberFormat="1" applyFont="1" applyFill="1" applyBorder="1" applyAlignment="1">
      <alignment horizontal="center"/>
    </xf>
    <xf numFmtId="2" fontId="12" fillId="4" borderId="38" xfId="10" applyNumberFormat="1" applyFont="1" applyFill="1" applyBorder="1" applyAlignment="1">
      <alignment horizontal="center"/>
    </xf>
    <xf numFmtId="10" fontId="19" fillId="11" borderId="0" xfId="16" applyFont="1" applyFill="1" applyBorder="1" applyProtection="1">
      <protection locked="0"/>
    </xf>
    <xf numFmtId="2" fontId="19" fillId="11" borderId="0" xfId="14" applyNumberFormat="1" applyFont="1" applyFill="1" applyBorder="1" applyProtection="1">
      <protection locked="0"/>
    </xf>
    <xf numFmtId="2" fontId="12" fillId="4" borderId="37" xfId="14" applyNumberFormat="1" applyFont="1" applyFill="1" applyBorder="1"/>
    <xf numFmtId="7" fontId="12" fillId="4" borderId="38" xfId="5" applyFont="1" applyBorder="1"/>
    <xf numFmtId="0" fontId="19" fillId="0" borderId="0" xfId="0" applyFont="1" applyAlignment="1" applyProtection="1"/>
    <xf numFmtId="167" fontId="19" fillId="0" borderId="0" xfId="0" applyNumberFormat="1" applyFont="1" applyAlignment="1" applyProtection="1">
      <protection locked="0"/>
    </xf>
    <xf numFmtId="167" fontId="19" fillId="0" borderId="0" xfId="0" applyNumberFormat="1" applyFont="1" applyAlignment="1" applyProtection="1"/>
    <xf numFmtId="8" fontId="19" fillId="0" borderId="0" xfId="0" applyNumberFormat="1" applyFont="1" applyAlignment="1" applyProtection="1"/>
    <xf numFmtId="3" fontId="12" fillId="0" borderId="37" xfId="0" applyNumberFormat="1" applyFont="1" applyBorder="1" applyAlignment="1" applyProtection="1">
      <protection locked="0"/>
    </xf>
    <xf numFmtId="167" fontId="12" fillId="0" borderId="37" xfId="0" applyNumberFormat="1" applyFont="1" applyBorder="1" applyAlignment="1" applyProtection="1">
      <protection locked="0"/>
    </xf>
    <xf numFmtId="167" fontId="12" fillId="0" borderId="38" xfId="0" applyNumberFormat="1" applyFont="1" applyBorder="1" applyAlignment="1" applyProtection="1"/>
    <xf numFmtId="0" fontId="19" fillId="0" borderId="37" xfId="0" applyFont="1" applyBorder="1" applyAlignment="1" applyProtection="1">
      <protection locked="0"/>
    </xf>
    <xf numFmtId="7" fontId="19" fillId="0" borderId="37" xfId="0" applyNumberFormat="1" applyFont="1" applyBorder="1" applyAlignment="1" applyProtection="1"/>
    <xf numFmtId="0" fontId="19" fillId="0" borderId="37" xfId="0" applyFont="1" applyBorder="1" applyAlignment="1" applyProtection="1"/>
    <xf numFmtId="0" fontId="19" fillId="0" borderId="0" xfId="0" applyFont="1" applyBorder="1" applyAlignment="1" applyProtection="1">
      <protection locked="0"/>
    </xf>
    <xf numFmtId="3" fontId="19" fillId="0" borderId="0" xfId="0" applyNumberFormat="1" applyFont="1" applyBorder="1" applyAlignment="1" applyProtection="1">
      <protection locked="0"/>
    </xf>
    <xf numFmtId="167" fontId="19" fillId="0" borderId="0" xfId="0" applyNumberFormat="1" applyFont="1" applyBorder="1" applyAlignment="1" applyProtection="1">
      <protection locked="0"/>
    </xf>
    <xf numFmtId="167" fontId="19" fillId="0" borderId="0" xfId="0" applyNumberFormat="1" applyFont="1" applyBorder="1" applyAlignment="1" applyProtection="1"/>
    <xf numFmtId="0" fontId="19" fillId="0" borderId="0" xfId="0" applyFont="1" applyAlignment="1" applyProtection="1">
      <protection locked="0"/>
    </xf>
    <xf numFmtId="3" fontId="12" fillId="0" borderId="37" xfId="0" applyNumberFormat="1" applyFont="1" applyBorder="1" applyAlignment="1" applyProtection="1">
      <alignment horizontal="left"/>
      <protection locked="0"/>
    </xf>
    <xf numFmtId="167" fontId="12" fillId="0" borderId="37" xfId="0" applyNumberFormat="1" applyFont="1" applyBorder="1" applyAlignment="1" applyProtection="1">
      <alignment horizontal="left"/>
      <protection locked="0"/>
    </xf>
    <xf numFmtId="1" fontId="12" fillId="0" borderId="37" xfId="0" applyNumberFormat="1" applyFont="1" applyBorder="1" applyAlignment="1" applyProtection="1"/>
    <xf numFmtId="8" fontId="19" fillId="0" borderId="37" xfId="0" applyNumberFormat="1" applyFont="1" applyBorder="1" applyAlignment="1" applyProtection="1"/>
    <xf numFmtId="1" fontId="19" fillId="0" borderId="0" xfId="0" applyNumberFormat="1" applyFont="1" applyAlignment="1" applyProtection="1"/>
    <xf numFmtId="167" fontId="19" fillId="0" borderId="0" xfId="0" applyNumberFormat="1" applyFont="1" applyFill="1" applyBorder="1" applyAlignment="1" applyProtection="1"/>
    <xf numFmtId="7" fontId="19" fillId="0" borderId="0" xfId="4" applyFont="1" applyFill="1" applyBorder="1" applyProtection="1"/>
    <xf numFmtId="0" fontId="12" fillId="0" borderId="36" xfId="0" applyFont="1" applyBorder="1" applyAlignment="1" applyProtection="1">
      <protection locked="0"/>
    </xf>
    <xf numFmtId="0" fontId="12" fillId="0" borderId="37" xfId="0" applyFont="1" applyBorder="1" applyAlignment="1" applyProtection="1">
      <protection locked="0"/>
    </xf>
    <xf numFmtId="7" fontId="12" fillId="0" borderId="37" xfId="4" applyFont="1" applyBorder="1" applyProtection="1"/>
    <xf numFmtId="10" fontId="19" fillId="0" borderId="37" xfId="15" applyFont="1" applyBorder="1" applyProtection="1">
      <protection locked="0"/>
    </xf>
    <xf numFmtId="7" fontId="19" fillId="0" borderId="37" xfId="4" applyFont="1" applyBorder="1" applyProtection="1"/>
    <xf numFmtId="10" fontId="19" fillId="0" borderId="37" xfId="15" applyFont="1" applyBorder="1" applyProtection="1"/>
    <xf numFmtId="167" fontId="19" fillId="0" borderId="38" xfId="0" applyNumberFormat="1" applyFont="1" applyBorder="1" applyAlignment="1" applyProtection="1"/>
    <xf numFmtId="3" fontId="19" fillId="11" borderId="0" xfId="0" applyNumberFormat="1" applyFont="1" applyFill="1" applyAlignment="1" applyProtection="1">
      <protection locked="0"/>
    </xf>
    <xf numFmtId="2" fontId="19" fillId="11" borderId="0" xfId="0" applyNumberFormat="1" applyFont="1" applyFill="1" applyAlignment="1" applyProtection="1">
      <protection locked="0"/>
    </xf>
    <xf numFmtId="0" fontId="19" fillId="11" borderId="0" xfId="0" applyFont="1" applyFill="1" applyAlignment="1" applyProtection="1">
      <protection locked="0"/>
    </xf>
    <xf numFmtId="167" fontId="19" fillId="11" borderId="0" xfId="0" applyNumberFormat="1" applyFont="1" applyFill="1" applyAlignment="1" applyProtection="1">
      <protection locked="0"/>
    </xf>
    <xf numFmtId="7" fontId="19" fillId="11" borderId="0" xfId="4" applyFont="1" applyFill="1" applyProtection="1"/>
    <xf numFmtId="1" fontId="19" fillId="11" borderId="0" xfId="0" applyNumberFormat="1" applyFont="1" applyFill="1" applyAlignment="1" applyProtection="1">
      <protection locked="0"/>
    </xf>
    <xf numFmtId="10" fontId="19" fillId="11" borderId="0" xfId="15" applyFont="1" applyFill="1" applyProtection="1">
      <protection locked="0"/>
    </xf>
    <xf numFmtId="10" fontId="19" fillId="11" borderId="0" xfId="15" applyFont="1" applyFill="1" applyProtection="1"/>
    <xf numFmtId="0" fontId="19" fillId="11" borderId="0" xfId="0" applyFont="1" applyFill="1" applyAlignment="1" applyProtection="1"/>
    <xf numFmtId="167" fontId="19" fillId="0" borderId="0" xfId="0" applyNumberFormat="1" applyFont="1" applyFill="1" applyAlignment="1" applyProtection="1"/>
    <xf numFmtId="4" fontId="19" fillId="0" borderId="0" xfId="0" applyNumberFormat="1" applyFont="1" applyFill="1" applyAlignment="1" applyProtection="1"/>
    <xf numFmtId="7" fontId="19" fillId="0" borderId="0" xfId="0" applyNumberFormat="1" applyFont="1" applyAlignment="1" applyProtection="1"/>
    <xf numFmtId="1" fontId="12" fillId="0" borderId="0" xfId="0" applyNumberFormat="1" applyFont="1" applyBorder="1" applyAlignment="1" applyProtection="1"/>
    <xf numFmtId="0" fontId="12" fillId="0" borderId="0" xfId="0" applyFont="1" applyBorder="1" applyAlignment="1" applyProtection="1"/>
    <xf numFmtId="7" fontId="19" fillId="11" borderId="0" xfId="4" applyFont="1" applyFill="1" applyProtection="1">
      <protection locked="0"/>
    </xf>
    <xf numFmtId="1" fontId="19" fillId="11" borderId="0" xfId="15" applyNumberFormat="1" applyFont="1" applyFill="1" applyProtection="1">
      <protection locked="0"/>
    </xf>
    <xf numFmtId="2" fontId="19" fillId="11" borderId="0" xfId="0" applyNumberFormat="1" applyFont="1" applyFill="1" applyBorder="1" applyAlignment="1" applyProtection="1">
      <protection locked="0"/>
    </xf>
    <xf numFmtId="7" fontId="19" fillId="0" borderId="0" xfId="4" applyFont="1" applyBorder="1" applyProtection="1"/>
    <xf numFmtId="2" fontId="12" fillId="0" borderId="36" xfId="0" applyNumberFormat="1" applyFont="1" applyBorder="1" applyAlignment="1" applyProtection="1"/>
    <xf numFmtId="2" fontId="12" fillId="0" borderId="37" xfId="0" applyNumberFormat="1" applyFont="1" applyBorder="1" applyAlignment="1" applyProtection="1"/>
    <xf numFmtId="10" fontId="12" fillId="0" borderId="37" xfId="15" applyFont="1" applyBorder="1" applyProtection="1"/>
    <xf numFmtId="2" fontId="0" fillId="0" borderId="0" xfId="0" applyNumberFormat="1" applyBorder="1" applyAlignment="1" applyProtection="1"/>
    <xf numFmtId="166" fontId="0" fillId="0" borderId="0" xfId="0" applyNumberFormat="1" applyAlignment="1" applyProtection="1"/>
    <xf numFmtId="167" fontId="19" fillId="17" borderId="0" xfId="0" applyNumberFormat="1" applyFont="1" applyFill="1" applyAlignment="1" applyProtection="1"/>
    <xf numFmtId="9" fontId="19" fillId="17" borderId="0" xfId="0" applyNumberFormat="1" applyFont="1" applyFill="1" applyAlignment="1" applyProtection="1"/>
    <xf numFmtId="9" fontId="12" fillId="17" borderId="7" xfId="0" applyNumberFormat="1" applyFont="1" applyFill="1" applyBorder="1" applyAlignment="1" applyProtection="1">
      <alignment horizontal="centerContinuous"/>
    </xf>
    <xf numFmtId="7" fontId="12" fillId="17" borderId="0" xfId="4" applyFont="1" applyFill="1" applyAlignment="1" applyProtection="1"/>
    <xf numFmtId="2" fontId="12" fillId="17" borderId="0" xfId="0" applyNumberFormat="1" applyFont="1" applyFill="1" applyAlignment="1" applyProtection="1"/>
    <xf numFmtId="2" fontId="36" fillId="17" borderId="0" xfId="0" applyNumberFormat="1" applyFont="1" applyFill="1" applyAlignment="1" applyProtection="1">
      <protection locked="0"/>
    </xf>
    <xf numFmtId="2" fontId="35" fillId="17" borderId="0" xfId="0" applyNumberFormat="1" applyFont="1" applyFill="1" applyBorder="1" applyAlignment="1" applyProtection="1">
      <alignment horizontal="centerContinuous"/>
      <protection locked="0"/>
    </xf>
    <xf numFmtId="2" fontId="35" fillId="17" borderId="0" xfId="0" applyNumberFormat="1" applyFont="1" applyFill="1" applyAlignment="1" applyProtection="1">
      <protection locked="0"/>
    </xf>
    <xf numFmtId="1" fontId="36" fillId="18" borderId="0" xfId="0" applyNumberFormat="1" applyFont="1" applyFill="1" applyAlignment="1" applyProtection="1">
      <protection locked="0"/>
    </xf>
    <xf numFmtId="10" fontId="36" fillId="18" borderId="0" xfId="15" applyFont="1" applyFill="1" applyAlignment="1" applyProtection="1">
      <protection locked="0"/>
    </xf>
    <xf numFmtId="2" fontId="36" fillId="18" borderId="0" xfId="0" applyNumberFormat="1" applyFont="1" applyFill="1" applyAlignment="1" applyProtection="1">
      <protection locked="0"/>
    </xf>
    <xf numFmtId="7" fontId="36" fillId="18" borderId="0" xfId="4" applyFont="1" applyFill="1" applyAlignment="1" applyProtection="1">
      <protection locked="0"/>
    </xf>
    <xf numFmtId="1" fontId="36" fillId="17" borderId="0" xfId="0" applyNumberFormat="1" applyFont="1" applyFill="1" applyAlignment="1" applyProtection="1"/>
    <xf numFmtId="2" fontId="36" fillId="17" borderId="0" xfId="0" applyNumberFormat="1" applyFont="1" applyFill="1" applyBorder="1" applyAlignment="1" applyProtection="1">
      <protection locked="0"/>
    </xf>
    <xf numFmtId="2" fontId="36" fillId="18" borderId="0" xfId="0" applyNumberFormat="1" applyFont="1" applyFill="1" applyBorder="1" applyAlignment="1" applyProtection="1">
      <protection locked="0"/>
    </xf>
    <xf numFmtId="10" fontId="36" fillId="18" borderId="0" xfId="15" applyFont="1" applyFill="1" applyBorder="1" applyAlignment="1" applyProtection="1">
      <protection locked="0"/>
    </xf>
    <xf numFmtId="2" fontId="36" fillId="17" borderId="41" xfId="0" applyNumberFormat="1" applyFont="1" applyFill="1" applyBorder="1" applyAlignment="1" applyProtection="1">
      <protection locked="0"/>
    </xf>
    <xf numFmtId="2" fontId="36" fillId="18" borderId="41" xfId="0" applyNumberFormat="1" applyFont="1" applyFill="1" applyBorder="1" applyAlignment="1" applyProtection="1">
      <protection locked="0"/>
    </xf>
    <xf numFmtId="2" fontId="35" fillId="17" borderId="7" xfId="0" applyNumberFormat="1" applyFont="1" applyFill="1" applyBorder="1" applyAlignment="1" applyProtection="1">
      <alignment horizontal="centerContinuous"/>
      <protection locked="0"/>
    </xf>
    <xf numFmtId="2" fontId="36" fillId="17" borderId="0" xfId="0" applyNumberFormat="1" applyFont="1" applyFill="1" applyAlignment="1" applyProtection="1"/>
    <xf numFmtId="166" fontId="36" fillId="18" borderId="0" xfId="0" applyNumberFormat="1" applyFont="1" applyFill="1" applyAlignment="1" applyProtection="1">
      <protection locked="0"/>
    </xf>
    <xf numFmtId="166" fontId="36" fillId="17" borderId="0" xfId="0" applyNumberFormat="1" applyFont="1" applyFill="1" applyAlignment="1" applyProtection="1"/>
    <xf numFmtId="2" fontId="36" fillId="17" borderId="3" xfId="0" applyNumberFormat="1" applyFont="1" applyFill="1" applyBorder="1" applyAlignment="1" applyProtection="1">
      <protection locked="0"/>
    </xf>
    <xf numFmtId="2" fontId="35" fillId="17" borderId="17" xfId="0" applyNumberFormat="1" applyFont="1" applyFill="1" applyBorder="1" applyAlignment="1" applyProtection="1">
      <alignment horizontal="center"/>
      <protection locked="0"/>
    </xf>
    <xf numFmtId="2" fontId="35" fillId="17" borderId="18" xfId="0" applyNumberFormat="1" applyFont="1" applyFill="1" applyBorder="1" applyAlignment="1" applyProtection="1">
      <alignment horizontal="center"/>
      <protection locked="0"/>
    </xf>
    <xf numFmtId="2" fontId="35" fillId="17" borderId="42" xfId="0" applyNumberFormat="1" applyFont="1" applyFill="1" applyBorder="1" applyAlignment="1" applyProtection="1">
      <alignment horizontal="center"/>
      <protection locked="0"/>
    </xf>
    <xf numFmtId="2" fontId="35" fillId="17" borderId="42" xfId="0" applyNumberFormat="1" applyFont="1" applyFill="1" applyBorder="1" applyAlignment="1" applyProtection="1">
      <alignment horizontal="center" wrapText="1"/>
      <protection locked="0"/>
    </xf>
    <xf numFmtId="2" fontId="35" fillId="17" borderId="22" xfId="0" applyNumberFormat="1" applyFont="1" applyFill="1" applyBorder="1" applyAlignment="1" applyProtection="1">
      <alignment horizontal="center"/>
      <protection locked="0"/>
    </xf>
    <xf numFmtId="2" fontId="35" fillId="17" borderId="23" xfId="0" applyNumberFormat="1" applyFont="1" applyFill="1" applyBorder="1" applyAlignment="1" applyProtection="1">
      <alignment horizontal="center"/>
      <protection locked="0"/>
    </xf>
    <xf numFmtId="2" fontId="35" fillId="17" borderId="43" xfId="0" applyNumberFormat="1" applyFont="1" applyFill="1" applyBorder="1" applyAlignment="1" applyProtection="1">
      <alignment horizontal="center"/>
      <protection locked="0"/>
    </xf>
    <xf numFmtId="2" fontId="35" fillId="17" borderId="43" xfId="0" applyNumberFormat="1" applyFont="1" applyFill="1" applyBorder="1" applyAlignment="1" applyProtection="1">
      <alignment horizontal="center" wrapText="1"/>
      <protection locked="0"/>
    </xf>
    <xf numFmtId="1" fontId="36" fillId="17" borderId="0" xfId="0" applyNumberFormat="1" applyFont="1" applyFill="1" applyAlignment="1" applyProtection="1">
      <alignment horizontal="center"/>
      <protection locked="0"/>
    </xf>
    <xf numFmtId="2" fontId="36" fillId="17" borderId="0" xfId="0" applyNumberFormat="1" applyFont="1" applyFill="1" applyAlignment="1" applyProtection="1">
      <alignment horizontal="center"/>
      <protection locked="0"/>
    </xf>
    <xf numFmtId="7" fontId="36" fillId="17" borderId="0" xfId="4" applyFont="1" applyFill="1" applyAlignment="1" applyProtection="1"/>
    <xf numFmtId="166" fontId="36" fillId="17" borderId="0" xfId="0" applyNumberFormat="1" applyFont="1" applyFill="1" applyAlignment="1" applyProtection="1">
      <protection locked="0"/>
    </xf>
    <xf numFmtId="7" fontId="37" fillId="17" borderId="0" xfId="4" applyFont="1" applyFill="1" applyAlignment="1" applyProtection="1"/>
    <xf numFmtId="4" fontId="36" fillId="17" borderId="0" xfId="2" applyFont="1" applyFill="1" applyAlignment="1" applyProtection="1"/>
    <xf numFmtId="2" fontId="36" fillId="17" borderId="0" xfId="15" applyNumberFormat="1" applyFont="1" applyFill="1" applyAlignment="1" applyProtection="1">
      <protection locked="0"/>
    </xf>
    <xf numFmtId="2" fontId="36" fillId="17" borderId="41" xfId="0" applyNumberFormat="1" applyFont="1" applyFill="1" applyBorder="1" applyAlignment="1" applyProtection="1">
      <alignment horizontal="left"/>
      <protection locked="0"/>
    </xf>
    <xf numFmtId="2" fontId="36" fillId="17" borderId="41" xfId="0" applyNumberFormat="1" applyFont="1" applyFill="1" applyBorder="1" applyAlignment="1" applyProtection="1"/>
    <xf numFmtId="166" fontId="36" fillId="17" borderId="41" xfId="0" applyNumberFormat="1" applyFont="1" applyFill="1" applyBorder="1" applyAlignment="1" applyProtection="1"/>
    <xf numFmtId="7" fontId="36" fillId="17" borderId="41" xfId="4" applyFont="1" applyFill="1" applyBorder="1" applyAlignment="1" applyProtection="1"/>
    <xf numFmtId="2" fontId="35" fillId="17" borderId="0" xfId="0" applyNumberFormat="1" applyFont="1" applyFill="1" applyBorder="1" applyAlignment="1" applyProtection="1">
      <protection locked="0"/>
    </xf>
    <xf numFmtId="166" fontId="35" fillId="17" borderId="0" xfId="0" applyNumberFormat="1" applyFont="1" applyFill="1" applyBorder="1" applyAlignment="1" applyProtection="1"/>
    <xf numFmtId="7" fontId="36" fillId="17" borderId="0" xfId="4" applyFont="1" applyFill="1" applyBorder="1" applyAlignment="1" applyProtection="1"/>
    <xf numFmtId="7" fontId="36" fillId="17" borderId="0" xfId="4" applyFont="1" applyFill="1" applyAlignment="1" applyProtection="1">
      <protection locked="0"/>
    </xf>
    <xf numFmtId="1" fontId="36" fillId="17" borderId="0" xfId="0" applyNumberFormat="1" applyFont="1" applyFill="1" applyAlignment="1" applyProtection="1">
      <protection locked="0"/>
    </xf>
    <xf numFmtId="10" fontId="36" fillId="17" borderId="0" xfId="15" applyNumberFormat="1" applyFont="1" applyFill="1" applyProtection="1">
      <protection locked="0"/>
    </xf>
    <xf numFmtId="2" fontId="35" fillId="17" borderId="44" xfId="0" applyNumberFormat="1" applyFont="1" applyFill="1" applyBorder="1" applyAlignment="1" applyProtection="1">
      <protection locked="0"/>
    </xf>
    <xf numFmtId="166" fontId="35" fillId="17" borderId="44" xfId="0" applyNumberFormat="1" applyFont="1" applyFill="1" applyBorder="1" applyAlignment="1" applyProtection="1"/>
    <xf numFmtId="7" fontId="35" fillId="17" borderId="44" xfId="4" applyFont="1" applyFill="1" applyBorder="1" applyAlignment="1" applyProtection="1"/>
    <xf numFmtId="2" fontId="35" fillId="17" borderId="0" xfId="9" applyNumberFormat="1" applyFont="1" applyFill="1" applyAlignment="1" applyProtection="1">
      <alignment horizontal="centerContinuous"/>
    </xf>
    <xf numFmtId="2" fontId="36" fillId="17" borderId="0" xfId="0" applyNumberFormat="1" applyFont="1" applyFill="1" applyAlignment="1" applyProtection="1">
      <alignment horizontal="centerContinuous"/>
    </xf>
    <xf numFmtId="2" fontId="35" fillId="17" borderId="0" xfId="0" applyNumberFormat="1" applyFont="1" applyFill="1" applyBorder="1" applyAlignment="1" applyProtection="1"/>
    <xf numFmtId="2" fontId="35" fillId="17" borderId="45" xfId="0" applyNumberFormat="1" applyFont="1" applyFill="1" applyBorder="1" applyAlignment="1" applyProtection="1">
      <alignment horizontal="center"/>
    </xf>
    <xf numFmtId="2" fontId="35" fillId="17" borderId="45" xfId="0" applyNumberFormat="1" applyFont="1" applyFill="1" applyBorder="1" applyAlignment="1" applyProtection="1"/>
    <xf numFmtId="2" fontId="35" fillId="17" borderId="46" xfId="0" applyNumberFormat="1" applyFont="1" applyFill="1" applyBorder="1" applyAlignment="1" applyProtection="1">
      <alignment horizontal="center"/>
    </xf>
    <xf numFmtId="7" fontId="35" fillId="17" borderId="0" xfId="4" applyFont="1" applyFill="1" applyAlignment="1" applyProtection="1"/>
    <xf numFmtId="7" fontId="35" fillId="17" borderId="37" xfId="4" applyFont="1" applyFill="1" applyBorder="1" applyAlignment="1" applyProtection="1"/>
    <xf numFmtId="7" fontId="35" fillId="17" borderId="38" xfId="4" applyFont="1" applyFill="1" applyBorder="1" applyAlignment="1" applyProtection="1"/>
    <xf numFmtId="2" fontId="36" fillId="17" borderId="0" xfId="0" applyNumberFormat="1" applyFont="1" applyFill="1" applyBorder="1" applyAlignment="1" applyProtection="1"/>
    <xf numFmtId="2" fontId="35" fillId="17" borderId="0" xfId="0" applyNumberFormat="1" applyFont="1" applyFill="1" applyAlignment="1" applyProtection="1"/>
    <xf numFmtId="2" fontId="36" fillId="17" borderId="47" xfId="0" applyNumberFormat="1" applyFont="1" applyFill="1" applyBorder="1" applyAlignment="1" applyProtection="1"/>
    <xf numFmtId="2" fontId="35" fillId="17" borderId="4" xfId="0" applyNumberFormat="1" applyFont="1" applyFill="1" applyBorder="1" applyAlignment="1" applyProtection="1">
      <alignment horizontal="center"/>
    </xf>
    <xf numFmtId="2" fontId="35" fillId="17" borderId="6" xfId="0" applyNumberFormat="1" applyFont="1" applyFill="1" applyBorder="1" applyAlignment="1" applyProtection="1">
      <alignment horizontal="center"/>
    </xf>
    <xf numFmtId="3" fontId="35" fillId="17" borderId="4" xfId="0" applyNumberFormat="1" applyFont="1" applyFill="1" applyBorder="1" applyAlignment="1" applyProtection="1">
      <alignment horizontal="center"/>
    </xf>
    <xf numFmtId="1" fontId="35" fillId="17" borderId="4" xfId="0" applyNumberFormat="1" applyFont="1" applyFill="1" applyBorder="1" applyAlignment="1" applyProtection="1">
      <alignment horizontal="center"/>
    </xf>
    <xf numFmtId="2" fontId="35" fillId="17" borderId="6" xfId="0" applyNumberFormat="1" applyFont="1" applyFill="1" applyBorder="1" applyAlignment="1" applyProtection="1"/>
    <xf numFmtId="2" fontId="36" fillId="17" borderId="0" xfId="0" applyNumberFormat="1" applyFont="1" applyFill="1" applyAlignment="1" applyProtection="1">
      <alignment horizontal="center"/>
    </xf>
    <xf numFmtId="3" fontId="36" fillId="17" borderId="0" xfId="0" applyNumberFormat="1" applyFont="1" applyFill="1" applyAlignment="1" applyProtection="1">
      <alignment horizontal="center"/>
    </xf>
    <xf numFmtId="166" fontId="36" fillId="17" borderId="0" xfId="0" applyNumberFormat="1" applyFont="1" applyFill="1" applyAlignment="1" applyProtection="1">
      <alignment horizontal="center"/>
    </xf>
    <xf numFmtId="167" fontId="36" fillId="17" borderId="0" xfId="0" applyNumberFormat="1" applyFont="1" applyFill="1" applyAlignment="1" applyProtection="1">
      <alignment horizontal="center"/>
    </xf>
    <xf numFmtId="2" fontId="19" fillId="17" borderId="0" xfId="0" applyNumberFormat="1" applyFont="1" applyFill="1" applyAlignment="1" applyProtection="1"/>
    <xf numFmtId="2" fontId="19" fillId="17" borderId="0" xfId="0" applyNumberFormat="1" applyFont="1" applyFill="1" applyBorder="1" applyAlignment="1" applyProtection="1"/>
    <xf numFmtId="1" fontId="19" fillId="17" borderId="0" xfId="0" applyNumberFormat="1" applyFont="1" applyFill="1" applyAlignment="1" applyProtection="1"/>
    <xf numFmtId="2" fontId="19" fillId="17" borderId="0" xfId="0" applyNumberFormat="1" applyFont="1" applyFill="1" applyAlignment="1" applyProtection="1">
      <alignment horizontal="center"/>
    </xf>
    <xf numFmtId="2" fontId="12" fillId="17" borderId="0" xfId="0" applyNumberFormat="1" applyFont="1" applyFill="1" applyBorder="1" applyAlignment="1" applyProtection="1">
      <alignment horizontal="centerContinuous"/>
    </xf>
    <xf numFmtId="2" fontId="38" fillId="17" borderId="0" xfId="0" applyNumberFormat="1" applyFont="1" applyFill="1" applyBorder="1" applyAlignment="1" applyProtection="1"/>
    <xf numFmtId="2" fontId="12" fillId="17" borderId="0" xfId="0" applyNumberFormat="1" applyFont="1" applyFill="1" applyBorder="1" applyAlignment="1" applyProtection="1"/>
    <xf numFmtId="2" fontId="39" fillId="17" borderId="0" xfId="0" applyNumberFormat="1" applyFont="1" applyFill="1" applyBorder="1" applyAlignment="1" applyProtection="1"/>
    <xf numFmtId="7" fontId="19" fillId="17" borderId="0" xfId="4" applyFont="1" applyFill="1" applyProtection="1"/>
    <xf numFmtId="2" fontId="19" fillId="17" borderId="0" xfId="0" applyNumberFormat="1" applyFont="1" applyFill="1" applyAlignment="1" applyProtection="1">
      <protection locked="0"/>
    </xf>
    <xf numFmtId="7" fontId="18" fillId="0" borderId="0" xfId="4" applyFont="1" applyAlignment="1" applyProtection="1">
      <alignment wrapText="1"/>
      <protection locked="0"/>
    </xf>
    <xf numFmtId="7" fontId="12" fillId="17" borderId="35" xfId="4" applyFont="1" applyFill="1" applyBorder="1" applyAlignment="1" applyProtection="1"/>
    <xf numFmtId="2" fontId="19" fillId="17" borderId="0" xfId="0" applyNumberFormat="1" applyFont="1" applyFill="1" applyAlignment="1" applyProtection="1">
      <alignment horizontal="left"/>
    </xf>
    <xf numFmtId="2" fontId="12" fillId="17" borderId="14" xfId="0" applyNumberFormat="1" applyFont="1" applyFill="1" applyBorder="1" applyAlignment="1" applyProtection="1">
      <alignment horizontal="left"/>
    </xf>
    <xf numFmtId="2" fontId="12" fillId="17" borderId="0" xfId="0" applyNumberFormat="1" applyFont="1" applyFill="1" applyBorder="1" applyAlignment="1" applyProtection="1">
      <alignment horizontal="left"/>
    </xf>
    <xf numFmtId="2" fontId="12" fillId="17" borderId="56" xfId="0" applyNumberFormat="1" applyFont="1" applyFill="1" applyBorder="1" applyAlignment="1" applyProtection="1">
      <alignment horizontal="left"/>
    </xf>
    <xf numFmtId="2" fontId="19" fillId="17" borderId="0" xfId="0" applyNumberFormat="1" applyFont="1" applyFill="1" applyAlignment="1" applyProtection="1">
      <alignment horizontal="center"/>
    </xf>
    <xf numFmtId="2" fontId="36" fillId="17" borderId="0" xfId="0" applyNumberFormat="1" applyFont="1" applyFill="1" applyAlignment="1" applyProtection="1">
      <alignment horizontal="left"/>
    </xf>
    <xf numFmtId="2" fontId="36" fillId="17" borderId="41" xfId="0" applyNumberFormat="1" applyFont="1" applyFill="1" applyBorder="1" applyAlignment="1" applyProtection="1">
      <alignment horizontal="left"/>
    </xf>
    <xf numFmtId="2" fontId="36" fillId="17" borderId="55" xfId="0" applyNumberFormat="1" applyFont="1" applyFill="1" applyBorder="1" applyAlignment="1" applyProtection="1">
      <alignment horizontal="left"/>
    </xf>
    <xf numFmtId="2" fontId="35" fillId="17" borderId="0" xfId="0" applyNumberFormat="1" applyFont="1" applyFill="1" applyAlignment="1" applyProtection="1">
      <alignment horizontal="left"/>
    </xf>
    <xf numFmtId="2" fontId="36" fillId="17" borderId="0" xfId="0" applyNumberFormat="1" applyFont="1" applyFill="1" applyAlignment="1" applyProtection="1">
      <alignment horizontal="left"/>
      <protection locked="0"/>
    </xf>
    <xf numFmtId="2" fontId="35" fillId="17" borderId="36" xfId="0" applyNumberFormat="1" applyFont="1" applyFill="1" applyBorder="1" applyAlignment="1" applyProtection="1">
      <alignment horizontal="left"/>
    </xf>
    <xf numFmtId="2" fontId="35" fillId="17" borderId="37" xfId="0" applyNumberFormat="1" applyFont="1" applyFill="1" applyBorder="1" applyAlignment="1" applyProtection="1">
      <alignment horizontal="left"/>
    </xf>
    <xf numFmtId="2" fontId="35" fillId="17" borderId="0" xfId="0" applyNumberFormat="1" applyFont="1" applyFill="1" applyAlignment="1" applyProtection="1">
      <alignment horizontal="left"/>
      <protection locked="0"/>
    </xf>
    <xf numFmtId="2" fontId="35" fillId="17" borderId="47" xfId="0" applyNumberFormat="1" applyFont="1" applyFill="1" applyBorder="1" applyAlignment="1" applyProtection="1">
      <alignment horizontal="center"/>
    </xf>
    <xf numFmtId="2" fontId="35" fillId="17" borderId="45" xfId="0" applyNumberFormat="1" applyFont="1" applyFill="1" applyBorder="1" applyAlignment="1" applyProtection="1">
      <alignment horizontal="center"/>
    </xf>
    <xf numFmtId="2" fontId="36" fillId="17" borderId="41" xfId="0" applyNumberFormat="1" applyFont="1" applyFill="1" applyBorder="1" applyAlignment="1" applyProtection="1">
      <alignment horizontal="left"/>
      <protection locked="0"/>
    </xf>
    <xf numFmtId="2" fontId="35" fillId="17" borderId="44" xfId="0" applyNumberFormat="1" applyFont="1" applyFill="1" applyBorder="1" applyAlignment="1" applyProtection="1">
      <alignment horizontal="left"/>
      <protection locked="0"/>
    </xf>
    <xf numFmtId="2" fontId="6" fillId="0" borderId="0" xfId="0" applyNumberFormat="1" applyFont="1" applyBorder="1" applyAlignment="1" applyProtection="1">
      <alignment horizontal="center"/>
      <protection locked="0"/>
    </xf>
    <xf numFmtId="2" fontId="35" fillId="17" borderId="42" xfId="0" applyNumberFormat="1" applyFont="1" applyFill="1" applyBorder="1" applyAlignment="1" applyProtection="1">
      <alignment horizontal="center"/>
      <protection locked="0"/>
    </xf>
    <xf numFmtId="2" fontId="35" fillId="17" borderId="43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35" fillId="17" borderId="0" xfId="0" applyNumberFormat="1" applyFont="1" applyFill="1" applyBorder="1" applyAlignment="1" applyProtection="1">
      <alignment horizontal="center"/>
      <protection locked="0"/>
    </xf>
    <xf numFmtId="2" fontId="31" fillId="17" borderId="0" xfId="0" applyNumberFormat="1" applyFont="1" applyFill="1" applyBorder="1" applyAlignment="1" applyProtection="1">
      <alignment horizontal="center"/>
      <protection locked="0"/>
    </xf>
    <xf numFmtId="2" fontId="36" fillId="17" borderId="0" xfId="0" applyNumberFormat="1" applyFont="1" applyFill="1" applyAlignment="1" applyProtection="1">
      <protection locked="0"/>
    </xf>
    <xf numFmtId="2" fontId="18" fillId="13" borderId="13" xfId="12" applyNumberFormat="1" applyFill="1" applyBorder="1" applyAlignment="1" applyProtection="1">
      <alignment horizontal="center"/>
      <protection locked="0"/>
    </xf>
    <xf numFmtId="2" fontId="18" fillId="13" borderId="0" xfId="12" applyNumberFormat="1" applyFill="1" applyBorder="1" applyAlignment="1" applyProtection="1">
      <alignment horizontal="center"/>
      <protection locked="0"/>
    </xf>
    <xf numFmtId="0" fontId="19" fillId="17" borderId="48" xfId="0" applyFont="1" applyFill="1" applyBorder="1" applyAlignment="1" applyProtection="1">
      <alignment horizontal="center"/>
    </xf>
    <xf numFmtId="0" fontId="19" fillId="17" borderId="49" xfId="0" applyFont="1" applyFill="1" applyBorder="1" applyAlignment="1" applyProtection="1">
      <alignment horizontal="center"/>
    </xf>
    <xf numFmtId="0" fontId="19" fillId="17" borderId="50" xfId="0" applyFont="1" applyFill="1" applyBorder="1" applyAlignment="1" applyProtection="1">
      <alignment horizontal="center"/>
    </xf>
    <xf numFmtId="0" fontId="19" fillId="17" borderId="51" xfId="0" applyFont="1" applyFill="1" applyBorder="1" applyAlignment="1" applyProtection="1">
      <alignment horizontal="center"/>
    </xf>
    <xf numFmtId="0" fontId="19" fillId="17" borderId="1" xfId="0" applyFont="1" applyFill="1" applyBorder="1" applyAlignment="1" applyProtection="1">
      <alignment horizontal="center"/>
    </xf>
    <xf numFmtId="0" fontId="19" fillId="17" borderId="52" xfId="0" applyFont="1" applyFill="1" applyBorder="1" applyAlignment="1" applyProtection="1">
      <alignment horizontal="center"/>
    </xf>
    <xf numFmtId="0" fontId="19" fillId="17" borderId="53" xfId="0" applyFont="1" applyFill="1" applyBorder="1" applyAlignment="1" applyProtection="1">
      <alignment horizontal="center"/>
    </xf>
    <xf numFmtId="0" fontId="19" fillId="17" borderId="0" xfId="0" applyFont="1" applyFill="1" applyBorder="1" applyAlignment="1" applyProtection="1">
      <alignment horizontal="center"/>
    </xf>
    <xf numFmtId="0" fontId="19" fillId="17" borderId="54" xfId="0" applyFont="1" applyFill="1" applyBorder="1" applyAlignment="1" applyProtection="1">
      <alignment horizontal="center"/>
    </xf>
    <xf numFmtId="2" fontId="12" fillId="17" borderId="49" xfId="0" applyNumberFormat="1" applyFont="1" applyFill="1" applyBorder="1" applyAlignment="1" applyProtection="1">
      <alignment horizontal="center"/>
    </xf>
    <xf numFmtId="2" fontId="35" fillId="17" borderId="0" xfId="9" applyNumberFormat="1" applyFont="1" applyFill="1" applyAlignment="1" applyProtection="1">
      <alignment horizontal="center"/>
    </xf>
    <xf numFmtId="2" fontId="36" fillId="17" borderId="0" xfId="0" applyNumberFormat="1" applyFont="1" applyFill="1" applyBorder="1" applyAlignment="1" applyProtection="1">
      <protection locked="0"/>
    </xf>
    <xf numFmtId="2" fontId="0" fillId="4" borderId="0" xfId="0" applyNumberFormat="1" applyFill="1" applyAlignment="1" applyProtection="1">
      <alignment horizontal="left"/>
    </xf>
    <xf numFmtId="2" fontId="18" fillId="4" borderId="0" xfId="12" applyNumberFormat="1" applyFill="1" applyAlignment="1" applyProtection="1">
      <alignment horizontal="center"/>
      <protection locked="0"/>
    </xf>
    <xf numFmtId="2" fontId="9" fillId="4" borderId="0" xfId="9" applyNumberFormat="1" applyFont="1" applyFill="1" applyAlignment="1" applyProtection="1">
      <alignment horizontal="center"/>
    </xf>
    <xf numFmtId="2" fontId="0" fillId="4" borderId="0" xfId="0" applyNumberFormat="1" applyFill="1" applyBorder="1" applyAlignment="1" applyProtection="1">
      <alignment horizontal="left"/>
    </xf>
    <xf numFmtId="2" fontId="12" fillId="4" borderId="35" xfId="0" applyNumberFormat="1" applyFont="1" applyFill="1" applyBorder="1" applyAlignment="1" applyProtection="1">
      <alignment horizontal="center"/>
    </xf>
    <xf numFmtId="2" fontId="0" fillId="4" borderId="0" xfId="0" applyNumberFormat="1" applyFill="1" applyAlignment="1" applyProtection="1">
      <alignment horizontal="left"/>
      <protection locked="0"/>
    </xf>
    <xf numFmtId="165" fontId="12" fillId="4" borderId="36" xfId="0" applyNumberFormat="1" applyFont="1" applyFill="1" applyBorder="1" applyAlignment="1" applyProtection="1">
      <alignment horizontal="left"/>
    </xf>
    <xf numFmtId="165" fontId="12" fillId="4" borderId="37" xfId="0" applyNumberFormat="1" applyFont="1" applyFill="1" applyBorder="1" applyAlignment="1" applyProtection="1">
      <alignment horizontal="left"/>
    </xf>
    <xf numFmtId="2" fontId="12" fillId="4" borderId="36" xfId="0" applyNumberFormat="1" applyFont="1" applyFill="1" applyBorder="1" applyAlignment="1" applyProtection="1">
      <alignment horizontal="left"/>
    </xf>
    <xf numFmtId="2" fontId="12" fillId="4" borderId="37" xfId="0" applyNumberFormat="1" applyFont="1" applyFill="1" applyBorder="1" applyAlignment="1" applyProtection="1">
      <alignment horizontal="left"/>
    </xf>
    <xf numFmtId="0" fontId="12" fillId="0" borderId="0" xfId="13" applyFont="1" applyAlignment="1" applyProtection="1">
      <alignment horizontal="center"/>
    </xf>
    <xf numFmtId="0" fontId="12" fillId="0" borderId="0" xfId="13" applyFont="1" applyAlignment="1" applyProtection="1">
      <alignment horizontal="center"/>
      <protection locked="0"/>
    </xf>
    <xf numFmtId="0" fontId="18" fillId="0" borderId="0" xfId="12" applyAlignment="1" applyProtection="1">
      <alignment horizontal="center"/>
    </xf>
    <xf numFmtId="2" fontId="12" fillId="4" borderId="36" xfId="14" applyNumberFormat="1" applyFont="1" applyFill="1" applyBorder="1" applyAlignment="1"/>
    <xf numFmtId="2" fontId="12" fillId="4" borderId="37" xfId="14" applyNumberFormat="1" applyFont="1" applyFill="1" applyBorder="1" applyAlignment="1"/>
    <xf numFmtId="2" fontId="19" fillId="4" borderId="0" xfId="14" applyNumberFormat="1" applyFont="1" applyFill="1" applyBorder="1" applyAlignment="1"/>
    <xf numFmtId="2" fontId="12" fillId="4" borderId="0" xfId="14" applyNumberFormat="1" applyFont="1" applyFill="1" applyBorder="1" applyAlignment="1">
      <alignment horizontal="center"/>
    </xf>
    <xf numFmtId="2" fontId="18" fillId="4" borderId="0" xfId="12" applyNumberFormat="1" applyFill="1" applyBorder="1" applyAlignment="1" applyProtection="1">
      <alignment horizontal="center"/>
    </xf>
    <xf numFmtId="2" fontId="19" fillId="4" borderId="0" xfId="14" applyNumberFormat="1" applyFont="1" applyFill="1" applyBorder="1" applyAlignment="1">
      <alignment horizontal="left"/>
    </xf>
    <xf numFmtId="0" fontId="12" fillId="15" borderId="0" xfId="0" applyFont="1" applyFill="1" applyAlignment="1" applyProtection="1">
      <alignment horizontal="center"/>
      <protection locked="0"/>
    </xf>
    <xf numFmtId="0" fontId="12" fillId="0" borderId="36" xfId="0" applyFont="1" applyBorder="1" applyAlignment="1" applyProtection="1">
      <alignment horizontal="left"/>
      <protection locked="0"/>
    </xf>
    <xf numFmtId="0" fontId="12" fillId="0" borderId="37" xfId="0" applyFont="1" applyBorder="1" applyAlignment="1" applyProtection="1">
      <alignment horizontal="left"/>
      <protection locked="0"/>
    </xf>
    <xf numFmtId="0" fontId="19" fillId="0" borderId="0" xfId="0" applyFont="1" applyAlignment="1" applyProtection="1">
      <alignment horizontal="left"/>
      <protection locked="0"/>
    </xf>
    <xf numFmtId="4" fontId="19" fillId="16" borderId="0" xfId="0" applyNumberFormat="1" applyFont="1" applyFill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12" fillId="0" borderId="0" xfId="0" applyFont="1" applyAlignment="1" applyProtection="1">
      <alignment horizontal="center" wrapText="1"/>
    </xf>
    <xf numFmtId="0" fontId="12" fillId="15" borderId="0" xfId="0" applyFont="1" applyFill="1" applyAlignment="1" applyProtection="1">
      <alignment horizontal="center"/>
    </xf>
    <xf numFmtId="0" fontId="12" fillId="0" borderId="36" xfId="0" applyFont="1" applyBorder="1" applyAlignment="1" applyProtection="1">
      <alignment horizontal="left"/>
    </xf>
    <xf numFmtId="0" fontId="12" fillId="0" borderId="37" xfId="0" applyFont="1" applyBorder="1" applyAlignment="1" applyProtection="1">
      <alignment horizontal="left"/>
    </xf>
    <xf numFmtId="1" fontId="19" fillId="0" borderId="0" xfId="0" applyNumberFormat="1" applyFont="1" applyAlignment="1" applyProtection="1">
      <alignment horizontal="left"/>
    </xf>
    <xf numFmtId="0" fontId="12" fillId="14" borderId="0" xfId="0" applyFont="1" applyFill="1" applyAlignment="1" applyProtection="1">
      <alignment horizontal="center"/>
    </xf>
    <xf numFmtId="0" fontId="12" fillId="0" borderId="0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/>
    </xf>
    <xf numFmtId="1" fontId="19" fillId="0" borderId="41" xfId="0" applyNumberFormat="1" applyFont="1" applyBorder="1" applyAlignment="1" applyProtection="1">
      <alignment horizontal="left"/>
    </xf>
    <xf numFmtId="0" fontId="19" fillId="0" borderId="36" xfId="0" applyFont="1" applyBorder="1" applyAlignment="1" applyProtection="1">
      <alignment horizontal="left"/>
    </xf>
    <xf numFmtId="0" fontId="19" fillId="0" borderId="37" xfId="0" applyFont="1" applyBorder="1" applyAlignment="1" applyProtection="1">
      <alignment horizontal="left"/>
    </xf>
    <xf numFmtId="2" fontId="12" fillId="0" borderId="41" xfId="0" applyNumberFormat="1" applyFont="1" applyBorder="1" applyAlignment="1" applyProtection="1">
      <alignment horizontal="center"/>
    </xf>
    <xf numFmtId="2" fontId="18" fillId="0" borderId="0" xfId="12" applyNumberFormat="1" applyAlignment="1" applyProtection="1">
      <alignment horizontal="center"/>
    </xf>
    <xf numFmtId="2" fontId="3" fillId="10" borderId="4" xfId="0" applyNumberFormat="1" applyFont="1" applyFill="1" applyBorder="1" applyAlignment="1" applyProtection="1">
      <alignment horizontal="center"/>
      <protection locked="0"/>
    </xf>
    <xf numFmtId="2" fontId="3" fillId="10" borderId="6" xfId="0" applyNumberFormat="1" applyFont="1" applyFill="1" applyBorder="1" applyAlignment="1" applyProtection="1">
      <alignment horizontal="center"/>
      <protection locked="0"/>
    </xf>
  </cellXfs>
  <cellStyles count="18">
    <cellStyle name="Code" xfId="1"/>
    <cellStyle name="Comma" xfId="2" builtinId="3"/>
    <cellStyle name="Comma0" xfId="3"/>
    <cellStyle name="Currency" xfId="4" builtinId="4"/>
    <cellStyle name="Currency_Stockers-wghs North GA" xfId="5"/>
    <cellStyle name="Currency0" xfId="6"/>
    <cellStyle name="Date" xfId="7"/>
    <cellStyle name="Fixed" xfId="8"/>
    <cellStyle name="Heading 1" xfId="9" builtinId="16" customBuiltin="1"/>
    <cellStyle name="Heading 1_Stockers-wghs North GA" xfId="10"/>
    <cellStyle name="Heading 2" xfId="11" builtinId="17" customBuiltin="1"/>
    <cellStyle name="Hyperlink" xfId="12" builtinId="8"/>
    <cellStyle name="Normal" xfId="0" builtinId="0"/>
    <cellStyle name="Normal_budgets-trial" xfId="13"/>
    <cellStyle name="Normal_Stockers-wghs North GA" xfId="14"/>
    <cellStyle name="Percent" xfId="15" builtinId="5"/>
    <cellStyle name="Percent_Stockers-wghs North GA" xfId="16"/>
    <cellStyle name="Total" xfId="17" builtinId="25" customBuiltin="1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9</xdr:row>
      <xdr:rowOff>0</xdr:rowOff>
    </xdr:from>
    <xdr:to>
      <xdr:col>3</xdr:col>
      <xdr:colOff>794385</xdr:colOff>
      <xdr:row>10</xdr:row>
      <xdr:rowOff>0</xdr:rowOff>
    </xdr:to>
    <xdr:sp macro="[0]!totalcostcalc_Click" textlink="">
      <xdr:nvSpPr>
        <xdr:cNvPr id="1025" name="Rectangle 1"/>
        <xdr:cNvSpPr>
          <a:spLocks noChangeArrowheads="1"/>
        </xdr:cNvSpPr>
      </xdr:nvSpPr>
      <xdr:spPr bwMode="auto">
        <a:xfrm>
          <a:off x="1885950" y="1666875"/>
          <a:ext cx="762000" cy="180975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Calculate</a:t>
          </a:r>
        </a:p>
      </xdr:txBody>
    </xdr:sp>
    <xdr:clientData/>
  </xdr:twoCellAnchor>
  <xdr:twoCellAnchor>
    <xdr:from>
      <xdr:col>3</xdr:col>
      <xdr:colOff>9525</xdr:colOff>
      <xdr:row>12</xdr:row>
      <xdr:rowOff>0</xdr:rowOff>
    </xdr:from>
    <xdr:to>
      <xdr:col>3</xdr:col>
      <xdr:colOff>794385</xdr:colOff>
      <xdr:row>13</xdr:row>
      <xdr:rowOff>0</xdr:rowOff>
    </xdr:to>
    <xdr:sp macro="[0]!cashflowcalc_Click" textlink="">
      <xdr:nvSpPr>
        <xdr:cNvPr id="1027" name="Rectangle 3"/>
        <xdr:cNvSpPr>
          <a:spLocks noChangeArrowheads="1"/>
        </xdr:cNvSpPr>
      </xdr:nvSpPr>
      <xdr:spPr bwMode="auto">
        <a:xfrm>
          <a:off x="1885950" y="2247900"/>
          <a:ext cx="762000" cy="200025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Calculate</a:t>
          </a:r>
        </a:p>
      </xdr:txBody>
    </xdr:sp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794385</xdr:colOff>
      <xdr:row>16</xdr:row>
      <xdr:rowOff>0</xdr:rowOff>
    </xdr:to>
    <xdr:sp macro="[0]!varcostcalc_Click" textlink="">
      <xdr:nvSpPr>
        <xdr:cNvPr id="1029" name="Rectangle 5"/>
        <xdr:cNvSpPr>
          <a:spLocks noChangeArrowheads="1"/>
        </xdr:cNvSpPr>
      </xdr:nvSpPr>
      <xdr:spPr bwMode="auto">
        <a:xfrm>
          <a:off x="1885950" y="2857500"/>
          <a:ext cx="762000" cy="180975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Calculate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9</xdr:row>
          <xdr:rowOff>22860</xdr:rowOff>
        </xdr:from>
        <xdr:to>
          <xdr:col>7</xdr:col>
          <xdr:colOff>754380</xdr:colOff>
          <xdr:row>11</xdr:row>
          <xdr:rowOff>68580</xdr:rowOff>
        </xdr:to>
        <xdr:sp macro="" textlink="">
          <xdr:nvSpPr>
            <xdr:cNvPr id="2071" name="CommandButton1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529590</xdr:colOff>
      <xdr:row>1</xdr:row>
      <xdr:rowOff>9525</xdr:rowOff>
    </xdr:from>
    <xdr:to>
      <xdr:col>3</xdr:col>
      <xdr:colOff>95250</xdr:colOff>
      <xdr:row>2</xdr:row>
      <xdr:rowOff>9525</xdr:rowOff>
    </xdr:to>
    <xdr:sp macro="[0]!Paymentreturn" textlink="">
      <xdr:nvSpPr>
        <xdr:cNvPr id="6145" name="Rectangle 1"/>
        <xdr:cNvSpPr>
          <a:spLocks noChangeArrowheads="1"/>
        </xdr:cNvSpPr>
      </xdr:nvSpPr>
      <xdr:spPr bwMode="auto">
        <a:xfrm>
          <a:off x="876300" y="209550"/>
          <a:ext cx="647700" cy="161925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Back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462915</xdr:colOff>
      <xdr:row>0</xdr:row>
      <xdr:rowOff>9525</xdr:rowOff>
    </xdr:from>
    <xdr:to>
      <xdr:col>2</xdr:col>
      <xdr:colOff>548640</xdr:colOff>
      <xdr:row>1</xdr:row>
      <xdr:rowOff>0</xdr:rowOff>
    </xdr:to>
    <xdr:sp macro="[0]!Paymentreturn" textlink="">
      <xdr:nvSpPr>
        <xdr:cNvPr id="7169" name="Rectangle 1"/>
        <xdr:cNvSpPr>
          <a:spLocks noChangeArrowheads="1"/>
        </xdr:cNvSpPr>
      </xdr:nvSpPr>
      <xdr:spPr bwMode="auto">
        <a:xfrm>
          <a:off x="628650" y="9525"/>
          <a:ext cx="647700" cy="152400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Back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lacy/My%20Documents/Budgets/stocker/Stockers-silage%20north%20G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lacy.TIFTON_CAMPUS/Desktop/Old_LT/My%20Documents/Budgets/New%20budgets/Stockers-Fescu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lacy.TIFTON_CAMPUS/My%20Documents/Budgets/Dairy/Dairy%201000%20head%20-%202005-%20non%20risk%20rat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lacy/My%20Documents/Budgets/Forages/Stockpiled%20Fescu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Main"/>
      <sheetName val="Winter Grazing"/>
      <sheetName val="Feed Cost"/>
      <sheetName val="Procurement"/>
      <sheetName val="Fixed_Cost"/>
      <sheetName val="Fixed_Payment"/>
      <sheetName val="G"/>
      <sheetName val="H"/>
      <sheetName val="I"/>
      <sheetName val="J"/>
      <sheetName val="K"/>
      <sheetName val="L"/>
    </sheetNames>
    <sheetDataSet>
      <sheetData sheetId="0">
        <row r="4">
          <cell r="B4" t="str">
            <v>WELCOME TO THE  STOCKER STEERS ON</v>
          </cell>
          <cell r="H4" t="str">
            <v>REMEMBER</v>
          </cell>
        </row>
        <row r="5">
          <cell r="B5" t="str">
            <v>TEMPORARY WINTER GRAZING  BUDGET</v>
          </cell>
        </row>
      </sheetData>
      <sheetData sheetId="1">
        <row r="5">
          <cell r="B5" t="str">
            <v>University of Georgia Cooperative Extension Service</v>
          </cell>
        </row>
      </sheetData>
      <sheetData sheetId="2">
        <row r="4">
          <cell r="B4" t="str">
            <v>Revised 2003</v>
          </cell>
        </row>
        <row r="5">
          <cell r="K5" t="str">
            <v/>
          </cell>
        </row>
      </sheetData>
      <sheetData sheetId="3">
        <row r="4">
          <cell r="A4" t="str">
            <v>Days fed</v>
          </cell>
          <cell r="B4">
            <v>30</v>
          </cell>
        </row>
        <row r="5">
          <cell r="B5" t="str">
            <v>$/ton</v>
          </cell>
          <cell r="C5" t="str">
            <v>$/#</v>
          </cell>
          <cell r="D5" t="str">
            <v>% of Ration</v>
          </cell>
          <cell r="E5" t="str">
            <v>#/ton</v>
          </cell>
          <cell r="F5" t="str">
            <v>Cost/ton</v>
          </cell>
        </row>
      </sheetData>
      <sheetData sheetId="4">
        <row r="5">
          <cell r="B5" t="str">
            <v xml:space="preserve">     ITEM</v>
          </cell>
          <cell r="E5" t="str">
            <v>UNIT</v>
          </cell>
          <cell r="F5" t="str">
            <v>QUANTITY</v>
          </cell>
          <cell r="G5" t="str">
            <v>PRICE</v>
          </cell>
          <cell r="H5" t="str">
            <v>AMOUNT</v>
          </cell>
        </row>
      </sheetData>
      <sheetData sheetId="5">
        <row r="4">
          <cell r="B4" t="str">
            <v>(Check All Higlighted Entries this Page)</v>
          </cell>
        </row>
      </sheetData>
      <sheetData sheetId="6">
        <row r="4">
          <cell r="B4" t="str">
            <v>Check All Highlighted Entries this Page)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Main"/>
      <sheetName val="Fescue Grazing"/>
      <sheetName val="Feed Cost"/>
      <sheetName val="Procurement"/>
      <sheetName val="Fixed_Cost"/>
      <sheetName val="Fixed_Payment"/>
      <sheetName val="G"/>
      <sheetName val="H"/>
      <sheetName val="I"/>
      <sheetName val="J"/>
      <sheetName val="K"/>
      <sheetName val="L"/>
    </sheetNames>
    <sheetDataSet>
      <sheetData sheetId="0"/>
      <sheetData sheetId="1"/>
      <sheetData sheetId="2"/>
      <sheetData sheetId="3"/>
      <sheetData sheetId="4"/>
      <sheetData sheetId="5">
        <row r="45">
          <cell r="J45">
            <v>1069.47</v>
          </cell>
        </row>
        <row r="46">
          <cell r="J46">
            <v>1393.95</v>
          </cell>
        </row>
      </sheetData>
      <sheetData sheetId="6">
        <row r="41">
          <cell r="J41">
            <v>1786.0992045632743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Main"/>
      <sheetName val="Fixed_Cost"/>
      <sheetName val="Feed"/>
      <sheetName val="Debt_Payments"/>
      <sheetName val="Payroll"/>
      <sheetName val="E"/>
      <sheetName val="F"/>
      <sheetName val="G"/>
      <sheetName val="H"/>
      <sheetName val="I"/>
      <sheetName val="J"/>
      <sheetName val="K"/>
    </sheetNames>
    <sheetDataSet>
      <sheetData sheetId="0" refreshError="1"/>
      <sheetData sheetId="1">
        <row r="26">
          <cell r="I26">
            <v>7.4999999999999997E-2</v>
          </cell>
        </row>
        <row r="45">
          <cell r="C45" t="str">
            <v>MILKING HERD FEED</v>
          </cell>
        </row>
        <row r="46">
          <cell r="D46" t="str">
            <v>GRAIN</v>
          </cell>
          <cell r="F46" t="str">
            <v>Tons</v>
          </cell>
          <cell r="G46">
            <v>4610.5263157894733</v>
          </cell>
          <cell r="H46">
            <v>185</v>
          </cell>
          <cell r="I46">
            <v>852947.36842105258</v>
          </cell>
          <cell r="J46">
            <v>852.9473684210526</v>
          </cell>
        </row>
        <row r="47">
          <cell r="D47" t="str">
            <v>SILAGE</v>
          </cell>
          <cell r="F47" t="str">
            <v>Tons</v>
          </cell>
          <cell r="G47">
            <v>8233.0827067669179</v>
          </cell>
          <cell r="H47">
            <v>22</v>
          </cell>
          <cell r="I47">
            <v>181127.81954887218</v>
          </cell>
          <cell r="J47">
            <v>181.1278195488722</v>
          </cell>
        </row>
        <row r="48">
          <cell r="D48" t="str">
            <v>HAY</v>
          </cell>
          <cell r="F48" t="str">
            <v>Tons</v>
          </cell>
          <cell r="G48">
            <v>493.98496240601503</v>
          </cell>
          <cell r="H48">
            <v>65</v>
          </cell>
          <cell r="I48">
            <v>32109.022556390977</v>
          </cell>
          <cell r="J48">
            <v>32.109022556390975</v>
          </cell>
        </row>
        <row r="49">
          <cell r="D49" t="str">
            <v>MINERALS</v>
          </cell>
          <cell r="F49" t="str">
            <v>Tons</v>
          </cell>
          <cell r="G49">
            <v>164.66165413533832</v>
          </cell>
          <cell r="H49">
            <v>350</v>
          </cell>
          <cell r="I49">
            <v>57631.578947368413</v>
          </cell>
          <cell r="J49">
            <v>57.631578947368411</v>
          </cell>
        </row>
        <row r="50">
          <cell r="D50" t="str">
            <v>BYPRODUCTS</v>
          </cell>
          <cell r="F50" t="str">
            <v>Tons</v>
          </cell>
          <cell r="G50">
            <v>987.96992481203006</v>
          </cell>
          <cell r="H50">
            <v>125</v>
          </cell>
          <cell r="I50">
            <v>123496.24060150376</v>
          </cell>
          <cell r="J50">
            <v>123.49624060150376</v>
          </cell>
        </row>
        <row r="51">
          <cell r="D51" t="str">
            <v>PASTURE</v>
          </cell>
          <cell r="F51" t="str">
            <v>Acres</v>
          </cell>
          <cell r="G51">
            <v>0</v>
          </cell>
          <cell r="H51">
            <v>52.57</v>
          </cell>
          <cell r="I51">
            <v>0</v>
          </cell>
          <cell r="J51">
            <v>0</v>
          </cell>
        </row>
        <row r="52">
          <cell r="C52" t="str">
            <v>DRY COW FEED</v>
          </cell>
          <cell r="G52" t="str">
            <v/>
          </cell>
          <cell r="H52" t="str">
            <v/>
          </cell>
          <cell r="I52" t="str">
            <v/>
          </cell>
        </row>
        <row r="53">
          <cell r="D53" t="str">
            <v>GRAIN</v>
          </cell>
          <cell r="F53" t="str">
            <v>Tons</v>
          </cell>
          <cell r="G53">
            <v>0</v>
          </cell>
          <cell r="H53">
            <v>125</v>
          </cell>
          <cell r="I53">
            <v>0</v>
          </cell>
          <cell r="J53">
            <v>0</v>
          </cell>
        </row>
        <row r="54">
          <cell r="D54" t="str">
            <v>SILAGE</v>
          </cell>
          <cell r="F54" t="str">
            <v>Tons</v>
          </cell>
          <cell r="G54">
            <v>214.06015037594005</v>
          </cell>
          <cell r="H54">
            <v>22</v>
          </cell>
          <cell r="I54">
            <v>4709.3233082706811</v>
          </cell>
          <cell r="J54">
            <v>4.7093233082706814</v>
          </cell>
        </row>
        <row r="55">
          <cell r="D55" t="str">
            <v>HAY</v>
          </cell>
          <cell r="F55" t="str">
            <v>Tons</v>
          </cell>
          <cell r="G55">
            <v>178.3834586466167</v>
          </cell>
          <cell r="H55">
            <v>65</v>
          </cell>
          <cell r="I55">
            <v>11594.924812030085</v>
          </cell>
          <cell r="J55">
            <v>11.594924812030085</v>
          </cell>
        </row>
        <row r="56">
          <cell r="D56" t="str">
            <v>MINERALS</v>
          </cell>
          <cell r="F56" t="str">
            <v>Tons</v>
          </cell>
          <cell r="G56">
            <v>17.838345864661669</v>
          </cell>
          <cell r="H56">
            <v>350</v>
          </cell>
          <cell r="I56">
            <v>6243.4210526315837</v>
          </cell>
          <cell r="J56">
            <v>6.2434210526315841</v>
          </cell>
        </row>
        <row r="57">
          <cell r="D57" t="str">
            <v>BYPRODUCTS</v>
          </cell>
          <cell r="F57" t="str">
            <v>Tons</v>
          </cell>
          <cell r="G57">
            <v>0</v>
          </cell>
          <cell r="H57">
            <v>125</v>
          </cell>
          <cell r="I57">
            <v>0</v>
          </cell>
          <cell r="J57">
            <v>0</v>
          </cell>
        </row>
        <row r="58">
          <cell r="D58" t="str">
            <v>PASTURE</v>
          </cell>
          <cell r="F58" t="str">
            <v>Acres</v>
          </cell>
          <cell r="G58">
            <v>0</v>
          </cell>
          <cell r="H58">
            <v>52.57</v>
          </cell>
          <cell r="I58">
            <v>0</v>
          </cell>
          <cell r="J58">
            <v>0</v>
          </cell>
        </row>
        <row r="59">
          <cell r="C59" t="str">
            <v>HEIFER FEED</v>
          </cell>
          <cell r="G59" t="str">
            <v/>
          </cell>
          <cell r="H59" t="str">
            <v/>
          </cell>
          <cell r="I59" t="str">
            <v/>
          </cell>
        </row>
        <row r="60">
          <cell r="D60" t="str">
            <v>MILK REPLACER</v>
          </cell>
          <cell r="F60" t="str">
            <v>Cwt.</v>
          </cell>
          <cell r="G60">
            <v>252.63157894736841</v>
          </cell>
          <cell r="H60">
            <v>58</v>
          </cell>
          <cell r="I60">
            <v>14652.631578947368</v>
          </cell>
          <cell r="J60">
            <v>14.652631578947368</v>
          </cell>
        </row>
        <row r="61">
          <cell r="D61" t="str">
            <v>GRAIN</v>
          </cell>
          <cell r="F61" t="str">
            <v>Tons</v>
          </cell>
          <cell r="G61">
            <v>493.98496240601503</v>
          </cell>
          <cell r="H61">
            <v>155</v>
          </cell>
          <cell r="I61">
            <v>76567.669172932336</v>
          </cell>
          <cell r="J61">
            <v>76.567669172932341</v>
          </cell>
        </row>
        <row r="62">
          <cell r="D62" t="str">
            <v>SILAGE</v>
          </cell>
          <cell r="F62" t="str">
            <v>Tons</v>
          </cell>
          <cell r="G62">
            <v>1811.2781954887214</v>
          </cell>
          <cell r="H62">
            <v>22</v>
          </cell>
          <cell r="I62">
            <v>39848.120300751871</v>
          </cell>
          <cell r="J62">
            <v>39.848120300751873</v>
          </cell>
        </row>
        <row r="63">
          <cell r="D63" t="str">
            <v>HAY</v>
          </cell>
          <cell r="F63" t="str">
            <v>Tons</v>
          </cell>
          <cell r="G63">
            <v>823.30827067669156</v>
          </cell>
          <cell r="H63">
            <v>65</v>
          </cell>
          <cell r="I63">
            <v>53515.037593984955</v>
          </cell>
          <cell r="J63">
            <v>53.515037593984957</v>
          </cell>
        </row>
        <row r="64">
          <cell r="D64" t="str">
            <v>PASTURE</v>
          </cell>
          <cell r="F64" t="str">
            <v>Acres</v>
          </cell>
          <cell r="G64">
            <v>0</v>
          </cell>
          <cell r="H64">
            <v>52.57</v>
          </cell>
          <cell r="I64">
            <v>0</v>
          </cell>
          <cell r="J64">
            <v>0</v>
          </cell>
        </row>
        <row r="65">
          <cell r="C65" t="str">
            <v>CUSTOM RAISED HEIFERS</v>
          </cell>
          <cell r="F65" t="str">
            <v>Head</v>
          </cell>
          <cell r="G65">
            <v>0</v>
          </cell>
          <cell r="H65">
            <v>800</v>
          </cell>
          <cell r="I65">
            <v>0</v>
          </cell>
          <cell r="J65">
            <v>0</v>
          </cell>
        </row>
        <row r="66">
          <cell r="C66" t="str">
            <v>COW LEASE</v>
          </cell>
          <cell r="F66" t="str">
            <v>Head</v>
          </cell>
          <cell r="G66">
            <v>0</v>
          </cell>
          <cell r="H66">
            <v>365</v>
          </cell>
          <cell r="I66">
            <v>0</v>
          </cell>
          <cell r="J66">
            <v>0</v>
          </cell>
        </row>
        <row r="67">
          <cell r="C67" t="str">
            <v>EQUIPMENT LEASE</v>
          </cell>
          <cell r="F67" t="str">
            <v>Farm</v>
          </cell>
          <cell r="G67">
            <v>0</v>
          </cell>
          <cell r="H67">
            <v>5000</v>
          </cell>
          <cell r="I67">
            <v>0</v>
          </cell>
          <cell r="J67">
            <v>0</v>
          </cell>
        </row>
        <row r="68">
          <cell r="C68" t="str">
            <v>WASTE MANAGEMENT COSTS</v>
          </cell>
          <cell r="F68" t="str">
            <v>Farm</v>
          </cell>
          <cell r="G68">
            <v>1</v>
          </cell>
          <cell r="H68">
            <v>15000</v>
          </cell>
          <cell r="I68">
            <v>15000</v>
          </cell>
          <cell r="J68">
            <v>15</v>
          </cell>
        </row>
        <row r="69">
          <cell r="C69" t="str">
            <v>PAYROLL</v>
          </cell>
          <cell r="F69" t="str">
            <v>Farm</v>
          </cell>
          <cell r="G69">
            <v>1</v>
          </cell>
          <cell r="H69">
            <v>634500</v>
          </cell>
          <cell r="I69">
            <v>634500</v>
          </cell>
          <cell r="J69">
            <v>634.5</v>
          </cell>
        </row>
        <row r="70">
          <cell r="C70" t="str">
            <v>CUSTOM HIRE</v>
          </cell>
          <cell r="F70" t="str">
            <v>Farm</v>
          </cell>
          <cell r="G70">
            <v>1</v>
          </cell>
          <cell r="H70">
            <v>10000</v>
          </cell>
          <cell r="I70">
            <v>10000</v>
          </cell>
          <cell r="J70">
            <v>10</v>
          </cell>
        </row>
        <row r="71">
          <cell r="C71" t="str">
            <v>MISCELLANEOUS</v>
          </cell>
          <cell r="H71" t="str">
            <v/>
          </cell>
          <cell r="I71">
            <v>8000</v>
          </cell>
          <cell r="J71">
            <v>8</v>
          </cell>
        </row>
        <row r="72">
          <cell r="G72" t="str">
            <v/>
          </cell>
          <cell r="H72" t="str">
            <v/>
          </cell>
          <cell r="I72">
            <v>2790808.653233083</v>
          </cell>
          <cell r="J72">
            <v>2790.8086532330831</v>
          </cell>
        </row>
        <row r="74">
          <cell r="C74" t="str">
            <v>FIXED COST:(Click Link at Left for Appropriate Cost)</v>
          </cell>
        </row>
        <row r="75">
          <cell r="C75" t="str">
            <v>Taxes &amp; Insurance Payments</v>
          </cell>
          <cell r="G75">
            <v>672110.20310776937</v>
          </cell>
          <cell r="H75">
            <v>1.4E-2</v>
          </cell>
          <cell r="I75">
            <v>9409.5428435087706</v>
          </cell>
          <cell r="J75">
            <v>9.4095428435087705</v>
          </cell>
        </row>
        <row r="76">
          <cell r="C76" t="str">
            <v>Total Payments for Livestock</v>
          </cell>
          <cell r="I76">
            <v>0</v>
          </cell>
          <cell r="J76">
            <v>0</v>
          </cell>
        </row>
        <row r="77">
          <cell r="C77" t="str">
            <v>Total Payments for Facilities &amp; Buildings</v>
          </cell>
          <cell r="I77">
            <v>168825.76133061093</v>
          </cell>
          <cell r="J77">
            <v>168.82576133061093</v>
          </cell>
        </row>
        <row r="78">
          <cell r="C78" t="str">
            <v>Total Payments for Waste Management System</v>
          </cell>
          <cell r="I78">
            <v>20455.787618560564</v>
          </cell>
          <cell r="J78">
            <v>20.455787618560564</v>
          </cell>
        </row>
        <row r="79">
          <cell r="C79" t="str">
            <v>Total Payments for Machinery</v>
          </cell>
          <cell r="I79">
            <v>125228.22728341824</v>
          </cell>
          <cell r="J79">
            <v>125.22822728341824</v>
          </cell>
        </row>
        <row r="80">
          <cell r="C80" t="str">
            <v>Total Payments for Land</v>
          </cell>
          <cell r="I80">
            <v>57291.867463022209</v>
          </cell>
          <cell r="J80">
            <v>57.291867463022207</v>
          </cell>
        </row>
        <row r="81">
          <cell r="C81" t="str">
            <v>Existing Mortgage Payments</v>
          </cell>
          <cell r="H81">
            <v>1</v>
          </cell>
          <cell r="I81">
            <v>0</v>
          </cell>
          <cell r="J81">
            <v>0</v>
          </cell>
        </row>
        <row r="82">
          <cell r="C82" t="str">
            <v/>
          </cell>
          <cell r="G82" t="str">
            <v/>
          </cell>
          <cell r="H82">
            <v>0</v>
          </cell>
          <cell r="I82" t="str">
            <v/>
          </cell>
          <cell r="J82" t="str">
            <v/>
          </cell>
        </row>
        <row r="83">
          <cell r="C83" t="str">
            <v>Total Fixed Costs</v>
          </cell>
          <cell r="I83">
            <v>381211.18653912074</v>
          </cell>
          <cell r="J83">
            <v>381.21118653912066</v>
          </cell>
        </row>
        <row r="85">
          <cell r="J85" t="str">
            <v/>
          </cell>
        </row>
        <row r="86">
          <cell r="B86" t="str">
            <v>RECEIPTS AT EXPECTED OUTPUT AND PRICE LEVELS</v>
          </cell>
        </row>
        <row r="88">
          <cell r="B88" t="str">
            <v>ITEM</v>
          </cell>
          <cell r="H88" t="str">
            <v>QUANTITY</v>
          </cell>
          <cell r="I88" t="str">
            <v>PRICE</v>
          </cell>
          <cell r="J88" t="str">
            <v>AMOUNT</v>
          </cell>
        </row>
        <row r="90">
          <cell r="B90" t="str">
            <v>MILK PRODUCTION</v>
          </cell>
          <cell r="H90">
            <v>184962.40601503756</v>
          </cell>
          <cell r="I90">
            <v>18</v>
          </cell>
          <cell r="J90">
            <v>3329323.3082706761</v>
          </cell>
        </row>
        <row r="91">
          <cell r="B91" t="str">
            <v>BF PREMIUM (AMT. ABOVE 3.5%)</v>
          </cell>
          <cell r="H91">
            <v>9.9999999999999395E-4</v>
          </cell>
          <cell r="I91">
            <v>0.15</v>
          </cell>
          <cell r="J91">
            <v>27744.36090225547</v>
          </cell>
        </row>
        <row r="92">
          <cell r="B92" t="str">
            <v>CULL COWS</v>
          </cell>
          <cell r="H92">
            <v>296</v>
          </cell>
          <cell r="I92">
            <v>650</v>
          </cell>
          <cell r="J92">
            <v>192400</v>
          </cell>
        </row>
        <row r="93">
          <cell r="B93" t="str">
            <v>BULL CALVES</v>
          </cell>
          <cell r="H93">
            <v>428.5714285714285</v>
          </cell>
          <cell r="I93">
            <v>75</v>
          </cell>
          <cell r="J93">
            <v>32142.857142857138</v>
          </cell>
        </row>
        <row r="94">
          <cell r="B94" t="str">
            <v>CULL HEIFERS</v>
          </cell>
          <cell r="H94">
            <v>54</v>
          </cell>
          <cell r="I94">
            <v>300</v>
          </cell>
          <cell r="J94">
            <v>16200</v>
          </cell>
        </row>
        <row r="95">
          <cell r="B95" t="str">
            <v>OTHER INCOME (MILC, ETC)</v>
          </cell>
        </row>
        <row r="97">
          <cell r="D97" t="str">
            <v>TOTAL RECEIPTS</v>
          </cell>
          <cell r="J97">
            <v>3597810.5263157887</v>
          </cell>
        </row>
        <row r="100">
          <cell r="B100" t="str">
            <v>EXPECTED BREAKEVEN TABLE</v>
          </cell>
        </row>
        <row r="102">
          <cell r="G102" t="str">
            <v xml:space="preserve">  TOTAL</v>
          </cell>
          <cell r="H102" t="str">
            <v>BREAKEVEN</v>
          </cell>
        </row>
        <row r="103">
          <cell r="B103" t="str">
            <v>ITEM</v>
          </cell>
          <cell r="G103" t="str">
            <v xml:space="preserve"> AMOUNT</v>
          </cell>
          <cell r="H103" t="str">
            <v xml:space="preserve">  $/CWT</v>
          </cell>
        </row>
        <row r="105">
          <cell r="B105" t="str">
            <v>VARIABLE COST</v>
          </cell>
          <cell r="G105">
            <v>2790808.653233083</v>
          </cell>
          <cell r="H105" t="str">
            <v/>
          </cell>
          <cell r="I105" t="str">
            <v/>
          </cell>
        </row>
        <row r="106">
          <cell r="B106" t="str">
            <v>LESS VALUE OF ANIMALS SOLD</v>
          </cell>
          <cell r="G106">
            <v>240742.85714285713</v>
          </cell>
          <cell r="H106" t="str">
            <v/>
          </cell>
          <cell r="I106" t="str">
            <v/>
          </cell>
        </row>
        <row r="107">
          <cell r="B107" t="str">
            <v>Net Variable Cost</v>
          </cell>
          <cell r="G107">
            <v>2550065.7960902257</v>
          </cell>
          <cell r="H107" t="str">
            <v/>
          </cell>
          <cell r="I107">
            <v>13.78694109268293</v>
          </cell>
        </row>
        <row r="108">
          <cell r="B108" t="str">
            <v>Total Fixed Costs</v>
          </cell>
          <cell r="G108">
            <v>381211.18653912074</v>
          </cell>
          <cell r="H108" t="str">
            <v/>
          </cell>
          <cell r="I108">
            <v>2.0610198296627265</v>
          </cell>
        </row>
        <row r="109">
          <cell r="B109" t="str">
            <v>Total Variable &amp; Fixed Costs</v>
          </cell>
          <cell r="G109">
            <v>2931276.9826293467</v>
          </cell>
          <cell r="H109" t="str">
            <v/>
          </cell>
          <cell r="I109">
            <v>15.847960922345658</v>
          </cell>
        </row>
        <row r="110">
          <cell r="B110" t="str">
            <v>Feed Cost</v>
          </cell>
          <cell r="G110">
            <v>1454443.1578947369</v>
          </cell>
          <cell r="H110" t="str">
            <v/>
          </cell>
          <cell r="I110">
            <v>7.8634528455284567</v>
          </cell>
        </row>
        <row r="115">
          <cell r="D115" t="str">
            <v>Returns Above Variable Costs at Different Price &amp; Production Combinations</v>
          </cell>
        </row>
        <row r="116">
          <cell r="D116" t="str">
            <v>Change in Milk Production (CWT) from Expected</v>
          </cell>
        </row>
        <row r="117">
          <cell r="D117">
            <v>-0.33</v>
          </cell>
          <cell r="E117">
            <v>-0.25</v>
          </cell>
          <cell r="F117">
            <v>-0.1</v>
          </cell>
          <cell r="G117" t="str">
            <v>Expected</v>
          </cell>
          <cell r="H117">
            <v>0.1</v>
          </cell>
          <cell r="I117">
            <v>0.25</v>
          </cell>
          <cell r="J117">
            <v>0.33</v>
          </cell>
        </row>
        <row r="118">
          <cell r="B118" t="str">
            <v>Change in Milk Price ($/Cwt.) from Expected</v>
          </cell>
          <cell r="D118">
            <v>123924.81203007515</v>
          </cell>
          <cell r="E118">
            <v>138721.80451127817</v>
          </cell>
          <cell r="F118">
            <v>166466.1654135338</v>
          </cell>
          <cell r="G118">
            <v>184962.40601503756</v>
          </cell>
          <cell r="H118">
            <v>203458.64661654134</v>
          </cell>
          <cell r="I118">
            <v>231203.00751879695</v>
          </cell>
          <cell r="J118">
            <v>245999.99999999997</v>
          </cell>
        </row>
        <row r="119">
          <cell r="B119">
            <v>-0.25</v>
          </cell>
          <cell r="C119">
            <v>13.5</v>
          </cell>
          <cell r="D119">
            <v>-849336.47278195573</v>
          </cell>
          <cell r="E119">
            <v>-649577.07428571489</v>
          </cell>
          <cell r="F119">
            <v>-275028.20210526418</v>
          </cell>
          <cell r="G119">
            <v>-25328.953984963242</v>
          </cell>
          <cell r="H119">
            <v>224370.2941353377</v>
          </cell>
          <cell r="I119">
            <v>598919.1663157884</v>
          </cell>
          <cell r="J119">
            <v>798678.56481202925</v>
          </cell>
        </row>
        <row r="120">
          <cell r="B120">
            <v>-0.15</v>
          </cell>
          <cell r="C120">
            <v>15.299999999999999</v>
          </cell>
          <cell r="D120">
            <v>-626271.81112782098</v>
          </cell>
          <cell r="E120">
            <v>-399877.82616541442</v>
          </cell>
          <cell r="F120">
            <v>24610.895639096852</v>
          </cell>
          <cell r="G120">
            <v>307603.37684210436</v>
          </cell>
          <cell r="H120">
            <v>590595.85804511188</v>
          </cell>
          <cell r="I120">
            <v>1015084.5798496227</v>
          </cell>
          <cell r="J120">
            <v>1241478.5648120288</v>
          </cell>
        </row>
        <row r="121">
          <cell r="B121">
            <v>-0.1</v>
          </cell>
          <cell r="C121">
            <v>16.2</v>
          </cell>
          <cell r="D121">
            <v>-514739.48030075291</v>
          </cell>
          <cell r="E121">
            <v>-275028.20210526418</v>
          </cell>
          <cell r="F121">
            <v>174430.44451127714</v>
          </cell>
          <cell r="G121">
            <v>474069.54225563817</v>
          </cell>
          <cell r="H121">
            <v>773708.6399999992</v>
          </cell>
          <cell r="I121">
            <v>1223167.28661654</v>
          </cell>
          <cell r="J121">
            <v>1462878.5648120288</v>
          </cell>
        </row>
        <row r="122">
          <cell r="B122" t="str">
            <v>Expected</v>
          </cell>
          <cell r="C122">
            <v>18</v>
          </cell>
          <cell r="D122">
            <v>-291674.8186466177</v>
          </cell>
          <cell r="E122">
            <v>-25328.953984963242</v>
          </cell>
          <cell r="F122">
            <v>474069.54225563817</v>
          </cell>
          <cell r="G122">
            <v>807001.87308270577</v>
          </cell>
          <cell r="H122">
            <v>1139934.2039097738</v>
          </cell>
          <cell r="I122">
            <v>1639332.7001503743</v>
          </cell>
          <cell r="J122">
            <v>1905678.5648120288</v>
          </cell>
        </row>
        <row r="123">
          <cell r="B123">
            <v>0.1</v>
          </cell>
          <cell r="C123">
            <v>19.8</v>
          </cell>
          <cell r="D123">
            <v>-68610.156992482487</v>
          </cell>
          <cell r="E123">
            <v>224370.2941353377</v>
          </cell>
          <cell r="F123">
            <v>773708.6399999992</v>
          </cell>
          <cell r="G123">
            <v>1139934.2039097734</v>
          </cell>
          <cell r="H123">
            <v>1506159.767819548</v>
          </cell>
          <cell r="I123">
            <v>2055498.1136842091</v>
          </cell>
          <cell r="J123">
            <v>2348478.5648120297</v>
          </cell>
        </row>
        <row r="124">
          <cell r="B124">
            <v>0.25</v>
          </cell>
          <cell r="C124">
            <v>22.5</v>
          </cell>
          <cell r="D124">
            <v>265986.83548872033</v>
          </cell>
          <cell r="E124">
            <v>598919.1663157884</v>
          </cell>
          <cell r="F124">
            <v>1223167.2866165405</v>
          </cell>
          <cell r="G124">
            <v>1639332.7001503743</v>
          </cell>
          <cell r="H124">
            <v>2055498.11368421</v>
          </cell>
          <cell r="I124">
            <v>2679746.2339849612</v>
          </cell>
          <cell r="J124">
            <v>3012678.5648120288</v>
          </cell>
        </row>
        <row r="125">
          <cell r="B125">
            <v>0.33</v>
          </cell>
          <cell r="C125">
            <v>23.94</v>
          </cell>
          <cell r="D125">
            <v>444438.56481202878</v>
          </cell>
          <cell r="E125">
            <v>798678.56481202925</v>
          </cell>
          <cell r="F125">
            <v>1462878.5648120288</v>
          </cell>
          <cell r="G125">
            <v>1905678.5648120288</v>
          </cell>
          <cell r="H125">
            <v>2348478.5648120297</v>
          </cell>
          <cell r="I125">
            <v>3012678.5648120288</v>
          </cell>
          <cell r="J125">
            <v>3366918.5648120297</v>
          </cell>
        </row>
        <row r="129">
          <cell r="D129" t="str">
            <v>Returns Above Total Costs at Different Price &amp; Production Combinations</v>
          </cell>
        </row>
        <row r="130">
          <cell r="D130" t="str">
            <v>Change in Milk Production (CWT) from Expected</v>
          </cell>
        </row>
        <row r="131">
          <cell r="D131">
            <v>-0.33</v>
          </cell>
          <cell r="E131">
            <v>-0.25</v>
          </cell>
          <cell r="F131">
            <v>-0.1</v>
          </cell>
          <cell r="G131" t="str">
            <v>Expected</v>
          </cell>
          <cell r="H131">
            <v>0.1</v>
          </cell>
          <cell r="I131">
            <v>0.25</v>
          </cell>
          <cell r="J131">
            <v>0.33</v>
          </cell>
        </row>
        <row r="132">
          <cell r="B132" t="str">
            <v>Change in Milk Price ($/Cwt.) from Expected</v>
          </cell>
          <cell r="D132">
            <v>123924.81203007515</v>
          </cell>
          <cell r="E132">
            <v>138721.80451127817</v>
          </cell>
          <cell r="F132">
            <v>166466.1654135338</v>
          </cell>
          <cell r="G132">
            <v>184962.40601503756</v>
          </cell>
          <cell r="H132">
            <v>203458.64661654134</v>
          </cell>
          <cell r="I132">
            <v>231203.00751879695</v>
          </cell>
          <cell r="J132">
            <v>245999.99999999997</v>
          </cell>
        </row>
        <row r="133">
          <cell r="B133">
            <v>-0.25</v>
          </cell>
          <cell r="C133">
            <v>13.5</v>
          </cell>
          <cell r="D133">
            <v>-1230547.6593210765</v>
          </cell>
          <cell r="E133">
            <v>-1030788.2608248356</v>
          </cell>
          <cell r="F133">
            <v>-656239.38864438492</v>
          </cell>
          <cell r="G133">
            <v>-406540.14052408398</v>
          </cell>
          <cell r="H133">
            <v>-156840.89240378304</v>
          </cell>
          <cell r="I133">
            <v>217707.97977666766</v>
          </cell>
          <cell r="J133">
            <v>417467.37827290851</v>
          </cell>
        </row>
        <row r="134">
          <cell r="B134">
            <v>-0.15</v>
          </cell>
          <cell r="C134">
            <v>15.299999999999999</v>
          </cell>
          <cell r="D134">
            <v>-1007482.9976669417</v>
          </cell>
          <cell r="E134">
            <v>-781089.01270453515</v>
          </cell>
          <cell r="F134">
            <v>-356600.29090002389</v>
          </cell>
          <cell r="G134">
            <v>-73607.809697016375</v>
          </cell>
          <cell r="H134">
            <v>209384.67150599114</v>
          </cell>
          <cell r="I134">
            <v>633873.39331050194</v>
          </cell>
          <cell r="J134">
            <v>860267.37827290804</v>
          </cell>
        </row>
        <row r="135">
          <cell r="B135">
            <v>-0.1</v>
          </cell>
          <cell r="C135">
            <v>16.2</v>
          </cell>
          <cell r="D135">
            <v>-895950.66683987365</v>
          </cell>
          <cell r="E135">
            <v>-656239.38864438492</v>
          </cell>
          <cell r="F135">
            <v>-206780.7420278436</v>
          </cell>
          <cell r="G135">
            <v>92858.355716517428</v>
          </cell>
          <cell r="H135">
            <v>392497.45346087846</v>
          </cell>
          <cell r="I135">
            <v>841956.10007741931</v>
          </cell>
          <cell r="J135">
            <v>1081667.378272908</v>
          </cell>
        </row>
        <row r="136">
          <cell r="B136" t="str">
            <v>Expected</v>
          </cell>
          <cell r="C136">
            <v>18</v>
          </cell>
          <cell r="D136">
            <v>-672886.00518573844</v>
          </cell>
          <cell r="E136">
            <v>-406540.14052408398</v>
          </cell>
          <cell r="F136">
            <v>92858.355716517428</v>
          </cell>
          <cell r="G136">
            <v>425790.68654358503</v>
          </cell>
          <cell r="H136">
            <v>758723.01737065311</v>
          </cell>
          <cell r="I136">
            <v>1258121.5136112536</v>
          </cell>
          <cell r="J136">
            <v>1524467.378272908</v>
          </cell>
        </row>
        <row r="137">
          <cell r="B137">
            <v>0.1</v>
          </cell>
          <cell r="C137">
            <v>19.8</v>
          </cell>
          <cell r="D137">
            <v>-449821.34353160323</v>
          </cell>
          <cell r="E137">
            <v>-156840.89240378304</v>
          </cell>
          <cell r="F137">
            <v>392497.45346087846</v>
          </cell>
          <cell r="G137">
            <v>758723.01737065264</v>
          </cell>
          <cell r="H137">
            <v>1124948.5812804273</v>
          </cell>
          <cell r="I137">
            <v>1674286.9271450883</v>
          </cell>
          <cell r="J137">
            <v>1967267.378272909</v>
          </cell>
        </row>
        <row r="138">
          <cell r="B138">
            <v>0.25</v>
          </cell>
          <cell r="C138">
            <v>22.5</v>
          </cell>
          <cell r="D138">
            <v>-115224.35105040041</v>
          </cell>
          <cell r="E138">
            <v>217707.97977666766</v>
          </cell>
          <cell r="F138">
            <v>841956.10007741977</v>
          </cell>
          <cell r="G138">
            <v>1258121.5136112536</v>
          </cell>
          <cell r="H138">
            <v>1674286.9271450893</v>
          </cell>
          <cell r="I138">
            <v>2298535.0474458402</v>
          </cell>
          <cell r="J138">
            <v>2631467.3782729078</v>
          </cell>
        </row>
        <row r="139">
          <cell r="B139">
            <v>0.33</v>
          </cell>
          <cell r="C139">
            <v>23.94</v>
          </cell>
          <cell r="D139">
            <v>63227.378272908041</v>
          </cell>
          <cell r="E139">
            <v>417467.37827290851</v>
          </cell>
          <cell r="F139">
            <v>1081667.378272908</v>
          </cell>
          <cell r="G139">
            <v>1524467.378272908</v>
          </cell>
          <cell r="H139">
            <v>1967267.378272909</v>
          </cell>
          <cell r="I139">
            <v>2631467.3782729078</v>
          </cell>
          <cell r="J139">
            <v>2985707.3782729087</v>
          </cell>
        </row>
        <row r="144">
          <cell r="D144" t="str">
            <v>Returns Above Variable Costs at Different Feed Cost &amp; and Revenue Combinations</v>
          </cell>
        </row>
        <row r="145">
          <cell r="D145" t="str">
            <v>Change in Gross Revenue (Dollars) from Expected</v>
          </cell>
        </row>
        <row r="146">
          <cell r="D146">
            <v>-0.33</v>
          </cell>
          <cell r="E146">
            <v>-0.25</v>
          </cell>
          <cell r="F146">
            <v>-0.1</v>
          </cell>
          <cell r="G146" t="str">
            <v>Expected</v>
          </cell>
          <cell r="H146">
            <v>0.1</v>
          </cell>
          <cell r="I146">
            <v>0.25</v>
          </cell>
          <cell r="J146">
            <v>0.33</v>
          </cell>
        </row>
        <row r="147">
          <cell r="B147" t="str">
            <v>Change in Feed Costs (Dollars) from Expected</v>
          </cell>
          <cell r="D147">
            <v>2410533.0526315784</v>
          </cell>
          <cell r="E147">
            <v>2698357.8947368413</v>
          </cell>
          <cell r="F147">
            <v>3238029.4736842099</v>
          </cell>
          <cell r="G147">
            <v>3597810.5263157887</v>
          </cell>
          <cell r="H147">
            <v>3957591.5789473681</v>
          </cell>
          <cell r="I147">
            <v>4497263.1578947362</v>
          </cell>
          <cell r="J147">
            <v>4785087.9999999991</v>
          </cell>
        </row>
        <row r="148">
          <cell r="B148">
            <v>-0.25</v>
          </cell>
          <cell r="C148">
            <v>1090832.3684210526</v>
          </cell>
          <cell r="D148">
            <v>-16664.811127820052</v>
          </cell>
          <cell r="E148">
            <v>271160.03097744286</v>
          </cell>
          <cell r="F148">
            <v>810831.6099248114</v>
          </cell>
          <cell r="G148">
            <v>1170612.6625563903</v>
          </cell>
          <cell r="H148">
            <v>1530393.7151879696</v>
          </cell>
          <cell r="I148">
            <v>2070065.2941353377</v>
          </cell>
          <cell r="J148">
            <v>2357890.1362406006</v>
          </cell>
        </row>
        <row r="149">
          <cell r="B149">
            <v>-0.15</v>
          </cell>
          <cell r="C149">
            <v>1236276.6842105263</v>
          </cell>
          <cell r="D149">
            <v>-162109.12691729423</v>
          </cell>
          <cell r="E149">
            <v>125715.71518796869</v>
          </cell>
          <cell r="F149">
            <v>665387.29413533723</v>
          </cell>
          <cell r="G149">
            <v>1025168.3467669161</v>
          </cell>
          <cell r="H149">
            <v>1384949.3993984954</v>
          </cell>
          <cell r="I149">
            <v>1924620.9783458635</v>
          </cell>
          <cell r="J149">
            <v>2212445.8204511264</v>
          </cell>
        </row>
        <row r="150">
          <cell r="B150">
            <v>-0.1</v>
          </cell>
          <cell r="C150">
            <v>1308998.8421052631</v>
          </cell>
          <cell r="D150">
            <v>-234831.28481203085</v>
          </cell>
          <cell r="E150">
            <v>52993.557293232065</v>
          </cell>
          <cell r="F150">
            <v>592665.13624060061</v>
          </cell>
          <cell r="G150">
            <v>952446.18887217948</v>
          </cell>
          <cell r="H150">
            <v>1312227.2415037588</v>
          </cell>
          <cell r="I150">
            <v>1851898.8204511269</v>
          </cell>
          <cell r="J150">
            <v>2139723.6625563898</v>
          </cell>
        </row>
        <row r="151">
          <cell r="B151" t="str">
            <v>Expected</v>
          </cell>
          <cell r="C151">
            <v>1454443.1578947369</v>
          </cell>
          <cell r="D151">
            <v>-380275.60060150456</v>
          </cell>
          <cell r="E151">
            <v>-92450.758496241644</v>
          </cell>
          <cell r="F151">
            <v>447220.8204511269</v>
          </cell>
          <cell r="G151">
            <v>807001.87308270577</v>
          </cell>
          <cell r="H151">
            <v>1166782.9257142851</v>
          </cell>
          <cell r="I151">
            <v>1706454.5046616532</v>
          </cell>
          <cell r="J151">
            <v>1994279.3467669161</v>
          </cell>
        </row>
        <row r="152">
          <cell r="B152">
            <v>0.1</v>
          </cell>
          <cell r="C152">
            <v>1599887.4736842106</v>
          </cell>
          <cell r="D152">
            <v>-525719.91639097827</v>
          </cell>
          <cell r="E152">
            <v>-237895.07428571535</v>
          </cell>
          <cell r="F152">
            <v>301776.50466165319</v>
          </cell>
          <cell r="G152">
            <v>661557.55729323206</v>
          </cell>
          <cell r="H152">
            <v>1021338.6099248114</v>
          </cell>
          <cell r="I152">
            <v>1561010.1888721795</v>
          </cell>
          <cell r="J152">
            <v>1848835.0309774424</v>
          </cell>
        </row>
        <row r="153">
          <cell r="B153">
            <v>0.25</v>
          </cell>
          <cell r="C153">
            <v>1818053.9473684211</v>
          </cell>
          <cell r="D153">
            <v>-743886.39007518906</v>
          </cell>
          <cell r="E153">
            <v>-456061.54796992615</v>
          </cell>
          <cell r="F153">
            <v>83610.030977442395</v>
          </cell>
          <cell r="G153">
            <v>443391.08360902127</v>
          </cell>
          <cell r="H153">
            <v>803172.13624060061</v>
          </cell>
          <cell r="I153">
            <v>1342843.7151879687</v>
          </cell>
          <cell r="J153">
            <v>1630668.5572932316</v>
          </cell>
        </row>
        <row r="154">
          <cell r="B154">
            <v>0.33</v>
          </cell>
          <cell r="C154">
            <v>1934409.4000000001</v>
          </cell>
          <cell r="D154">
            <v>-860241.84270676784</v>
          </cell>
          <cell r="E154">
            <v>-572417.00060150493</v>
          </cell>
          <cell r="F154">
            <v>-32745.421654136386</v>
          </cell>
          <cell r="G154">
            <v>327035.63097744249</v>
          </cell>
          <cell r="H154">
            <v>686816.68360902183</v>
          </cell>
          <cell r="I154">
            <v>1226488.2625563899</v>
          </cell>
          <cell r="J154">
            <v>1514313.1046616528</v>
          </cell>
        </row>
        <row r="158">
          <cell r="D158" t="str">
            <v>Returns Above Total Costs at Different Feed Cost &amp; and Revenue Combinations</v>
          </cell>
        </row>
        <row r="159">
          <cell r="D159" t="str">
            <v>Change in Gross Revenue (Dollars) from Expected</v>
          </cell>
        </row>
        <row r="160">
          <cell r="D160">
            <v>-0.33</v>
          </cell>
          <cell r="E160">
            <v>-0.25</v>
          </cell>
          <cell r="F160">
            <v>-0.1</v>
          </cell>
          <cell r="G160" t="str">
            <v>Expected</v>
          </cell>
          <cell r="H160">
            <v>0.1</v>
          </cell>
          <cell r="I160">
            <v>0.25</v>
          </cell>
          <cell r="J160">
            <v>0.33</v>
          </cell>
        </row>
        <row r="161">
          <cell r="B161" t="str">
            <v>Change in Feed Costs (Dollars) from Expected</v>
          </cell>
          <cell r="D161">
            <v>2410533.0526315784</v>
          </cell>
          <cell r="E161">
            <v>2698357.8947368413</v>
          </cell>
          <cell r="F161">
            <v>3238029.4736842099</v>
          </cell>
          <cell r="G161">
            <v>3597810.5263157887</v>
          </cell>
          <cell r="H161">
            <v>3957591.5789473681</v>
          </cell>
          <cell r="I161">
            <v>4497263.1578947362</v>
          </cell>
          <cell r="J161">
            <v>4785087.9999999991</v>
          </cell>
        </row>
        <row r="162">
          <cell r="B162">
            <v>-0.25</v>
          </cell>
          <cell r="C162">
            <v>1090832.3684210526</v>
          </cell>
          <cell r="D162">
            <v>-397875.99766694079</v>
          </cell>
          <cell r="E162">
            <v>-110051.15556167788</v>
          </cell>
          <cell r="F162">
            <v>429620.42338569066</v>
          </cell>
          <cell r="G162">
            <v>789401.47601726954</v>
          </cell>
          <cell r="H162">
            <v>1149182.5286488489</v>
          </cell>
          <cell r="I162">
            <v>1688854.107596217</v>
          </cell>
          <cell r="J162">
            <v>1976678.9497014799</v>
          </cell>
        </row>
        <row r="163">
          <cell r="B163">
            <v>-0.15</v>
          </cell>
          <cell r="C163">
            <v>1236276.6842105263</v>
          </cell>
          <cell r="D163">
            <v>-543320.31345641497</v>
          </cell>
          <cell r="E163">
            <v>-255495.47135115205</v>
          </cell>
          <cell r="F163">
            <v>284176.10759621649</v>
          </cell>
          <cell r="G163">
            <v>643957.16022779536</v>
          </cell>
          <cell r="H163">
            <v>1003738.2128593747</v>
          </cell>
          <cell r="I163">
            <v>1543409.7918067428</v>
          </cell>
          <cell r="J163">
            <v>1831234.6339120057</v>
          </cell>
        </row>
        <row r="164">
          <cell r="B164">
            <v>-0.1</v>
          </cell>
          <cell r="C164">
            <v>1308998.8421052631</v>
          </cell>
          <cell r="D164">
            <v>-616042.47135115159</v>
          </cell>
          <cell r="E164">
            <v>-328217.62924588867</v>
          </cell>
          <cell r="F164">
            <v>211453.94970147987</v>
          </cell>
          <cell r="G164">
            <v>571235.00233305874</v>
          </cell>
          <cell r="H164">
            <v>931016.05496463808</v>
          </cell>
          <cell r="I164">
            <v>1470687.6339120062</v>
          </cell>
          <cell r="J164">
            <v>1758512.4760172691</v>
          </cell>
        </row>
        <row r="165">
          <cell r="B165" t="str">
            <v>Expected</v>
          </cell>
          <cell r="C165">
            <v>1454443.1578947369</v>
          </cell>
          <cell r="D165">
            <v>-761486.7871406253</v>
          </cell>
          <cell r="E165">
            <v>-473661.94503536238</v>
          </cell>
          <cell r="F165">
            <v>66009.63391200616</v>
          </cell>
          <cell r="G165">
            <v>425790.68654358503</v>
          </cell>
          <cell r="H165">
            <v>785571.73917516437</v>
          </cell>
          <cell r="I165">
            <v>1325243.3181225325</v>
          </cell>
          <cell r="J165">
            <v>1613068.1602277954</v>
          </cell>
        </row>
        <row r="166">
          <cell r="B166">
            <v>0.1</v>
          </cell>
          <cell r="C166">
            <v>1599887.4736842106</v>
          </cell>
          <cell r="D166">
            <v>-906931.102930099</v>
          </cell>
          <cell r="E166">
            <v>-619106.26082483609</v>
          </cell>
          <cell r="F166">
            <v>-79434.681877467548</v>
          </cell>
          <cell r="G166">
            <v>280346.37075411133</v>
          </cell>
          <cell r="H166">
            <v>640127.42338569066</v>
          </cell>
          <cell r="I166">
            <v>1179799.0023330587</v>
          </cell>
          <cell r="J166">
            <v>1467623.8444383217</v>
          </cell>
        </row>
        <row r="167">
          <cell r="B167">
            <v>0.25</v>
          </cell>
          <cell r="C167">
            <v>1818053.9473684211</v>
          </cell>
          <cell r="D167">
            <v>-1125097.5766143098</v>
          </cell>
          <cell r="E167">
            <v>-837272.73450904689</v>
          </cell>
          <cell r="F167">
            <v>-297601.15556167834</v>
          </cell>
          <cell r="G167">
            <v>62179.897069900529</v>
          </cell>
          <cell r="H167">
            <v>421960.94970147987</v>
          </cell>
          <cell r="I167">
            <v>961632.52864884795</v>
          </cell>
          <cell r="J167">
            <v>1249457.3707541109</v>
          </cell>
        </row>
        <row r="168">
          <cell r="B168">
            <v>0.33</v>
          </cell>
          <cell r="C168">
            <v>1934409.4000000001</v>
          </cell>
          <cell r="D168">
            <v>-1241453.0292458886</v>
          </cell>
          <cell r="E168">
            <v>-953628.18714062567</v>
          </cell>
          <cell r="F168">
            <v>-413956.60819325713</v>
          </cell>
          <cell r="G168">
            <v>-54175.555561678251</v>
          </cell>
          <cell r="H168">
            <v>305605.49706990109</v>
          </cell>
          <cell r="I168">
            <v>845277.07601726917</v>
          </cell>
          <cell r="J168">
            <v>1133101.9181225321</v>
          </cell>
        </row>
      </sheetData>
      <sheetData sheetId="2">
        <row r="45">
          <cell r="C45" t="str">
            <v>TOTAL TRACTORS, IMPLEMENTS, AND TRUCKS</v>
          </cell>
          <cell r="G45">
            <v>1000000</v>
          </cell>
          <cell r="H45">
            <v>200000</v>
          </cell>
          <cell r="J45">
            <v>150857.14285714287</v>
          </cell>
        </row>
        <row r="47">
          <cell r="C47" t="str">
            <v>LAND</v>
          </cell>
        </row>
        <row r="48">
          <cell r="C48" t="str">
            <v xml:space="preserve">LAND </v>
          </cell>
          <cell r="E48">
            <v>750</v>
          </cell>
          <cell r="F48">
            <v>1500</v>
          </cell>
          <cell r="G48">
            <v>1125000</v>
          </cell>
          <cell r="H48">
            <v>0</v>
          </cell>
          <cell r="J48">
            <v>0</v>
          </cell>
        </row>
        <row r="50">
          <cell r="C50" t="str">
            <v>GRAND TOTAL</v>
          </cell>
          <cell r="G50">
            <v>8138367.7443609014</v>
          </cell>
        </row>
        <row r="52">
          <cell r="C52" t="str">
            <v>TOTALS FOR FIXED COSTS</v>
          </cell>
        </row>
        <row r="53">
          <cell r="C53" t="str">
            <v>Average Livestock Investment</v>
          </cell>
          <cell r="F53">
            <v>1474423.8721804509</v>
          </cell>
        </row>
        <row r="54">
          <cell r="C54" t="str">
            <v>Interest on Average Livestock Investment</v>
          </cell>
          <cell r="F54">
            <v>0.08</v>
          </cell>
        </row>
        <row r="55">
          <cell r="C55" t="str">
            <v>Total Livestock Fixed Cost</v>
          </cell>
          <cell r="F55">
            <v>117953.90977443608</v>
          </cell>
        </row>
        <row r="57">
          <cell r="C57" t="str">
            <v>Average Buildings &amp; Facilities Investment</v>
          </cell>
          <cell r="F57">
            <v>1674000</v>
          </cell>
        </row>
        <row r="58">
          <cell r="C58" t="str">
            <v>Interest on Average buildings &amp; Facilities Investment</v>
          </cell>
          <cell r="F58">
            <v>0.08</v>
          </cell>
          <cell r="H58" t="str">
            <v/>
          </cell>
          <cell r="J58" t="str">
            <v/>
          </cell>
        </row>
        <row r="59">
          <cell r="C59" t="str">
            <v>Total Buildings &amp; Facilities Fixed Cost</v>
          </cell>
          <cell r="F59">
            <v>323336.66666666663</v>
          </cell>
        </row>
        <row r="61">
          <cell r="C61" t="str">
            <v>Average Waste Management Investment</v>
          </cell>
          <cell r="F61">
            <v>164712</v>
          </cell>
        </row>
        <row r="62">
          <cell r="C62" t="str">
            <v>Interest on Average buildings &amp; Facilities Investment</v>
          </cell>
          <cell r="F62">
            <v>0.08</v>
          </cell>
          <cell r="H62" t="str">
            <v/>
          </cell>
          <cell r="J62" t="str">
            <v/>
          </cell>
        </row>
        <row r="63">
          <cell r="C63" t="str">
            <v>Total Waste Management System  Fixed Cost</v>
          </cell>
          <cell r="F63">
            <v>31962.483809523808</v>
          </cell>
        </row>
        <row r="65">
          <cell r="C65" t="str">
            <v>Average Tractors, Implements &amp; Trucks Investment</v>
          </cell>
          <cell r="F65">
            <v>600000</v>
          </cell>
        </row>
        <row r="66">
          <cell r="C66" t="str">
            <v>Interest on Tractors, Implements &amp; Trucks Investment</v>
          </cell>
          <cell r="F66">
            <v>0.08</v>
          </cell>
          <cell r="H66" t="str">
            <v/>
          </cell>
          <cell r="J66" t="str">
            <v/>
          </cell>
        </row>
        <row r="67">
          <cell r="C67" t="str">
            <v>Total Tractors, Implements, &amp; Trucks Fixed Cost</v>
          </cell>
          <cell r="F67">
            <v>198857.14285714287</v>
          </cell>
        </row>
        <row r="68"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J68" t="str">
            <v/>
          </cell>
        </row>
        <row r="69">
          <cell r="C69" t="str">
            <v>Land Investment</v>
          </cell>
          <cell r="F69">
            <v>1125000</v>
          </cell>
        </row>
        <row r="70">
          <cell r="C70" t="str">
            <v>Interest on Land Investment</v>
          </cell>
          <cell r="F70">
            <v>0</v>
          </cell>
        </row>
        <row r="71">
          <cell r="C71" t="str">
            <v>Total Land Fixed Cost</v>
          </cell>
          <cell r="F71">
            <v>0</v>
          </cell>
        </row>
        <row r="73">
          <cell r="C73" t="str">
            <v>TOTAL ANNUAL FIXED COSTS</v>
          </cell>
          <cell r="F73">
            <v>672110.20310776937</v>
          </cell>
        </row>
        <row r="75">
          <cell r="C75" t="str">
            <v xml:space="preserve"> LIVESTOCK NOT DEPRECIATED SINCE EXPENSES HAVE BEEN EXPENSED.</v>
          </cell>
        </row>
      </sheetData>
      <sheetData sheetId="3"/>
      <sheetData sheetId="4">
        <row r="45">
          <cell r="B45" t="str">
            <v>TRACTORS, FIELD EQUIPMENT, &amp; TRUCKS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Main"/>
      <sheetName val="Fixed_Cost"/>
      <sheetName val="Fixed_Payment"/>
      <sheetName val="E"/>
      <sheetName val="F"/>
      <sheetName val="G"/>
      <sheetName val="H"/>
      <sheetName val="I"/>
      <sheetName val="J"/>
    </sheetNames>
    <sheetDataSet>
      <sheetData sheetId="0">
        <row r="4">
          <cell r="B4" t="str">
            <v>WELCOME TO THE WINTER</v>
          </cell>
        </row>
      </sheetData>
      <sheetData sheetId="1">
        <row r="5">
          <cell r="B5" t="str">
            <v>University of Georgia Cooperative Extension service</v>
          </cell>
        </row>
      </sheetData>
      <sheetData sheetId="2">
        <row r="4">
          <cell r="B4" t="str">
            <v>(Check All Higlighted Entries this Page)</v>
          </cell>
        </row>
        <row r="44">
          <cell r="J44">
            <v>72.486399999999989</v>
          </cell>
        </row>
      </sheetData>
      <sheetData sheetId="3">
        <row r="4">
          <cell r="B4" t="str">
            <v>(Check All Highlighted Entries this Page)</v>
          </cell>
        </row>
        <row r="45">
          <cell r="J45">
            <v>61.151408955241287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0C0C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0C0C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2:I22"/>
  <sheetViews>
    <sheetView showGridLines="0" showRowColHeaders="0" workbookViewId="0">
      <selection activeCell="A3" sqref="A3"/>
    </sheetView>
  </sheetViews>
  <sheetFormatPr defaultColWidth="8.44140625" defaultRowHeight="13.2" x14ac:dyDescent="0.25"/>
  <cols>
    <col min="1" max="1" width="8.44140625" style="1" customWidth="1"/>
    <col min="2" max="2" width="8.6640625" style="1" customWidth="1"/>
    <col min="3" max="3" width="11" style="1" customWidth="1"/>
    <col min="4" max="4" width="11.6640625" style="1" customWidth="1"/>
    <col min="5" max="5" width="8.6640625" style="1" customWidth="1"/>
    <col min="6" max="6" width="1.6640625" style="1" customWidth="1"/>
    <col min="7" max="9" width="12.6640625" style="1" customWidth="1"/>
    <col min="10" max="16384" width="8.44140625" style="1"/>
  </cols>
  <sheetData>
    <row r="2" spans="2:9" ht="13.8" thickBot="1" x14ac:dyDescent="0.3"/>
    <row r="3" spans="2:9" ht="14.4" thickTop="1" thickBot="1" x14ac:dyDescent="0.3">
      <c r="B3" s="62"/>
      <c r="C3" s="63"/>
      <c r="D3" s="63"/>
      <c r="E3" s="64"/>
    </row>
    <row r="4" spans="2:9" ht="16.2" thickTop="1" x14ac:dyDescent="0.3">
      <c r="B4" s="65" t="s">
        <v>216</v>
      </c>
      <c r="C4" s="66"/>
      <c r="D4" s="67"/>
      <c r="E4" s="68"/>
      <c r="G4" s="52"/>
      <c r="H4" s="53" t="s">
        <v>167</v>
      </c>
      <c r="I4" s="54"/>
    </row>
    <row r="5" spans="2:9" x14ac:dyDescent="0.25">
      <c r="B5" s="69"/>
      <c r="C5" s="67" t="s">
        <v>156</v>
      </c>
      <c r="D5" s="67"/>
      <c r="E5" s="68"/>
      <c r="G5" s="55"/>
      <c r="H5" s="56"/>
      <c r="I5" s="57"/>
    </row>
    <row r="6" spans="2:9" ht="14.4" thickBot="1" x14ac:dyDescent="0.3">
      <c r="B6" s="70"/>
      <c r="C6" s="67"/>
      <c r="D6" s="67"/>
      <c r="E6" s="68"/>
      <c r="G6" s="58" t="s">
        <v>168</v>
      </c>
      <c r="H6" s="56"/>
      <c r="I6" s="57"/>
    </row>
    <row r="7" spans="2:9" ht="14.4" thickTop="1" x14ac:dyDescent="0.25">
      <c r="B7" s="70"/>
      <c r="C7" s="89" t="s">
        <v>157</v>
      </c>
      <c r="D7" s="90" t="s">
        <v>163</v>
      </c>
      <c r="E7" s="70"/>
      <c r="F7" s="88"/>
      <c r="G7" s="58" t="s">
        <v>169</v>
      </c>
      <c r="H7" s="56"/>
      <c r="I7" s="57"/>
    </row>
    <row r="8" spans="2:9" ht="14.4" thickBot="1" x14ac:dyDescent="0.3">
      <c r="B8" s="70"/>
      <c r="C8" s="91" t="s">
        <v>158</v>
      </c>
      <c r="D8" s="92"/>
      <c r="E8" s="70"/>
      <c r="F8" s="88"/>
      <c r="G8" s="58" t="s">
        <v>170</v>
      </c>
      <c r="H8" s="56"/>
      <c r="I8" s="57"/>
    </row>
    <row r="9" spans="2:9" ht="14.4" thickTop="1" thickBot="1" x14ac:dyDescent="0.3">
      <c r="B9" s="70"/>
      <c r="C9" s="71"/>
      <c r="D9" s="72"/>
      <c r="E9" s="70"/>
      <c r="F9" s="88"/>
      <c r="G9" s="59"/>
      <c r="H9" s="60"/>
      <c r="I9" s="61"/>
    </row>
    <row r="10" spans="2:9" ht="14.4" thickTop="1" thickBot="1" x14ac:dyDescent="0.3">
      <c r="B10" s="70"/>
      <c r="C10" s="93" t="s">
        <v>22</v>
      </c>
      <c r="D10" s="73" t="s">
        <v>159</v>
      </c>
      <c r="E10" s="70"/>
      <c r="F10" s="88"/>
    </row>
    <row r="11" spans="2:9" ht="16.8" thickTop="1" thickBot="1" x14ac:dyDescent="0.35">
      <c r="B11" s="70"/>
      <c r="C11" s="94" t="s">
        <v>142</v>
      </c>
      <c r="D11" s="74"/>
      <c r="E11" s="70"/>
      <c r="F11" s="88"/>
      <c r="G11" s="52"/>
      <c r="H11" s="53" t="s">
        <v>214</v>
      </c>
      <c r="I11" s="54"/>
    </row>
    <row r="12" spans="2:9" ht="14.4" thickTop="1" thickBot="1" x14ac:dyDescent="0.3">
      <c r="B12" s="70"/>
      <c r="C12" s="75"/>
      <c r="D12" s="76"/>
      <c r="E12" s="70"/>
      <c r="F12" s="88"/>
      <c r="G12" s="55"/>
      <c r="H12" s="56"/>
      <c r="I12" s="57"/>
    </row>
    <row r="13" spans="2:9" ht="14.4" thickTop="1" x14ac:dyDescent="0.25">
      <c r="B13" s="70"/>
      <c r="C13" s="93" t="s">
        <v>160</v>
      </c>
      <c r="D13" s="77"/>
      <c r="E13" s="70"/>
      <c r="F13" s="88"/>
      <c r="G13" s="58" t="s">
        <v>215</v>
      </c>
      <c r="H13" s="56"/>
      <c r="I13" s="57"/>
    </row>
    <row r="14" spans="2:9" ht="14.4" thickBot="1" x14ac:dyDescent="0.3">
      <c r="B14" s="70"/>
      <c r="C14" s="94" t="s">
        <v>161</v>
      </c>
      <c r="D14" s="74"/>
      <c r="E14" s="70"/>
      <c r="F14" s="88"/>
      <c r="G14" s="58" t="s">
        <v>217</v>
      </c>
      <c r="H14" s="56"/>
      <c r="I14" s="57"/>
    </row>
    <row r="15" spans="2:9" ht="15" thickTop="1" thickBot="1" x14ac:dyDescent="0.3">
      <c r="B15" s="70"/>
      <c r="C15" s="75"/>
      <c r="D15" s="76"/>
      <c r="E15" s="70"/>
      <c r="F15" s="88"/>
      <c r="G15" s="58" t="s">
        <v>218</v>
      </c>
      <c r="H15" s="56"/>
      <c r="I15" s="57"/>
    </row>
    <row r="16" spans="2:9" ht="14.4" thickTop="1" thickBot="1" x14ac:dyDescent="0.3">
      <c r="B16" s="70"/>
      <c r="C16" s="95" t="s">
        <v>162</v>
      </c>
      <c r="D16" s="78"/>
      <c r="E16" s="70"/>
      <c r="F16" s="88"/>
      <c r="G16" s="59"/>
      <c r="H16" s="60"/>
      <c r="I16" s="61"/>
    </row>
    <row r="17" spans="2:6" ht="14.4" thickTop="1" thickBot="1" x14ac:dyDescent="0.3">
      <c r="B17" s="70"/>
      <c r="C17" s="94" t="s">
        <v>142</v>
      </c>
      <c r="D17" s="74"/>
      <c r="E17" s="70"/>
      <c r="F17" s="88"/>
    </row>
    <row r="18" spans="2:6" ht="13.8" thickTop="1" x14ac:dyDescent="0.25">
      <c r="B18" s="70"/>
      <c r="C18" s="79"/>
      <c r="D18" s="79"/>
      <c r="E18" s="80"/>
    </row>
    <row r="19" spans="2:6" x14ac:dyDescent="0.25">
      <c r="B19" s="81"/>
      <c r="C19" s="87" t="s">
        <v>171</v>
      </c>
      <c r="D19" s="82"/>
      <c r="E19" s="80"/>
    </row>
    <row r="20" spans="2:6" x14ac:dyDescent="0.25">
      <c r="B20" s="83"/>
      <c r="C20" s="87" t="s">
        <v>172</v>
      </c>
      <c r="D20" s="82"/>
      <c r="E20" s="80"/>
    </row>
    <row r="21" spans="2:6" ht="13.8" thickBot="1" x14ac:dyDescent="0.3">
      <c r="B21" s="84"/>
      <c r="C21" s="85"/>
      <c r="D21" s="85"/>
      <c r="E21" s="86"/>
    </row>
    <row r="22" spans="2:6" ht="13.8" thickTop="1" x14ac:dyDescent="0.25"/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J12"/>
  <sheetViews>
    <sheetView workbookViewId="0">
      <selection activeCell="F7" sqref="F7"/>
    </sheetView>
  </sheetViews>
  <sheetFormatPr defaultColWidth="8.44140625" defaultRowHeight="13.2" x14ac:dyDescent="0.25"/>
  <cols>
    <col min="1" max="1" width="5" style="115" customWidth="1"/>
    <col min="2" max="2" width="8.44140625" style="115" customWidth="1"/>
    <col min="3" max="3" width="17.33203125" style="115" customWidth="1"/>
    <col min="4" max="4" width="8.5546875" style="115" customWidth="1"/>
    <col min="5" max="5" width="12.5546875" style="115" customWidth="1"/>
    <col min="6" max="7" width="12.6640625" style="115" customWidth="1"/>
    <col min="8" max="16384" width="8.44140625" style="115"/>
  </cols>
  <sheetData>
    <row r="1" spans="1:10" x14ac:dyDescent="0.25">
      <c r="A1" s="116"/>
      <c r="B1" s="116"/>
      <c r="C1" s="116"/>
      <c r="D1" s="116"/>
      <c r="E1" s="116"/>
      <c r="F1" s="117"/>
      <c r="G1" s="117"/>
    </row>
    <row r="2" spans="1:10" x14ac:dyDescent="0.25">
      <c r="A2" s="116"/>
      <c r="B2" s="116"/>
      <c r="C2" s="116"/>
      <c r="D2" s="116"/>
      <c r="E2" s="116"/>
      <c r="F2" s="117"/>
      <c r="G2" s="117"/>
    </row>
    <row r="3" spans="1:10" x14ac:dyDescent="0.25">
      <c r="A3" s="440" t="s">
        <v>223</v>
      </c>
      <c r="B3" s="440"/>
      <c r="C3" s="440"/>
      <c r="D3" s="440"/>
      <c r="E3" s="440"/>
      <c r="F3" s="440"/>
      <c r="G3" s="440"/>
      <c r="H3" s="441" t="s">
        <v>221</v>
      </c>
      <c r="I3" s="441"/>
      <c r="J3" s="441"/>
    </row>
    <row r="4" spans="1:10" ht="13.8" thickBot="1" x14ac:dyDescent="0.3">
      <c r="A4" s="148"/>
      <c r="B4" s="148"/>
      <c r="C4" s="148"/>
      <c r="D4" s="148"/>
      <c r="E4" s="148"/>
      <c r="F4" s="148"/>
      <c r="G4" s="148"/>
    </row>
    <row r="5" spans="1:10" ht="13.8" thickBot="1" x14ac:dyDescent="0.3">
      <c r="A5" s="242" t="s">
        <v>107</v>
      </c>
      <c r="B5" s="243"/>
      <c r="C5" s="243"/>
      <c r="D5" s="244" t="s">
        <v>23</v>
      </c>
      <c r="E5" s="244" t="s">
        <v>24</v>
      </c>
      <c r="F5" s="244" t="s">
        <v>25</v>
      </c>
      <c r="G5" s="245" t="s">
        <v>26</v>
      </c>
    </row>
    <row r="6" spans="1:10" x14ac:dyDescent="0.25">
      <c r="A6" s="439" t="s">
        <v>400</v>
      </c>
      <c r="B6" s="439"/>
      <c r="C6" s="439"/>
      <c r="D6" s="149" t="s">
        <v>224</v>
      </c>
      <c r="E6" s="157">
        <f>+Main!C103*Main!G103</f>
        <v>575.26081250000016</v>
      </c>
      <c r="F6" s="246">
        <v>0.03</v>
      </c>
      <c r="G6" s="157">
        <f>+F6*E6</f>
        <v>17.257824375000006</v>
      </c>
    </row>
    <row r="7" spans="1:10" x14ac:dyDescent="0.25">
      <c r="A7" s="439" t="s">
        <v>399</v>
      </c>
      <c r="B7" s="439"/>
      <c r="C7" s="439"/>
      <c r="D7" s="149" t="s">
        <v>225</v>
      </c>
      <c r="E7" s="247">
        <v>1</v>
      </c>
      <c r="F7" s="247">
        <v>1</v>
      </c>
      <c r="G7" s="150">
        <f>+F7*E7</f>
        <v>1</v>
      </c>
    </row>
    <row r="8" spans="1:10" x14ac:dyDescent="0.25">
      <c r="A8" s="442" t="s">
        <v>398</v>
      </c>
      <c r="B8" s="442"/>
      <c r="C8" s="442"/>
      <c r="D8" s="148" t="s">
        <v>222</v>
      </c>
      <c r="E8" s="247">
        <v>100</v>
      </c>
      <c r="F8" s="247">
        <v>2.5</v>
      </c>
      <c r="G8" s="150">
        <f>+(E8*F8)/24</f>
        <v>10.416666666666666</v>
      </c>
    </row>
    <row r="9" spans="1:10" x14ac:dyDescent="0.25">
      <c r="A9" s="442" t="s">
        <v>397</v>
      </c>
      <c r="B9" s="442"/>
      <c r="C9" s="442"/>
      <c r="D9" s="148" t="s">
        <v>379</v>
      </c>
      <c r="E9" s="247">
        <v>1</v>
      </c>
      <c r="F9" s="247">
        <v>1</v>
      </c>
      <c r="G9" s="157">
        <f>+F9*E9</f>
        <v>1</v>
      </c>
    </row>
    <row r="10" spans="1:10" x14ac:dyDescent="0.25">
      <c r="A10" s="442" t="s">
        <v>176</v>
      </c>
      <c r="B10" s="442"/>
      <c r="C10" s="442"/>
      <c r="D10" s="148" t="s">
        <v>379</v>
      </c>
      <c r="E10" s="247">
        <v>1</v>
      </c>
      <c r="F10" s="247">
        <v>1</v>
      </c>
      <c r="G10" s="157">
        <f>+F10*E10</f>
        <v>1</v>
      </c>
    </row>
    <row r="11" spans="1:10" ht="13.8" thickBot="1" x14ac:dyDescent="0.3">
      <c r="A11" s="439"/>
      <c r="B11" s="439"/>
      <c r="C11" s="439"/>
      <c r="D11" s="148"/>
      <c r="E11" s="148"/>
      <c r="F11" s="148"/>
      <c r="G11" s="148"/>
    </row>
    <row r="12" spans="1:10" ht="13.8" thickBot="1" x14ac:dyDescent="0.3">
      <c r="A12" s="437" t="s">
        <v>226</v>
      </c>
      <c r="B12" s="438"/>
      <c r="C12" s="438"/>
      <c r="D12" s="248"/>
      <c r="E12" s="248"/>
      <c r="F12" s="248"/>
      <c r="G12" s="249">
        <f>+SUM(G6:G10)</f>
        <v>30.67449104166667</v>
      </c>
    </row>
  </sheetData>
  <sheetProtection sheet="1" objects="1" scenarios="1"/>
  <mergeCells count="9">
    <mergeCell ref="A12:C12"/>
    <mergeCell ref="A6:C6"/>
    <mergeCell ref="A3:G3"/>
    <mergeCell ref="H3:J3"/>
    <mergeCell ref="A7:C7"/>
    <mergeCell ref="A10:C10"/>
    <mergeCell ref="A11:C11"/>
    <mergeCell ref="A8:C8"/>
    <mergeCell ref="A9:C9"/>
  </mergeCells>
  <phoneticPr fontId="0" type="noConversion"/>
  <hyperlinks>
    <hyperlink ref="H3:J3" location="Main!A70" display="Return to Main Budget"/>
  </hyperlinks>
  <printOptions horizontalCentered="1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pageSetUpPr fitToPage="1"/>
  </sheetPr>
  <dimension ref="B1:N49"/>
  <sheetViews>
    <sheetView workbookViewId="0">
      <selection activeCell="E29" sqref="E29"/>
    </sheetView>
  </sheetViews>
  <sheetFormatPr defaultColWidth="8.44140625" defaultRowHeight="13.2" x14ac:dyDescent="0.25"/>
  <cols>
    <col min="1" max="1" width="19.44140625" style="119" customWidth="1"/>
    <col min="2" max="2" width="15.6640625" style="119" customWidth="1"/>
    <col min="3" max="3" width="14.88671875" style="119" customWidth="1"/>
    <col min="4" max="4" width="19" style="119" customWidth="1"/>
    <col min="5" max="5" width="13.44140625" style="119" customWidth="1"/>
    <col min="6" max="6" width="14.109375" style="119" customWidth="1"/>
    <col min="7" max="7" width="12.44140625" style="119" customWidth="1"/>
    <col min="8" max="8" width="8.5546875" style="119" customWidth="1"/>
    <col min="9" max="9" width="13.6640625" style="119" customWidth="1"/>
    <col min="10" max="10" width="11.44140625" style="119" customWidth="1"/>
    <col min="11" max="11" width="13.6640625" style="119" customWidth="1"/>
    <col min="12" max="12" width="8.44140625" style="119" customWidth="1"/>
    <col min="13" max="13" width="11.33203125" style="119" customWidth="1"/>
    <col min="14" max="14" width="14.33203125" style="119" customWidth="1"/>
    <col min="15" max="16384" width="8.44140625" style="119"/>
  </cols>
  <sheetData>
    <row r="1" spans="2:14" x14ac:dyDescent="0.25">
      <c r="C1" s="120"/>
    </row>
    <row r="3" spans="2:14" x14ac:dyDescent="0.25">
      <c r="B3" s="448" t="s">
        <v>263</v>
      </c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</row>
    <row r="4" spans="2:14" x14ac:dyDescent="0.25">
      <c r="B4" s="178"/>
      <c r="C4" s="178"/>
      <c r="D4" s="178"/>
      <c r="E4" s="178"/>
      <c r="F4" s="178"/>
      <c r="G4" s="178"/>
      <c r="H4" s="178"/>
      <c r="I4" s="178"/>
      <c r="J4" s="179" t="s">
        <v>1</v>
      </c>
      <c r="K4" s="178"/>
      <c r="L4" s="178"/>
      <c r="M4" s="178"/>
      <c r="N4" s="178"/>
    </row>
    <row r="5" spans="2:14" x14ac:dyDescent="0.25">
      <c r="B5" s="436" t="s">
        <v>221</v>
      </c>
      <c r="C5" s="436"/>
      <c r="D5" s="178"/>
      <c r="E5" s="178"/>
      <c r="F5" s="178"/>
      <c r="G5" s="178"/>
      <c r="H5" s="178"/>
      <c r="I5" s="178"/>
      <c r="J5" s="179"/>
      <c r="K5" s="178"/>
      <c r="L5" s="178"/>
      <c r="M5" s="178"/>
      <c r="N5" s="178"/>
    </row>
    <row r="6" spans="2:14" ht="39.6" x14ac:dyDescent="0.25">
      <c r="B6" s="449" t="s">
        <v>173</v>
      </c>
      <c r="C6" s="449"/>
      <c r="D6" s="180" t="s">
        <v>264</v>
      </c>
      <c r="E6" s="180" t="s">
        <v>181</v>
      </c>
      <c r="F6" s="180" t="s">
        <v>182</v>
      </c>
      <c r="G6" s="180" t="s">
        <v>265</v>
      </c>
      <c r="H6" s="180" t="s">
        <v>266</v>
      </c>
      <c r="I6" s="180" t="s">
        <v>267</v>
      </c>
      <c r="J6" s="180" t="s">
        <v>268</v>
      </c>
      <c r="K6" s="180" t="s">
        <v>269</v>
      </c>
      <c r="L6" s="180" t="s">
        <v>270</v>
      </c>
      <c r="M6" s="180" t="s">
        <v>271</v>
      </c>
      <c r="N6" s="180" t="s">
        <v>272</v>
      </c>
    </row>
    <row r="7" spans="2:14" x14ac:dyDescent="0.25">
      <c r="B7" s="450" t="s">
        <v>273</v>
      </c>
      <c r="C7" s="4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</row>
    <row r="8" spans="2:14" x14ac:dyDescent="0.25">
      <c r="B8" s="446" t="s">
        <v>406</v>
      </c>
      <c r="C8" s="446"/>
      <c r="D8" s="279">
        <v>70</v>
      </c>
      <c r="E8" s="282">
        <v>700</v>
      </c>
      <c r="F8" s="252">
        <f>D8*E8</f>
        <v>49000</v>
      </c>
      <c r="G8" s="288">
        <f>+((cow_wt*cow_price)*(100%-cow_death))*D8</f>
        <v>49048.999999999993</v>
      </c>
      <c r="H8" s="447" t="s">
        <v>410</v>
      </c>
      <c r="I8" s="447"/>
      <c r="J8" s="285">
        <v>0</v>
      </c>
      <c r="K8" s="283">
        <f>+J8*F8</f>
        <v>0</v>
      </c>
      <c r="L8" s="286">
        <v>0.08</v>
      </c>
      <c r="M8" s="287">
        <v>7</v>
      </c>
      <c r="N8" s="253">
        <f>-PMT(L8,M8,K8)</f>
        <v>0</v>
      </c>
    </row>
    <row r="9" spans="2:14" x14ac:dyDescent="0.25">
      <c r="B9" s="446" t="s">
        <v>407</v>
      </c>
      <c r="C9" s="446"/>
      <c r="D9" s="279">
        <v>0</v>
      </c>
      <c r="E9" s="282">
        <v>750</v>
      </c>
      <c r="F9" s="252">
        <f>D9*E9</f>
        <v>0</v>
      </c>
      <c r="G9" s="288">
        <f>+((cow_wt*cow_price)*(100%-cow_death))*D9</f>
        <v>0</v>
      </c>
      <c r="H9" s="289">
        <f>1/cow_cull</f>
        <v>6.666666666666667</v>
      </c>
      <c r="I9" s="252">
        <f>+(F9-G9)/H9</f>
        <v>0</v>
      </c>
      <c r="J9" s="285">
        <v>0.5</v>
      </c>
      <c r="K9" s="283">
        <f>+J9*F9</f>
        <v>0</v>
      </c>
      <c r="L9" s="286">
        <v>0.08</v>
      </c>
      <c r="M9" s="287">
        <v>5</v>
      </c>
      <c r="N9" s="253">
        <f>-PMT(L9,M9,K9)</f>
        <v>0</v>
      </c>
    </row>
    <row r="10" spans="2:14" ht="13.8" thickBot="1" x14ac:dyDescent="0.3">
      <c r="B10" s="446" t="s">
        <v>288</v>
      </c>
      <c r="C10" s="446"/>
      <c r="D10" s="279">
        <v>3</v>
      </c>
      <c r="E10" s="282">
        <v>2500</v>
      </c>
      <c r="F10" s="252">
        <f>D10*E10</f>
        <v>7500</v>
      </c>
      <c r="G10" s="288">
        <f>+(bull_wt*bull_price)*bulls</f>
        <v>3240</v>
      </c>
      <c r="H10" s="289">
        <f>1/bull_cull</f>
        <v>4</v>
      </c>
      <c r="I10" s="252">
        <f>+(F10-G10)/H10</f>
        <v>1065</v>
      </c>
      <c r="J10" s="285">
        <v>0.25</v>
      </c>
      <c r="K10" s="283">
        <f>+J10*F10</f>
        <v>1875</v>
      </c>
      <c r="L10" s="286">
        <v>0.08</v>
      </c>
      <c r="M10" s="287">
        <v>5</v>
      </c>
      <c r="N10" s="253">
        <f>-PMT(L10,M10,K10)</f>
        <v>469.60585231281863</v>
      </c>
    </row>
    <row r="11" spans="2:14" ht="13.8" thickBot="1" x14ac:dyDescent="0.3">
      <c r="B11" s="444" t="s">
        <v>274</v>
      </c>
      <c r="C11" s="445"/>
      <c r="D11" s="254"/>
      <c r="E11" s="255"/>
      <c r="F11" s="181">
        <f>+SUM(F8:F10)</f>
        <v>56500</v>
      </c>
      <c r="G11" s="181">
        <f>+SUM(G8:G10)</f>
        <v>52288.999999999993</v>
      </c>
      <c r="H11" s="181"/>
      <c r="I11" s="256">
        <f>+SUM(I8:I10)</f>
        <v>1065</v>
      </c>
      <c r="J11" s="257"/>
      <c r="K11" s="258">
        <f>+SUM(K8:K10)</f>
        <v>1875</v>
      </c>
      <c r="L11" s="259"/>
      <c r="M11" s="259"/>
      <c r="N11" s="182">
        <f>SUM(N8:N10)</f>
        <v>469.60585231281863</v>
      </c>
    </row>
    <row r="12" spans="2:14" x14ac:dyDescent="0.25">
      <c r="B12" s="260"/>
      <c r="C12" s="260"/>
      <c r="D12" s="261"/>
      <c r="E12" s="262"/>
      <c r="F12" s="263"/>
      <c r="G12" s="263"/>
      <c r="H12" s="262"/>
      <c r="I12" s="263"/>
      <c r="J12" s="264"/>
      <c r="K12" s="250"/>
      <c r="L12" s="250"/>
      <c r="M12" s="250"/>
      <c r="N12" s="250"/>
    </row>
    <row r="13" spans="2:14" x14ac:dyDescent="0.25">
      <c r="B13" s="443" t="s">
        <v>275</v>
      </c>
      <c r="C13" s="443"/>
      <c r="D13" s="261"/>
      <c r="E13" s="262"/>
      <c r="F13" s="263"/>
      <c r="G13" s="263"/>
      <c r="H13" s="262"/>
      <c r="I13" s="263"/>
      <c r="J13" s="264"/>
      <c r="K13" s="250"/>
      <c r="L13" s="250"/>
      <c r="M13" s="250"/>
      <c r="N13" s="250"/>
    </row>
    <row r="14" spans="2:14" x14ac:dyDescent="0.25">
      <c r="B14" s="264" t="s">
        <v>289</v>
      </c>
      <c r="C14" s="264"/>
      <c r="D14" s="280">
        <f>+(7379+9261+4174+2952+3704)/5280</f>
        <v>5.2026515151515156</v>
      </c>
      <c r="E14" s="282">
        <v>1925</v>
      </c>
      <c r="F14" s="252">
        <f>+IF(D14&lt;&gt;0,(D14*E14),0)</f>
        <v>10015.104166666668</v>
      </c>
      <c r="G14" s="283">
        <v>0</v>
      </c>
      <c r="H14" s="284">
        <v>30</v>
      </c>
      <c r="I14" s="252">
        <f>+(F14-G14)/H14</f>
        <v>333.8368055555556</v>
      </c>
      <c r="J14" s="285">
        <v>0</v>
      </c>
      <c r="K14" s="283">
        <f t="shared" ref="K14:K24" si="0">+J14*F14</f>
        <v>0</v>
      </c>
      <c r="L14" s="286">
        <v>0.08</v>
      </c>
      <c r="M14" s="287">
        <v>20</v>
      </c>
      <c r="N14" s="253">
        <f t="shared" ref="N14:N24" si="1">-PMT(L14,M14,K14)</f>
        <v>0</v>
      </c>
    </row>
    <row r="15" spans="2:14" x14ac:dyDescent="0.25">
      <c r="B15" s="264" t="s">
        <v>290</v>
      </c>
      <c r="C15" s="264"/>
      <c r="D15" s="281">
        <v>1</v>
      </c>
      <c r="E15" s="282">
        <v>400</v>
      </c>
      <c r="F15" s="252">
        <f t="shared" ref="F15:F24" si="2">+IF(D15&lt;&gt;0,(D15*E15),0)</f>
        <v>400</v>
      </c>
      <c r="G15" s="283">
        <v>0</v>
      </c>
      <c r="H15" s="284">
        <v>10</v>
      </c>
      <c r="I15" s="252">
        <f t="shared" ref="I15:I24" si="3">F15/H15</f>
        <v>40</v>
      </c>
      <c r="J15" s="285">
        <v>0</v>
      </c>
      <c r="K15" s="283">
        <f t="shared" si="0"/>
        <v>0</v>
      </c>
      <c r="L15" s="286">
        <v>0.08</v>
      </c>
      <c r="M15" s="287">
        <v>20</v>
      </c>
      <c r="N15" s="253">
        <f t="shared" si="1"/>
        <v>0</v>
      </c>
    </row>
    <row r="16" spans="2:14" x14ac:dyDescent="0.25">
      <c r="B16" s="264" t="s">
        <v>291</v>
      </c>
      <c r="C16" s="264"/>
      <c r="D16" s="281">
        <v>1</v>
      </c>
      <c r="E16" s="282">
        <v>8500</v>
      </c>
      <c r="F16" s="252">
        <f t="shared" si="2"/>
        <v>8500</v>
      </c>
      <c r="G16" s="283">
        <f t="shared" ref="G16:G24" si="4">+F16*0.2</f>
        <v>1700</v>
      </c>
      <c r="H16" s="284">
        <v>20</v>
      </c>
      <c r="I16" s="252">
        <f t="shared" si="3"/>
        <v>425</v>
      </c>
      <c r="J16" s="285">
        <v>0</v>
      </c>
      <c r="K16" s="283">
        <f t="shared" si="0"/>
        <v>0</v>
      </c>
      <c r="L16" s="286">
        <v>0.08</v>
      </c>
      <c r="M16" s="287">
        <v>10</v>
      </c>
      <c r="N16" s="253">
        <f t="shared" si="1"/>
        <v>0</v>
      </c>
    </row>
    <row r="17" spans="2:14" x14ac:dyDescent="0.25">
      <c r="B17" s="264" t="s">
        <v>292</v>
      </c>
      <c r="C17" s="264"/>
      <c r="D17" s="281">
        <v>1</v>
      </c>
      <c r="E17" s="282">
        <v>15000</v>
      </c>
      <c r="F17" s="252">
        <f t="shared" si="2"/>
        <v>15000</v>
      </c>
      <c r="G17" s="283">
        <f t="shared" si="4"/>
        <v>3000</v>
      </c>
      <c r="H17" s="284">
        <v>30</v>
      </c>
      <c r="I17" s="252">
        <f t="shared" si="3"/>
        <v>500</v>
      </c>
      <c r="J17" s="285">
        <v>0</v>
      </c>
      <c r="K17" s="283">
        <f t="shared" si="0"/>
        <v>0</v>
      </c>
      <c r="L17" s="286">
        <v>0.08</v>
      </c>
      <c r="M17" s="287">
        <v>20</v>
      </c>
      <c r="N17" s="253">
        <f t="shared" si="1"/>
        <v>0</v>
      </c>
    </row>
    <row r="18" spans="2:14" x14ac:dyDescent="0.25">
      <c r="B18" s="264" t="s">
        <v>293</v>
      </c>
      <c r="C18" s="264"/>
      <c r="D18" s="279">
        <v>3</v>
      </c>
      <c r="E18" s="282">
        <v>250</v>
      </c>
      <c r="F18" s="252">
        <f t="shared" si="2"/>
        <v>750</v>
      </c>
      <c r="G18" s="283">
        <v>0</v>
      </c>
      <c r="H18" s="284">
        <v>7</v>
      </c>
      <c r="I18" s="252">
        <f t="shared" si="3"/>
        <v>107.14285714285714</v>
      </c>
      <c r="J18" s="285">
        <v>0</v>
      </c>
      <c r="K18" s="283">
        <f t="shared" si="0"/>
        <v>0</v>
      </c>
      <c r="L18" s="286">
        <v>0.08</v>
      </c>
      <c r="M18" s="287">
        <v>10</v>
      </c>
      <c r="N18" s="253">
        <f t="shared" si="1"/>
        <v>0</v>
      </c>
    </row>
    <row r="19" spans="2:14" x14ac:dyDescent="0.25">
      <c r="B19" s="264" t="s">
        <v>294</v>
      </c>
      <c r="C19" s="264"/>
      <c r="D19" s="279">
        <v>6</v>
      </c>
      <c r="E19" s="282">
        <v>150</v>
      </c>
      <c r="F19" s="252">
        <f t="shared" si="2"/>
        <v>900</v>
      </c>
      <c r="G19" s="283">
        <f t="shared" si="4"/>
        <v>180</v>
      </c>
      <c r="H19" s="284">
        <v>15</v>
      </c>
      <c r="I19" s="252">
        <f t="shared" si="3"/>
        <v>60</v>
      </c>
      <c r="J19" s="285">
        <v>0</v>
      </c>
      <c r="K19" s="283">
        <f t="shared" si="0"/>
        <v>0</v>
      </c>
      <c r="L19" s="286">
        <v>0.08</v>
      </c>
      <c r="M19" s="287">
        <v>10</v>
      </c>
      <c r="N19" s="253">
        <f t="shared" si="1"/>
        <v>0</v>
      </c>
    </row>
    <row r="20" spans="2:14" x14ac:dyDescent="0.25">
      <c r="B20" s="264" t="s">
        <v>295</v>
      </c>
      <c r="C20" s="264"/>
      <c r="D20" s="279">
        <v>1</v>
      </c>
      <c r="E20" s="282">
        <v>1000</v>
      </c>
      <c r="F20" s="252">
        <f t="shared" si="2"/>
        <v>1000</v>
      </c>
      <c r="G20" s="283">
        <f t="shared" si="4"/>
        <v>200</v>
      </c>
      <c r="H20" s="284">
        <v>20</v>
      </c>
      <c r="I20" s="252">
        <f t="shared" si="3"/>
        <v>50</v>
      </c>
      <c r="J20" s="285">
        <v>0</v>
      </c>
      <c r="K20" s="283">
        <f t="shared" si="0"/>
        <v>0</v>
      </c>
      <c r="L20" s="286">
        <v>0.08</v>
      </c>
      <c r="M20" s="287">
        <v>15</v>
      </c>
      <c r="N20" s="253">
        <f t="shared" si="1"/>
        <v>0</v>
      </c>
    </row>
    <row r="21" spans="2:14" x14ac:dyDescent="0.25">
      <c r="B21" s="264" t="s">
        <v>176</v>
      </c>
      <c r="C21" s="264"/>
      <c r="D21" s="279">
        <v>0</v>
      </c>
      <c r="E21" s="282"/>
      <c r="F21" s="252">
        <f t="shared" si="2"/>
        <v>0</v>
      </c>
      <c r="G21" s="283">
        <f t="shared" si="4"/>
        <v>0</v>
      </c>
      <c r="H21" s="284">
        <v>15</v>
      </c>
      <c r="I21" s="252">
        <f t="shared" si="3"/>
        <v>0</v>
      </c>
      <c r="J21" s="285">
        <v>0</v>
      </c>
      <c r="K21" s="283">
        <f t="shared" si="0"/>
        <v>0</v>
      </c>
      <c r="L21" s="286">
        <v>0.08</v>
      </c>
      <c r="M21" s="287">
        <v>10</v>
      </c>
      <c r="N21" s="253">
        <f t="shared" si="1"/>
        <v>0</v>
      </c>
    </row>
    <row r="22" spans="2:14" x14ac:dyDescent="0.25">
      <c r="B22" s="264" t="s">
        <v>176</v>
      </c>
      <c r="C22" s="264"/>
      <c r="D22" s="279">
        <v>0</v>
      </c>
      <c r="E22" s="282" t="s">
        <v>1</v>
      </c>
      <c r="F22" s="252">
        <f t="shared" si="2"/>
        <v>0</v>
      </c>
      <c r="G22" s="283">
        <f t="shared" si="4"/>
        <v>0</v>
      </c>
      <c r="H22" s="284">
        <v>15</v>
      </c>
      <c r="I22" s="252">
        <f t="shared" si="3"/>
        <v>0</v>
      </c>
      <c r="J22" s="285">
        <v>0</v>
      </c>
      <c r="K22" s="283">
        <f t="shared" si="0"/>
        <v>0</v>
      </c>
      <c r="L22" s="286">
        <v>0.08</v>
      </c>
      <c r="M22" s="287">
        <v>10</v>
      </c>
      <c r="N22" s="253">
        <f t="shared" si="1"/>
        <v>0</v>
      </c>
    </row>
    <row r="23" spans="2:14" x14ac:dyDescent="0.25">
      <c r="B23" s="264" t="s">
        <v>176</v>
      </c>
      <c r="C23" s="264"/>
      <c r="D23" s="281">
        <v>0</v>
      </c>
      <c r="E23" s="282" t="s">
        <v>1</v>
      </c>
      <c r="F23" s="252">
        <f t="shared" si="2"/>
        <v>0</v>
      </c>
      <c r="G23" s="283">
        <f t="shared" si="4"/>
        <v>0</v>
      </c>
      <c r="H23" s="284">
        <v>20</v>
      </c>
      <c r="I23" s="252">
        <f t="shared" si="3"/>
        <v>0</v>
      </c>
      <c r="J23" s="285">
        <v>0</v>
      </c>
      <c r="K23" s="283">
        <f t="shared" si="0"/>
        <v>0</v>
      </c>
      <c r="L23" s="286">
        <v>0.08</v>
      </c>
      <c r="M23" s="287">
        <v>15</v>
      </c>
      <c r="N23" s="253">
        <f t="shared" si="1"/>
        <v>0</v>
      </c>
    </row>
    <row r="24" spans="2:14" ht="13.8" thickBot="1" x14ac:dyDescent="0.3">
      <c r="B24" s="264" t="s">
        <v>176</v>
      </c>
      <c r="C24" s="264"/>
      <c r="D24" s="281"/>
      <c r="E24" s="282" t="s">
        <v>1</v>
      </c>
      <c r="F24" s="252">
        <f t="shared" si="2"/>
        <v>0</v>
      </c>
      <c r="G24" s="283">
        <f t="shared" si="4"/>
        <v>0</v>
      </c>
      <c r="H24" s="284">
        <v>5</v>
      </c>
      <c r="I24" s="252">
        <f t="shared" si="3"/>
        <v>0</v>
      </c>
      <c r="J24" s="285">
        <v>0</v>
      </c>
      <c r="K24" s="283">
        <f t="shared" si="0"/>
        <v>0</v>
      </c>
      <c r="L24" s="286">
        <v>0.08</v>
      </c>
      <c r="M24" s="287">
        <v>5</v>
      </c>
      <c r="N24" s="253">
        <f t="shared" si="1"/>
        <v>0</v>
      </c>
    </row>
    <row r="25" spans="2:14" ht="13.8" thickBot="1" x14ac:dyDescent="0.3">
      <c r="B25" s="444" t="s">
        <v>276</v>
      </c>
      <c r="C25" s="445"/>
      <c r="D25" s="265"/>
      <c r="E25" s="266"/>
      <c r="F25" s="256">
        <f>+SUM(F14:F24)</f>
        <v>36565.104166666672</v>
      </c>
      <c r="G25" s="185">
        <f>+SUM(G14:G24)</f>
        <v>5080</v>
      </c>
      <c r="H25" s="267"/>
      <c r="I25" s="256">
        <f>+SUM(I14:I24)</f>
        <v>1515.9796626984128</v>
      </c>
      <c r="J25" s="257"/>
      <c r="K25" s="268">
        <f>+SUM(K14:K24)</f>
        <v>0</v>
      </c>
      <c r="L25" s="259"/>
      <c r="M25" s="259"/>
      <c r="N25" s="182">
        <f>+SUM(N14:N24)</f>
        <v>0</v>
      </c>
    </row>
    <row r="26" spans="2:14" x14ac:dyDescent="0.25">
      <c r="B26" s="264"/>
      <c r="C26" s="264"/>
      <c r="D26" s="264"/>
      <c r="E26" s="264"/>
      <c r="F26" s="250"/>
      <c r="G26" s="199"/>
      <c r="H26" s="269"/>
      <c r="I26" s="250"/>
      <c r="J26" s="264"/>
      <c r="K26" s="250"/>
      <c r="L26" s="250"/>
      <c r="M26" s="250"/>
      <c r="N26" s="250"/>
    </row>
    <row r="27" spans="2:14" x14ac:dyDescent="0.25">
      <c r="B27" s="264"/>
      <c r="C27" s="264"/>
      <c r="D27" s="264"/>
      <c r="E27" s="264"/>
      <c r="F27" s="250"/>
      <c r="G27" s="250"/>
      <c r="H27" s="250"/>
      <c r="I27" s="250"/>
      <c r="J27" s="264"/>
      <c r="K27" s="250"/>
      <c r="L27" s="250"/>
      <c r="M27" s="250"/>
      <c r="N27" s="250"/>
    </row>
    <row r="28" spans="2:14" ht="13.8" thickBot="1" x14ac:dyDescent="0.3">
      <c r="B28" s="443" t="s">
        <v>34</v>
      </c>
      <c r="C28" s="443"/>
      <c r="D28" s="443"/>
      <c r="E28" s="251"/>
      <c r="F28" s="270"/>
      <c r="G28" s="271"/>
      <c r="H28" s="269"/>
      <c r="I28" s="270"/>
      <c r="J28" s="264"/>
      <c r="K28" s="250"/>
      <c r="L28" s="250"/>
      <c r="M28" s="250"/>
      <c r="N28" s="250"/>
    </row>
    <row r="29" spans="2:14" ht="13.8" thickBot="1" x14ac:dyDescent="0.3">
      <c r="B29" s="272" t="s">
        <v>277</v>
      </c>
      <c r="C29" s="273"/>
      <c r="D29" s="273">
        <v>100</v>
      </c>
      <c r="E29" s="255">
        <v>1500</v>
      </c>
      <c r="F29" s="181">
        <f>+E29*D29</f>
        <v>150000</v>
      </c>
      <c r="G29" s="274">
        <v>0</v>
      </c>
      <c r="H29" s="267"/>
      <c r="I29" s="184">
        <v>0</v>
      </c>
      <c r="J29" s="275">
        <v>0</v>
      </c>
      <c r="K29" s="276">
        <f>+J29*F29</f>
        <v>0</v>
      </c>
      <c r="L29" s="277">
        <v>0.08</v>
      </c>
      <c r="M29" s="259">
        <v>20</v>
      </c>
      <c r="N29" s="278">
        <f>PMT(Lvstk_Facil!L29,Lvstk_Facil!M29,-K29)</f>
        <v>0</v>
      </c>
    </row>
    <row r="30" spans="2:14" x14ac:dyDescent="0.25"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</row>
    <row r="31" spans="2:14" x14ac:dyDescent="0.25"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</row>
    <row r="32" spans="2:14" x14ac:dyDescent="0.25">
      <c r="B32" s="454" t="s">
        <v>278</v>
      </c>
      <c r="C32" s="454"/>
      <c r="D32" s="454"/>
      <c r="E32" s="454"/>
      <c r="F32" s="454"/>
      <c r="G32" s="454"/>
      <c r="H32" s="454"/>
      <c r="I32" s="454"/>
      <c r="J32" s="250"/>
      <c r="K32" s="250"/>
      <c r="L32" s="250"/>
      <c r="M32" s="250"/>
      <c r="N32" s="250"/>
    </row>
    <row r="33" spans="2:14" x14ac:dyDescent="0.25">
      <c r="B33" s="453" t="s">
        <v>408</v>
      </c>
      <c r="C33" s="453"/>
      <c r="D33" s="453"/>
      <c r="E33" s="199">
        <f>+(F8+G8)/2</f>
        <v>49024.5</v>
      </c>
      <c r="F33" s="250"/>
      <c r="G33" s="250"/>
      <c r="H33" s="250"/>
      <c r="I33" s="250"/>
      <c r="J33" s="250"/>
      <c r="K33" s="250"/>
      <c r="L33" s="250"/>
      <c r="M33" s="250"/>
      <c r="N33" s="250"/>
    </row>
    <row r="34" spans="2:14" x14ac:dyDescent="0.25">
      <c r="B34" s="453" t="s">
        <v>423</v>
      </c>
      <c r="C34" s="453"/>
      <c r="D34" s="453"/>
      <c r="E34" s="199">
        <f>+((F9+G9)/2)+((F10+G10)/2)</f>
        <v>5370</v>
      </c>
      <c r="F34" s="250"/>
      <c r="G34" s="250"/>
      <c r="H34" s="250"/>
      <c r="I34" s="250"/>
      <c r="J34" s="250"/>
      <c r="K34" s="250"/>
      <c r="L34" s="250"/>
      <c r="M34" s="250"/>
      <c r="N34" s="250"/>
    </row>
    <row r="35" spans="2:14" ht="13.8" thickBot="1" x14ac:dyDescent="0.3">
      <c r="B35" s="456" t="s">
        <v>409</v>
      </c>
      <c r="C35" s="456"/>
      <c r="D35" s="456"/>
      <c r="E35" s="285">
        <v>0.08</v>
      </c>
      <c r="F35" s="250"/>
      <c r="G35" s="250"/>
      <c r="H35" s="250"/>
      <c r="I35" s="250"/>
      <c r="J35" s="178"/>
      <c r="K35" s="178"/>
      <c r="L35" s="178"/>
      <c r="M35" s="178"/>
      <c r="N35" s="178"/>
    </row>
    <row r="36" spans="2:14" ht="13.8" thickBot="1" x14ac:dyDescent="0.3">
      <c r="B36" s="451" t="s">
        <v>279</v>
      </c>
      <c r="C36" s="452"/>
      <c r="D36" s="452"/>
      <c r="E36" s="185">
        <f>+(E33+E34)*livestock_facil_print+lvstk_dep</f>
        <v>5416.56</v>
      </c>
      <c r="F36" s="250"/>
      <c r="G36" s="250"/>
      <c r="H36" s="250"/>
      <c r="I36" s="250"/>
      <c r="J36" s="178"/>
      <c r="K36" s="178"/>
      <c r="L36" s="178"/>
      <c r="M36" s="178"/>
      <c r="N36" s="178"/>
    </row>
    <row r="37" spans="2:14" x14ac:dyDescent="0.25">
      <c r="B37" s="250"/>
      <c r="C37" s="250"/>
      <c r="D37" s="250"/>
      <c r="E37" s="250"/>
      <c r="F37" s="250"/>
      <c r="G37" s="250"/>
      <c r="H37" s="250"/>
      <c r="I37" s="250"/>
      <c r="J37" s="178"/>
      <c r="K37" s="178"/>
      <c r="L37" s="178"/>
      <c r="M37" s="178"/>
      <c r="N37" s="178"/>
    </row>
    <row r="38" spans="2:14" x14ac:dyDescent="0.25">
      <c r="B38" s="453" t="s">
        <v>280</v>
      </c>
      <c r="C38" s="453"/>
      <c r="D38" s="453"/>
      <c r="E38" s="199">
        <f>+(F25+G25)/2</f>
        <v>20822.552083333336</v>
      </c>
      <c r="F38" s="250"/>
      <c r="G38" s="250"/>
      <c r="H38" s="250"/>
      <c r="I38" s="250"/>
      <c r="J38" s="178"/>
      <c r="K38" s="178"/>
      <c r="L38" s="178"/>
      <c r="M38" s="178"/>
      <c r="N38" s="178"/>
    </row>
    <row r="39" spans="2:14" ht="13.8" thickBot="1" x14ac:dyDescent="0.3">
      <c r="B39" s="456" t="s">
        <v>281</v>
      </c>
      <c r="C39" s="456"/>
      <c r="D39" s="456"/>
      <c r="E39" s="285">
        <v>0.08</v>
      </c>
      <c r="F39" s="199"/>
      <c r="G39" s="269" t="s">
        <v>1</v>
      </c>
      <c r="H39" s="250"/>
      <c r="I39" s="290" t="s">
        <v>1</v>
      </c>
      <c r="J39" s="178"/>
      <c r="K39" s="178"/>
      <c r="L39" s="178"/>
      <c r="M39" s="178"/>
      <c r="N39" s="178"/>
    </row>
    <row r="40" spans="2:14" ht="13.8" thickBot="1" x14ac:dyDescent="0.3">
      <c r="B40" s="451" t="s">
        <v>282</v>
      </c>
      <c r="C40" s="452"/>
      <c r="D40" s="452"/>
      <c r="E40" s="185">
        <f>+(facil_int*facil_avginv)+build_dep</f>
        <v>3181.7838293650793</v>
      </c>
      <c r="F40" s="199"/>
      <c r="G40" s="269"/>
      <c r="H40" s="250"/>
      <c r="I40" s="290"/>
      <c r="J40" s="178"/>
      <c r="K40" s="178"/>
      <c r="L40" s="178"/>
      <c r="M40" s="178"/>
      <c r="N40" s="178"/>
    </row>
    <row r="41" spans="2:14" x14ac:dyDescent="0.25">
      <c r="B41" s="203"/>
      <c r="C41" s="203"/>
      <c r="D41" s="203"/>
      <c r="E41" s="200"/>
      <c r="F41" s="199"/>
      <c r="G41" s="269"/>
      <c r="H41" s="250"/>
      <c r="I41" s="290"/>
      <c r="J41" s="178"/>
      <c r="K41" s="178"/>
      <c r="L41" s="178"/>
      <c r="M41" s="178"/>
      <c r="N41" s="178"/>
    </row>
    <row r="42" spans="2:14" x14ac:dyDescent="0.25">
      <c r="B42" s="250"/>
      <c r="C42" s="250"/>
      <c r="D42" s="269" t="s">
        <v>1</v>
      </c>
      <c r="E42" s="269" t="s">
        <v>1</v>
      </c>
      <c r="F42" s="269" t="s">
        <v>1</v>
      </c>
      <c r="G42" s="269" t="s">
        <v>1</v>
      </c>
      <c r="H42" s="250"/>
      <c r="I42" s="186" t="s">
        <v>1</v>
      </c>
      <c r="J42" s="178"/>
      <c r="K42" s="178"/>
      <c r="L42" s="178"/>
      <c r="M42" s="178"/>
      <c r="N42" s="178"/>
    </row>
    <row r="43" spans="2:14" x14ac:dyDescent="0.25">
      <c r="B43" s="453" t="s">
        <v>283</v>
      </c>
      <c r="C43" s="453"/>
      <c r="D43" s="453"/>
      <c r="E43" s="199">
        <f>+F29</f>
        <v>150000</v>
      </c>
      <c r="F43" s="269"/>
      <c r="G43" s="269"/>
      <c r="H43" s="250"/>
      <c r="I43" s="186"/>
      <c r="J43" s="178"/>
      <c r="K43" s="178"/>
      <c r="L43" s="178"/>
      <c r="M43" s="178"/>
      <c r="N43" s="178"/>
    </row>
    <row r="44" spans="2:14" ht="13.8" thickBot="1" x14ac:dyDescent="0.3">
      <c r="B44" s="457" t="s">
        <v>284</v>
      </c>
      <c r="C44" s="457"/>
      <c r="D44" s="457"/>
      <c r="E44" s="285">
        <f>+land_int</f>
        <v>0</v>
      </c>
      <c r="F44" s="269"/>
      <c r="G44" s="269"/>
      <c r="H44" s="250"/>
      <c r="I44" s="186"/>
      <c r="J44" s="178"/>
      <c r="K44" s="178"/>
      <c r="L44" s="178"/>
      <c r="M44" s="178"/>
      <c r="N44" s="178"/>
    </row>
    <row r="45" spans="2:14" ht="13.8" thickBot="1" x14ac:dyDescent="0.3">
      <c r="B45" s="451" t="s">
        <v>285</v>
      </c>
      <c r="C45" s="452"/>
      <c r="D45" s="452"/>
      <c r="E45" s="185">
        <f>+land_int*E43</f>
        <v>0</v>
      </c>
      <c r="F45" s="269"/>
      <c r="G45" s="269"/>
      <c r="H45" s="250"/>
      <c r="I45" s="186"/>
      <c r="J45" s="178"/>
      <c r="K45" s="178"/>
      <c r="L45" s="178"/>
      <c r="M45" s="178"/>
      <c r="N45" s="178"/>
    </row>
    <row r="46" spans="2:14" x14ac:dyDescent="0.25">
      <c r="B46" s="250"/>
      <c r="C46" s="250"/>
      <c r="D46" s="269"/>
      <c r="E46" s="269"/>
      <c r="F46" s="269"/>
      <c r="G46" s="269"/>
      <c r="H46" s="250"/>
      <c r="I46" s="186"/>
      <c r="J46" s="178"/>
      <c r="K46" s="178"/>
      <c r="L46" s="178"/>
      <c r="M46" s="178"/>
      <c r="N46" s="178"/>
    </row>
    <row r="47" spans="2:14" x14ac:dyDescent="0.25">
      <c r="B47" s="455" t="s">
        <v>286</v>
      </c>
      <c r="C47" s="455"/>
      <c r="D47" s="455"/>
      <c r="E47" s="187">
        <f>+lvstk_dep+build_dep+lvstk_fc+facil_fc+land_fc</f>
        <v>11179.323492063493</v>
      </c>
      <c r="F47" s="291"/>
      <c r="G47" s="291"/>
      <c r="H47" s="292"/>
      <c r="I47" s="250"/>
      <c r="J47" s="178"/>
      <c r="K47" s="178"/>
      <c r="L47" s="178"/>
      <c r="M47" s="178"/>
      <c r="N47" s="178"/>
    </row>
    <row r="49" spans="2:2" x14ac:dyDescent="0.25">
      <c r="B49" s="121"/>
    </row>
  </sheetData>
  <sheetProtection sheet="1" objects="1" scenarios="1"/>
  <mergeCells count="24">
    <mergeCell ref="B47:D47"/>
    <mergeCell ref="B36:D36"/>
    <mergeCell ref="B35:D35"/>
    <mergeCell ref="B39:D39"/>
    <mergeCell ref="B40:D40"/>
    <mergeCell ref="B43:D43"/>
    <mergeCell ref="B44:D44"/>
    <mergeCell ref="B25:C25"/>
    <mergeCell ref="B45:D45"/>
    <mergeCell ref="B33:D33"/>
    <mergeCell ref="B38:D38"/>
    <mergeCell ref="B34:D34"/>
    <mergeCell ref="B32:I32"/>
    <mergeCell ref="B28:D28"/>
    <mergeCell ref="H8:I8"/>
    <mergeCell ref="B5:C5"/>
    <mergeCell ref="B3:N3"/>
    <mergeCell ref="B6:C6"/>
    <mergeCell ref="B7:C7"/>
    <mergeCell ref="B13:C13"/>
    <mergeCell ref="B11:C11"/>
    <mergeCell ref="B8:C8"/>
    <mergeCell ref="B9:C9"/>
    <mergeCell ref="B10:C10"/>
  </mergeCells>
  <phoneticPr fontId="0" type="noConversion"/>
  <hyperlinks>
    <hyperlink ref="B5" location="Main!A74" display="Return to Main Budget"/>
  </hyperlinks>
  <pageMargins left="0.75" right="0.75" top="1" bottom="1" header="0.5" footer="0.5"/>
  <pageSetup scale="72" orientation="landscape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Q39"/>
  <sheetViews>
    <sheetView workbookViewId="0">
      <selection activeCell="G23" sqref="G23"/>
    </sheetView>
  </sheetViews>
  <sheetFormatPr defaultColWidth="9.109375" defaultRowHeight="13.2" x14ac:dyDescent="0.25"/>
  <cols>
    <col min="1" max="1" width="22" style="190" customWidth="1"/>
    <col min="2" max="2" width="11.6640625" style="188" bestFit="1" customWidth="1"/>
    <col min="3" max="3" width="11.5546875" style="188" customWidth="1"/>
    <col min="4" max="4" width="11.6640625" style="190" bestFit="1" customWidth="1"/>
    <col min="5" max="5" width="13.44140625" style="190" customWidth="1"/>
    <col min="6" max="6" width="9.33203125" style="191" bestFit="1" customWidth="1"/>
    <col min="7" max="7" width="9.109375" style="191"/>
    <col min="8" max="8" width="11.5546875" style="191" customWidth="1"/>
    <col min="9" max="9" width="10.6640625" style="191" customWidth="1"/>
    <col min="10" max="10" width="13" style="188" customWidth="1"/>
    <col min="11" max="11" width="13.109375" style="188" customWidth="1"/>
    <col min="12" max="12" width="10.88671875" style="190" customWidth="1"/>
    <col min="13" max="13" width="9.109375" style="190"/>
    <col min="14" max="14" width="9.109375" style="183"/>
    <col min="15" max="15" width="11.33203125" style="188" customWidth="1"/>
    <col min="16" max="16" width="9.6640625" style="188" bestFit="1" customWidth="1"/>
    <col min="17" max="16384" width="9.109375" style="190"/>
  </cols>
  <sheetData>
    <row r="1" spans="1:17" x14ac:dyDescent="0.25">
      <c r="A1" s="461" t="s">
        <v>377</v>
      </c>
      <c r="B1" s="461"/>
      <c r="D1" s="189"/>
    </row>
    <row r="2" spans="1:17" ht="13.8" thickBot="1" x14ac:dyDescent="0.3">
      <c r="A2" s="460" t="s">
        <v>376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</row>
    <row r="3" spans="1:17" ht="40.200000000000003" thickBot="1" x14ac:dyDescent="0.3">
      <c r="A3" s="192" t="s">
        <v>173</v>
      </c>
      <c r="B3" s="193" t="s">
        <v>296</v>
      </c>
      <c r="C3" s="193" t="s">
        <v>265</v>
      </c>
      <c r="D3" s="194" t="s">
        <v>297</v>
      </c>
      <c r="E3" s="194" t="s">
        <v>303</v>
      </c>
      <c r="F3" s="195" t="s">
        <v>298</v>
      </c>
      <c r="G3" s="195" t="s">
        <v>299</v>
      </c>
      <c r="H3" s="195" t="s">
        <v>324</v>
      </c>
      <c r="I3" s="195" t="s">
        <v>323</v>
      </c>
      <c r="J3" s="193" t="s">
        <v>304</v>
      </c>
      <c r="K3" s="193" t="s">
        <v>305</v>
      </c>
      <c r="L3" s="194" t="s">
        <v>300</v>
      </c>
      <c r="M3" s="194" t="s">
        <v>270</v>
      </c>
      <c r="N3" s="196" t="s">
        <v>301</v>
      </c>
      <c r="O3" s="193" t="s">
        <v>307</v>
      </c>
      <c r="P3" s="197" t="s">
        <v>308</v>
      </c>
      <c r="Q3" s="198"/>
    </row>
    <row r="4" spans="1:17" x14ac:dyDescent="0.25">
      <c r="A4" s="280" t="s">
        <v>302</v>
      </c>
      <c r="B4" s="293">
        <f>37000*0.5</f>
        <v>18500</v>
      </c>
      <c r="C4" s="293">
        <f>+B4*0.2</f>
        <v>3700</v>
      </c>
      <c r="D4" s="280">
        <v>8</v>
      </c>
      <c r="E4" s="199">
        <f>+(B4-C4)/D4</f>
        <v>1850</v>
      </c>
      <c r="F4" s="285">
        <v>0.25</v>
      </c>
      <c r="G4" s="285">
        <v>0.25</v>
      </c>
      <c r="H4" s="199">
        <f>+((B4+C4)/2)*F4</f>
        <v>2775</v>
      </c>
      <c r="I4" s="199">
        <f>+((B4+C4)/2)*G4</f>
        <v>2775</v>
      </c>
      <c r="J4" s="199">
        <f>+F4*E4</f>
        <v>462.5</v>
      </c>
      <c r="K4" s="199">
        <f>+G4*E4</f>
        <v>462.5</v>
      </c>
      <c r="L4" s="285">
        <v>0</v>
      </c>
      <c r="M4" s="285">
        <v>0.08</v>
      </c>
      <c r="N4" s="294">
        <v>5</v>
      </c>
      <c r="O4" s="199">
        <f>IF(L4&gt;0,-PMT(M4,N4,(B4*L4)),0)</f>
        <v>0</v>
      </c>
      <c r="P4" s="199">
        <f>+O4*(F4+G4)</f>
        <v>0</v>
      </c>
    </row>
    <row r="5" spans="1:17" x14ac:dyDescent="0.25">
      <c r="A5" s="280" t="s">
        <v>306</v>
      </c>
      <c r="B5" s="293">
        <v>79000</v>
      </c>
      <c r="C5" s="293">
        <f t="shared" ref="C5:C20" si="0">+B5*0.2</f>
        <v>15800</v>
      </c>
      <c r="D5" s="280">
        <v>8</v>
      </c>
      <c r="E5" s="199">
        <f t="shared" ref="E5:E13" si="1">+(B5-C5)/D5</f>
        <v>7900</v>
      </c>
      <c r="F5" s="285">
        <v>0.1</v>
      </c>
      <c r="G5" s="285">
        <v>0.1</v>
      </c>
      <c r="H5" s="199">
        <f t="shared" ref="H5:H20" si="2">+((B5+C5)/2)*F5</f>
        <v>4740</v>
      </c>
      <c r="I5" s="199">
        <f t="shared" ref="I5:I20" si="3">+((B5+C5)/2)*G5</f>
        <v>4740</v>
      </c>
      <c r="J5" s="199">
        <f t="shared" ref="J5:J13" si="4">+F5*E5</f>
        <v>790</v>
      </c>
      <c r="K5" s="199">
        <f t="shared" ref="K5:K13" si="5">+G5*E5</f>
        <v>790</v>
      </c>
      <c r="L5" s="285">
        <v>0.5</v>
      </c>
      <c r="M5" s="285">
        <v>0.08</v>
      </c>
      <c r="N5" s="294">
        <v>5</v>
      </c>
      <c r="O5" s="199">
        <f t="shared" ref="O5:O20" si="6">IF(L5&gt;0,-PMT(M5,N5,(B5*L5)),0)</f>
        <v>9893.0299553900459</v>
      </c>
      <c r="P5" s="199">
        <f t="shared" ref="P5:P13" si="7">+O5*(F5+G5)</f>
        <v>1978.6059910780093</v>
      </c>
    </row>
    <row r="6" spans="1:17" x14ac:dyDescent="0.25">
      <c r="A6" s="280" t="s">
        <v>309</v>
      </c>
      <c r="B6" s="293">
        <v>5500</v>
      </c>
      <c r="C6" s="293">
        <f t="shared" si="0"/>
        <v>1100</v>
      </c>
      <c r="D6" s="280">
        <v>8</v>
      </c>
      <c r="E6" s="199">
        <f t="shared" si="1"/>
        <v>550</v>
      </c>
      <c r="F6" s="285">
        <v>0.25</v>
      </c>
      <c r="G6" s="285">
        <v>0.25</v>
      </c>
      <c r="H6" s="199">
        <f t="shared" si="2"/>
        <v>825</v>
      </c>
      <c r="I6" s="199">
        <f t="shared" si="3"/>
        <v>825</v>
      </c>
      <c r="J6" s="199">
        <f t="shared" si="4"/>
        <v>137.5</v>
      </c>
      <c r="K6" s="199">
        <f t="shared" si="5"/>
        <v>137.5</v>
      </c>
      <c r="L6" s="285">
        <v>0</v>
      </c>
      <c r="M6" s="285">
        <v>0.08</v>
      </c>
      <c r="N6" s="294">
        <v>5</v>
      </c>
      <c r="O6" s="199">
        <f t="shared" si="6"/>
        <v>0</v>
      </c>
      <c r="P6" s="199">
        <f t="shared" si="7"/>
        <v>0</v>
      </c>
    </row>
    <row r="7" spans="1:17" x14ac:dyDescent="0.25">
      <c r="A7" s="280" t="s">
        <v>316</v>
      </c>
      <c r="B7" s="293">
        <v>3500</v>
      </c>
      <c r="C7" s="293">
        <f t="shared" si="0"/>
        <v>700</v>
      </c>
      <c r="D7" s="280">
        <v>8</v>
      </c>
      <c r="E7" s="199">
        <f>+(B7-C7)/D7</f>
        <v>350</v>
      </c>
      <c r="F7" s="285">
        <v>0.25</v>
      </c>
      <c r="G7" s="285">
        <v>0.25</v>
      </c>
      <c r="H7" s="199">
        <f t="shared" si="2"/>
        <v>525</v>
      </c>
      <c r="I7" s="199">
        <f t="shared" si="3"/>
        <v>525</v>
      </c>
      <c r="J7" s="199">
        <f>+F7*E7</f>
        <v>87.5</v>
      </c>
      <c r="K7" s="199">
        <f>+G7*E7</f>
        <v>87.5</v>
      </c>
      <c r="L7" s="285">
        <v>0</v>
      </c>
      <c r="M7" s="285">
        <v>0.08</v>
      </c>
      <c r="N7" s="294">
        <v>5</v>
      </c>
      <c r="O7" s="199">
        <f t="shared" si="6"/>
        <v>0</v>
      </c>
      <c r="P7" s="199">
        <f>+O7*(F7+G7)</f>
        <v>0</v>
      </c>
    </row>
    <row r="8" spans="1:17" x14ac:dyDescent="0.25">
      <c r="A8" s="280" t="s">
        <v>325</v>
      </c>
      <c r="B8" s="293">
        <v>9250</v>
      </c>
      <c r="C8" s="293">
        <f t="shared" si="0"/>
        <v>1850</v>
      </c>
      <c r="D8" s="280">
        <v>10</v>
      </c>
      <c r="E8" s="199">
        <f t="shared" si="1"/>
        <v>740</v>
      </c>
      <c r="F8" s="285">
        <v>0.1</v>
      </c>
      <c r="G8" s="285">
        <v>0</v>
      </c>
      <c r="H8" s="199">
        <f t="shared" si="2"/>
        <v>555</v>
      </c>
      <c r="I8" s="199">
        <f t="shared" si="3"/>
        <v>0</v>
      </c>
      <c r="J8" s="199">
        <f t="shared" si="4"/>
        <v>74</v>
      </c>
      <c r="K8" s="199">
        <f t="shared" si="5"/>
        <v>0</v>
      </c>
      <c r="L8" s="285">
        <v>0</v>
      </c>
      <c r="M8" s="285">
        <v>0.08</v>
      </c>
      <c r="N8" s="294">
        <v>5</v>
      </c>
      <c r="O8" s="199">
        <f t="shared" si="6"/>
        <v>0</v>
      </c>
      <c r="P8" s="199">
        <f t="shared" si="7"/>
        <v>0</v>
      </c>
    </row>
    <row r="9" spans="1:17" x14ac:dyDescent="0.25">
      <c r="A9" s="280" t="s">
        <v>310</v>
      </c>
      <c r="B9" s="293">
        <f>11500*0.33</f>
        <v>3795</v>
      </c>
      <c r="C9" s="293">
        <f t="shared" si="0"/>
        <v>759</v>
      </c>
      <c r="D9" s="280">
        <v>8</v>
      </c>
      <c r="E9" s="199">
        <f t="shared" si="1"/>
        <v>379.5</v>
      </c>
      <c r="F9" s="285">
        <v>0.1</v>
      </c>
      <c r="G9" s="285">
        <v>0</v>
      </c>
      <c r="H9" s="199">
        <f t="shared" si="2"/>
        <v>227.70000000000002</v>
      </c>
      <c r="I9" s="199">
        <f t="shared" si="3"/>
        <v>0</v>
      </c>
      <c r="J9" s="199">
        <f t="shared" si="4"/>
        <v>37.950000000000003</v>
      </c>
      <c r="K9" s="199">
        <f t="shared" si="5"/>
        <v>0</v>
      </c>
      <c r="L9" s="285">
        <v>0</v>
      </c>
      <c r="M9" s="285">
        <v>0.08</v>
      </c>
      <c r="N9" s="294">
        <v>5</v>
      </c>
      <c r="O9" s="199">
        <f t="shared" si="6"/>
        <v>0</v>
      </c>
      <c r="P9" s="199">
        <f t="shared" si="7"/>
        <v>0</v>
      </c>
    </row>
    <row r="10" spans="1:17" x14ac:dyDescent="0.25">
      <c r="A10" s="280" t="s">
        <v>311</v>
      </c>
      <c r="B10" s="293">
        <v>6500</v>
      </c>
      <c r="C10" s="293">
        <f t="shared" si="0"/>
        <v>1300</v>
      </c>
      <c r="D10" s="280">
        <v>5</v>
      </c>
      <c r="E10" s="199">
        <f t="shared" si="1"/>
        <v>1040</v>
      </c>
      <c r="F10" s="285">
        <v>0.2</v>
      </c>
      <c r="G10" s="285">
        <v>0.8</v>
      </c>
      <c r="H10" s="199">
        <f t="shared" si="2"/>
        <v>780</v>
      </c>
      <c r="I10" s="199">
        <f t="shared" si="3"/>
        <v>3120</v>
      </c>
      <c r="J10" s="199">
        <f t="shared" si="4"/>
        <v>208</v>
      </c>
      <c r="K10" s="199">
        <f t="shared" si="5"/>
        <v>832</v>
      </c>
      <c r="L10" s="285">
        <v>0</v>
      </c>
      <c r="M10" s="285">
        <v>0.08</v>
      </c>
      <c r="N10" s="294">
        <v>5</v>
      </c>
      <c r="O10" s="199">
        <f t="shared" si="6"/>
        <v>0</v>
      </c>
      <c r="P10" s="199">
        <f t="shared" si="7"/>
        <v>0</v>
      </c>
    </row>
    <row r="11" spans="1:17" x14ac:dyDescent="0.25">
      <c r="A11" s="280" t="s">
        <v>312</v>
      </c>
      <c r="B11" s="293">
        <v>2500</v>
      </c>
      <c r="C11" s="293">
        <f t="shared" si="0"/>
        <v>500</v>
      </c>
      <c r="D11" s="280">
        <v>8</v>
      </c>
      <c r="E11" s="199">
        <f t="shared" si="1"/>
        <v>250</v>
      </c>
      <c r="F11" s="285">
        <v>0</v>
      </c>
      <c r="G11" s="285">
        <v>1</v>
      </c>
      <c r="H11" s="199">
        <f t="shared" si="2"/>
        <v>0</v>
      </c>
      <c r="I11" s="199">
        <f t="shared" si="3"/>
        <v>1500</v>
      </c>
      <c r="J11" s="199">
        <f t="shared" si="4"/>
        <v>0</v>
      </c>
      <c r="K11" s="199">
        <f t="shared" si="5"/>
        <v>250</v>
      </c>
      <c r="L11" s="285">
        <v>0</v>
      </c>
      <c r="M11" s="285">
        <v>0.08</v>
      </c>
      <c r="N11" s="294">
        <v>5</v>
      </c>
      <c r="O11" s="199">
        <f t="shared" si="6"/>
        <v>0</v>
      </c>
      <c r="P11" s="199">
        <f t="shared" si="7"/>
        <v>0</v>
      </c>
    </row>
    <row r="12" spans="1:17" x14ac:dyDescent="0.25">
      <c r="A12" s="280" t="s">
        <v>313</v>
      </c>
      <c r="B12" s="293">
        <v>4500</v>
      </c>
      <c r="C12" s="293">
        <f t="shared" si="0"/>
        <v>900</v>
      </c>
      <c r="D12" s="280">
        <v>8</v>
      </c>
      <c r="E12" s="199">
        <f t="shared" si="1"/>
        <v>450</v>
      </c>
      <c r="F12" s="285">
        <v>0</v>
      </c>
      <c r="G12" s="285">
        <v>1</v>
      </c>
      <c r="H12" s="199">
        <f t="shared" si="2"/>
        <v>0</v>
      </c>
      <c r="I12" s="199">
        <f t="shared" si="3"/>
        <v>2700</v>
      </c>
      <c r="J12" s="199">
        <f t="shared" si="4"/>
        <v>0</v>
      </c>
      <c r="K12" s="199">
        <f t="shared" si="5"/>
        <v>450</v>
      </c>
      <c r="L12" s="285">
        <v>0</v>
      </c>
      <c r="M12" s="285">
        <v>0.08</v>
      </c>
      <c r="N12" s="294">
        <v>5</v>
      </c>
      <c r="O12" s="199">
        <f t="shared" si="6"/>
        <v>0</v>
      </c>
      <c r="P12" s="199">
        <f t="shared" si="7"/>
        <v>0</v>
      </c>
    </row>
    <row r="13" spans="1:17" x14ac:dyDescent="0.25">
      <c r="A13" s="280" t="s">
        <v>314</v>
      </c>
      <c r="B13" s="293">
        <v>2750</v>
      </c>
      <c r="C13" s="293">
        <f t="shared" si="0"/>
        <v>550</v>
      </c>
      <c r="D13" s="280">
        <v>8</v>
      </c>
      <c r="E13" s="199">
        <f t="shared" si="1"/>
        <v>275</v>
      </c>
      <c r="F13" s="285">
        <v>0.5</v>
      </c>
      <c r="G13" s="285">
        <v>0.5</v>
      </c>
      <c r="H13" s="199">
        <f t="shared" si="2"/>
        <v>825</v>
      </c>
      <c r="I13" s="199">
        <f t="shared" si="3"/>
        <v>825</v>
      </c>
      <c r="J13" s="199">
        <f t="shared" si="4"/>
        <v>137.5</v>
      </c>
      <c r="K13" s="199">
        <f t="shared" si="5"/>
        <v>137.5</v>
      </c>
      <c r="L13" s="285">
        <v>0</v>
      </c>
      <c r="M13" s="285">
        <v>0.08</v>
      </c>
      <c r="N13" s="294">
        <v>5</v>
      </c>
      <c r="O13" s="199">
        <f t="shared" si="6"/>
        <v>0</v>
      </c>
      <c r="P13" s="199">
        <f t="shared" si="7"/>
        <v>0</v>
      </c>
    </row>
    <row r="14" spans="1:17" x14ac:dyDescent="0.25">
      <c r="A14" s="280" t="s">
        <v>315</v>
      </c>
      <c r="B14" s="293">
        <f>23000*0.667</f>
        <v>15341</v>
      </c>
      <c r="C14" s="293">
        <f t="shared" si="0"/>
        <v>3068.2000000000003</v>
      </c>
      <c r="D14" s="280">
        <v>5</v>
      </c>
      <c r="E14" s="199">
        <f t="shared" ref="E14:E20" si="8">+(B14-C14)/D14</f>
        <v>2454.56</v>
      </c>
      <c r="F14" s="285">
        <v>0</v>
      </c>
      <c r="G14" s="285">
        <v>1</v>
      </c>
      <c r="H14" s="199">
        <f t="shared" si="2"/>
        <v>0</v>
      </c>
      <c r="I14" s="199">
        <f t="shared" si="3"/>
        <v>9204.6</v>
      </c>
      <c r="J14" s="199">
        <f t="shared" ref="J14:J20" si="9">+F14*E14</f>
        <v>0</v>
      </c>
      <c r="K14" s="199">
        <f>+G14*E14</f>
        <v>2454.56</v>
      </c>
      <c r="L14" s="285">
        <v>0.5</v>
      </c>
      <c r="M14" s="285">
        <v>0.08</v>
      </c>
      <c r="N14" s="294">
        <v>5</v>
      </c>
      <c r="O14" s="199">
        <f t="shared" si="6"/>
        <v>1921.12623475492</v>
      </c>
      <c r="P14" s="199">
        <f>+O14*(F14+G14)</f>
        <v>1921.12623475492</v>
      </c>
    </row>
    <row r="15" spans="1:17" x14ac:dyDescent="0.25">
      <c r="A15" s="280" t="s">
        <v>317</v>
      </c>
      <c r="B15" s="293">
        <v>0</v>
      </c>
      <c r="C15" s="293">
        <f t="shared" si="0"/>
        <v>0</v>
      </c>
      <c r="D15" s="280">
        <v>5</v>
      </c>
      <c r="E15" s="199">
        <f t="shared" si="8"/>
        <v>0</v>
      </c>
      <c r="F15" s="285">
        <v>0</v>
      </c>
      <c r="G15" s="285">
        <v>1</v>
      </c>
      <c r="H15" s="199">
        <f t="shared" si="2"/>
        <v>0</v>
      </c>
      <c r="I15" s="199">
        <f t="shared" si="3"/>
        <v>0</v>
      </c>
      <c r="J15" s="199">
        <f t="shared" si="9"/>
        <v>0</v>
      </c>
      <c r="K15" s="199">
        <f t="shared" ref="K15:K20" si="10">+G15*E15</f>
        <v>0</v>
      </c>
      <c r="L15" s="285">
        <v>0</v>
      </c>
      <c r="M15" s="285">
        <v>0.08</v>
      </c>
      <c r="N15" s="294">
        <v>5</v>
      </c>
      <c r="O15" s="199">
        <f t="shared" si="6"/>
        <v>0</v>
      </c>
      <c r="P15" s="199">
        <f t="shared" ref="P15:P20" si="11">+O15*(F15+G15)</f>
        <v>0</v>
      </c>
    </row>
    <row r="16" spans="1:17" x14ac:dyDescent="0.25">
      <c r="A16" s="280" t="s">
        <v>318</v>
      </c>
      <c r="B16" s="293">
        <v>0</v>
      </c>
      <c r="C16" s="293">
        <f t="shared" si="0"/>
        <v>0</v>
      </c>
      <c r="D16" s="280">
        <v>5</v>
      </c>
      <c r="E16" s="199">
        <f t="shared" si="8"/>
        <v>0</v>
      </c>
      <c r="F16" s="285">
        <v>0</v>
      </c>
      <c r="G16" s="285">
        <v>1</v>
      </c>
      <c r="H16" s="199">
        <f t="shared" si="2"/>
        <v>0</v>
      </c>
      <c r="I16" s="199">
        <f t="shared" si="3"/>
        <v>0</v>
      </c>
      <c r="J16" s="199">
        <f t="shared" si="9"/>
        <v>0</v>
      </c>
      <c r="K16" s="199">
        <f t="shared" si="10"/>
        <v>0</v>
      </c>
      <c r="L16" s="285">
        <v>0</v>
      </c>
      <c r="M16" s="285">
        <v>0.08</v>
      </c>
      <c r="N16" s="294">
        <v>5</v>
      </c>
      <c r="O16" s="199">
        <f t="shared" si="6"/>
        <v>0</v>
      </c>
      <c r="P16" s="199">
        <f t="shared" si="11"/>
        <v>0</v>
      </c>
    </row>
    <row r="17" spans="1:16" x14ac:dyDescent="0.25">
      <c r="A17" s="280" t="s">
        <v>319</v>
      </c>
      <c r="B17" s="293">
        <v>0</v>
      </c>
      <c r="C17" s="293">
        <f t="shared" si="0"/>
        <v>0</v>
      </c>
      <c r="D17" s="280">
        <v>5</v>
      </c>
      <c r="E17" s="199">
        <f t="shared" si="8"/>
        <v>0</v>
      </c>
      <c r="F17" s="285">
        <v>0</v>
      </c>
      <c r="G17" s="285">
        <v>1</v>
      </c>
      <c r="H17" s="199">
        <f t="shared" si="2"/>
        <v>0</v>
      </c>
      <c r="I17" s="199">
        <f t="shared" si="3"/>
        <v>0</v>
      </c>
      <c r="J17" s="199">
        <f t="shared" si="9"/>
        <v>0</v>
      </c>
      <c r="K17" s="199">
        <f t="shared" si="10"/>
        <v>0</v>
      </c>
      <c r="L17" s="285">
        <v>0</v>
      </c>
      <c r="M17" s="285">
        <v>0.08</v>
      </c>
      <c r="N17" s="294">
        <v>5</v>
      </c>
      <c r="O17" s="199">
        <f t="shared" si="6"/>
        <v>0</v>
      </c>
      <c r="P17" s="199">
        <f t="shared" si="11"/>
        <v>0</v>
      </c>
    </row>
    <row r="18" spans="1:16" x14ac:dyDescent="0.25">
      <c r="A18" s="280" t="s">
        <v>320</v>
      </c>
      <c r="B18" s="293">
        <v>0</v>
      </c>
      <c r="C18" s="293">
        <f t="shared" si="0"/>
        <v>0</v>
      </c>
      <c r="D18" s="280">
        <v>5</v>
      </c>
      <c r="E18" s="199">
        <f t="shared" si="8"/>
        <v>0</v>
      </c>
      <c r="F18" s="285">
        <v>0</v>
      </c>
      <c r="G18" s="285">
        <v>1</v>
      </c>
      <c r="H18" s="199">
        <f t="shared" si="2"/>
        <v>0</v>
      </c>
      <c r="I18" s="199">
        <f t="shared" si="3"/>
        <v>0</v>
      </c>
      <c r="J18" s="199">
        <f t="shared" si="9"/>
        <v>0</v>
      </c>
      <c r="K18" s="199">
        <f t="shared" si="10"/>
        <v>0</v>
      </c>
      <c r="L18" s="285">
        <v>0</v>
      </c>
      <c r="M18" s="285">
        <v>0.08</v>
      </c>
      <c r="N18" s="294">
        <v>5</v>
      </c>
      <c r="O18" s="199">
        <f t="shared" si="6"/>
        <v>0</v>
      </c>
      <c r="P18" s="199">
        <f t="shared" si="11"/>
        <v>0</v>
      </c>
    </row>
    <row r="19" spans="1:16" x14ac:dyDescent="0.25">
      <c r="A19" s="280" t="s">
        <v>321</v>
      </c>
      <c r="B19" s="293">
        <v>0</v>
      </c>
      <c r="C19" s="293">
        <f t="shared" si="0"/>
        <v>0</v>
      </c>
      <c r="D19" s="280">
        <v>5</v>
      </c>
      <c r="E19" s="199">
        <f t="shared" si="8"/>
        <v>0</v>
      </c>
      <c r="F19" s="285">
        <v>0</v>
      </c>
      <c r="G19" s="285">
        <v>1</v>
      </c>
      <c r="H19" s="199">
        <f t="shared" si="2"/>
        <v>0</v>
      </c>
      <c r="I19" s="199">
        <f t="shared" si="3"/>
        <v>0</v>
      </c>
      <c r="J19" s="199">
        <f t="shared" si="9"/>
        <v>0</v>
      </c>
      <c r="K19" s="199">
        <f t="shared" si="10"/>
        <v>0</v>
      </c>
      <c r="L19" s="285">
        <v>0</v>
      </c>
      <c r="M19" s="285">
        <v>0.08</v>
      </c>
      <c r="N19" s="294">
        <v>5</v>
      </c>
      <c r="O19" s="199">
        <f t="shared" si="6"/>
        <v>0</v>
      </c>
      <c r="P19" s="199">
        <f t="shared" si="11"/>
        <v>0</v>
      </c>
    </row>
    <row r="20" spans="1:16" ht="13.8" thickBot="1" x14ac:dyDescent="0.3">
      <c r="A20" s="295" t="s">
        <v>322</v>
      </c>
      <c r="B20" s="293">
        <v>0</v>
      </c>
      <c r="C20" s="293">
        <f t="shared" si="0"/>
        <v>0</v>
      </c>
      <c r="D20" s="280">
        <v>5</v>
      </c>
      <c r="E20" s="199">
        <f t="shared" si="8"/>
        <v>0</v>
      </c>
      <c r="F20" s="285">
        <v>0</v>
      </c>
      <c r="G20" s="285">
        <v>1</v>
      </c>
      <c r="H20" s="296">
        <f t="shared" si="2"/>
        <v>0</v>
      </c>
      <c r="I20" s="296">
        <f t="shared" si="3"/>
        <v>0</v>
      </c>
      <c r="J20" s="199">
        <f t="shared" si="9"/>
        <v>0</v>
      </c>
      <c r="K20" s="199">
        <f t="shared" si="10"/>
        <v>0</v>
      </c>
      <c r="L20" s="285">
        <v>0</v>
      </c>
      <c r="M20" s="285">
        <v>0.08</v>
      </c>
      <c r="N20" s="294">
        <v>5</v>
      </c>
      <c r="O20" s="199">
        <f t="shared" si="6"/>
        <v>0</v>
      </c>
      <c r="P20" s="199">
        <f t="shared" si="11"/>
        <v>0</v>
      </c>
    </row>
    <row r="21" spans="1:16" ht="13.8" thickBot="1" x14ac:dyDescent="0.3">
      <c r="A21" s="297" t="s">
        <v>175</v>
      </c>
      <c r="B21" s="274">
        <f>+SUM(B4:B20)</f>
        <v>151136</v>
      </c>
      <c r="C21" s="274">
        <f>+SUM(C4:C20)</f>
        <v>30227.200000000001</v>
      </c>
      <c r="D21" s="298"/>
      <c r="E21" s="274">
        <f>+SUM(E4:E20)</f>
        <v>16239.06</v>
      </c>
      <c r="F21" s="299"/>
      <c r="G21" s="299"/>
      <c r="H21" s="274">
        <f>+SUM(H4:H20)</f>
        <v>11252.7</v>
      </c>
      <c r="I21" s="274">
        <f>+SUM(I4:I20)</f>
        <v>26214.6</v>
      </c>
      <c r="J21" s="274">
        <f>+SUM(J4:J20)</f>
        <v>1934.95</v>
      </c>
      <c r="K21" s="274">
        <f>+SUM(K4:K20)</f>
        <v>5601.5599999999995</v>
      </c>
      <c r="L21" s="298"/>
      <c r="M21" s="298"/>
      <c r="N21" s="267"/>
      <c r="O21" s="274">
        <f>+SUM(O4:O20)</f>
        <v>11814.156190144966</v>
      </c>
      <c r="P21" s="185">
        <f>+SUM(P4:P20)</f>
        <v>3899.7322258329295</v>
      </c>
    </row>
    <row r="22" spans="1:16" x14ac:dyDescent="0.25">
      <c r="A22" s="202"/>
      <c r="B22" s="199"/>
      <c r="C22" s="199"/>
      <c r="D22" s="202"/>
      <c r="E22" s="202"/>
      <c r="F22" s="200"/>
      <c r="G22" s="200"/>
      <c r="H22" s="200"/>
      <c r="I22" s="200"/>
      <c r="J22" s="199"/>
      <c r="K22" s="199"/>
      <c r="L22" s="202"/>
      <c r="M22" s="202"/>
      <c r="N22" s="269"/>
      <c r="O22" s="199"/>
      <c r="P22" s="199"/>
    </row>
    <row r="23" spans="1:16" x14ac:dyDescent="0.25">
      <c r="A23" s="202"/>
      <c r="B23" s="199"/>
      <c r="C23" s="199"/>
      <c r="D23" s="202"/>
      <c r="E23" s="202"/>
      <c r="F23" s="200"/>
      <c r="G23" s="200"/>
      <c r="H23" s="200"/>
      <c r="I23" s="200"/>
      <c r="J23" s="199"/>
      <c r="K23" s="199"/>
      <c r="L23" s="202"/>
      <c r="M23" s="202"/>
      <c r="N23" s="269"/>
      <c r="O23" s="199"/>
      <c r="P23" s="199"/>
    </row>
    <row r="24" spans="1:16" x14ac:dyDescent="0.25">
      <c r="A24" s="453" t="s">
        <v>390</v>
      </c>
      <c r="B24" s="453"/>
      <c r="C24" s="453"/>
      <c r="D24" s="199">
        <f>+(cow_inv+cow_dep)/2</f>
        <v>6593.8250000000007</v>
      </c>
      <c r="E24" s="202"/>
      <c r="F24" s="200"/>
      <c r="G24" s="200"/>
      <c r="H24" s="200"/>
      <c r="I24" s="200"/>
      <c r="J24" s="199"/>
      <c r="K24" s="199"/>
      <c r="L24" s="202"/>
      <c r="M24" s="202"/>
      <c r="N24" s="269"/>
      <c r="O24" s="199"/>
      <c r="P24" s="199"/>
    </row>
    <row r="25" spans="1:16" ht="13.8" thickBot="1" x14ac:dyDescent="0.3">
      <c r="A25" s="456" t="s">
        <v>391</v>
      </c>
      <c r="B25" s="456"/>
      <c r="C25" s="456"/>
      <c r="D25" s="200">
        <v>0.08</v>
      </c>
      <c r="E25" s="202"/>
      <c r="F25" s="200"/>
      <c r="G25" s="200"/>
      <c r="H25" s="200"/>
      <c r="I25" s="200"/>
      <c r="J25" s="199"/>
      <c r="K25" s="199"/>
      <c r="L25" s="202"/>
      <c r="M25" s="202"/>
      <c r="N25" s="269"/>
      <c r="O25" s="199"/>
      <c r="P25" s="199"/>
    </row>
    <row r="26" spans="1:16" ht="13.8" thickBot="1" x14ac:dyDescent="0.3">
      <c r="A26" s="458" t="s">
        <v>392</v>
      </c>
      <c r="B26" s="459"/>
      <c r="C26" s="459"/>
      <c r="D26" s="201">
        <f>+D25*D24</f>
        <v>527.50600000000009</v>
      </c>
      <c r="E26" s="202"/>
      <c r="F26" s="200"/>
      <c r="G26" s="200"/>
      <c r="H26" s="200"/>
      <c r="I26" s="200"/>
      <c r="J26" s="199"/>
      <c r="K26" s="199"/>
      <c r="L26" s="202"/>
      <c r="M26" s="202"/>
      <c r="N26" s="269"/>
      <c r="O26" s="199"/>
      <c r="P26" s="199"/>
    </row>
    <row r="27" spans="1:16" x14ac:dyDescent="0.25">
      <c r="A27" s="202" t="s">
        <v>393</v>
      </c>
      <c r="B27" s="199"/>
      <c r="C27" s="199"/>
      <c r="D27" s="199">
        <f>+D26+cow_dep</f>
        <v>2462.4560000000001</v>
      </c>
      <c r="E27" s="202"/>
      <c r="F27" s="200"/>
      <c r="G27" s="200"/>
      <c r="H27" s="200"/>
      <c r="I27" s="200"/>
      <c r="J27" s="199"/>
      <c r="K27" s="199"/>
      <c r="L27" s="202"/>
      <c r="M27" s="202"/>
      <c r="N27" s="269"/>
      <c r="O27" s="199"/>
      <c r="P27" s="199"/>
    </row>
    <row r="28" spans="1:16" x14ac:dyDescent="0.25">
      <c r="A28" s="202"/>
      <c r="B28" s="199"/>
      <c r="C28" s="199"/>
      <c r="D28" s="202"/>
      <c r="E28" s="202"/>
      <c r="F28" s="200"/>
      <c r="G28" s="200"/>
      <c r="H28" s="200"/>
      <c r="I28" s="200"/>
      <c r="J28" s="199"/>
      <c r="K28" s="199"/>
      <c r="L28" s="202"/>
      <c r="M28" s="202"/>
      <c r="N28" s="269"/>
      <c r="O28" s="199"/>
      <c r="P28" s="199"/>
    </row>
    <row r="29" spans="1:16" x14ac:dyDescent="0.25">
      <c r="A29" s="453" t="s">
        <v>394</v>
      </c>
      <c r="B29" s="453"/>
      <c r="C29" s="453"/>
      <c r="D29" s="199">
        <f>+(hay_inv+Hay_dep)/2</f>
        <v>15908.079999999998</v>
      </c>
      <c r="E29" s="202"/>
      <c r="F29" s="200"/>
      <c r="G29" s="200"/>
      <c r="H29" s="200"/>
      <c r="I29" s="200"/>
      <c r="J29" s="199"/>
      <c r="K29" s="199"/>
      <c r="L29" s="202"/>
      <c r="M29" s="202"/>
      <c r="N29" s="269"/>
      <c r="O29" s="199"/>
      <c r="P29" s="199"/>
    </row>
    <row r="30" spans="1:16" ht="13.8" thickBot="1" x14ac:dyDescent="0.3">
      <c r="A30" s="456" t="s">
        <v>391</v>
      </c>
      <c r="B30" s="456"/>
      <c r="C30" s="456"/>
      <c r="D30" s="200">
        <v>0.08</v>
      </c>
      <c r="E30" s="202"/>
      <c r="F30" s="200"/>
      <c r="G30" s="200"/>
      <c r="H30" s="200"/>
      <c r="I30" s="200"/>
      <c r="J30" s="199"/>
      <c r="K30" s="199"/>
      <c r="L30" s="202"/>
      <c r="M30" s="202"/>
      <c r="N30" s="269"/>
      <c r="O30" s="199"/>
      <c r="P30" s="199"/>
    </row>
    <row r="31" spans="1:16" ht="13.8" thickBot="1" x14ac:dyDescent="0.3">
      <c r="A31" s="458" t="s">
        <v>395</v>
      </c>
      <c r="B31" s="459"/>
      <c r="C31" s="459"/>
      <c r="D31" s="201">
        <f>+D30*D29</f>
        <v>1272.6463999999999</v>
      </c>
      <c r="E31" s="202"/>
      <c r="F31" s="200"/>
      <c r="G31" s="200"/>
      <c r="H31" s="200"/>
      <c r="I31" s="200"/>
      <c r="J31" s="199"/>
      <c r="K31" s="199"/>
      <c r="L31" s="202"/>
      <c r="M31" s="202"/>
      <c r="N31" s="269"/>
      <c r="O31" s="199"/>
      <c r="P31" s="199"/>
    </row>
    <row r="32" spans="1:16" x14ac:dyDescent="0.25">
      <c r="A32" s="202" t="s">
        <v>396</v>
      </c>
      <c r="B32" s="199"/>
      <c r="C32" s="199"/>
      <c r="D32" s="199">
        <f>+D31+Hay_dep</f>
        <v>6874.2063999999991</v>
      </c>
      <c r="E32" s="202"/>
      <c r="F32" s="200"/>
      <c r="G32" s="200"/>
      <c r="H32" s="200"/>
      <c r="I32" s="200"/>
      <c r="J32" s="199"/>
      <c r="K32" s="199"/>
      <c r="L32" s="202"/>
      <c r="M32" s="202"/>
      <c r="N32" s="269"/>
      <c r="O32" s="199"/>
      <c r="P32" s="199"/>
    </row>
    <row r="33" spans="1:16" x14ac:dyDescent="0.25">
      <c r="A33" s="202"/>
      <c r="B33" s="199"/>
      <c r="C33" s="199"/>
      <c r="D33" s="202"/>
      <c r="E33" s="202"/>
      <c r="F33" s="200"/>
      <c r="G33" s="200"/>
      <c r="H33" s="200"/>
      <c r="I33" s="200"/>
      <c r="J33" s="199"/>
      <c r="K33" s="199"/>
      <c r="L33" s="202"/>
      <c r="M33" s="202"/>
      <c r="N33" s="269"/>
      <c r="O33" s="199"/>
      <c r="P33" s="199"/>
    </row>
    <row r="34" spans="1:16" x14ac:dyDescent="0.25">
      <c r="A34" s="202"/>
      <c r="B34" s="199"/>
      <c r="C34" s="199"/>
      <c r="D34" s="202"/>
      <c r="E34" s="202"/>
      <c r="F34" s="200"/>
      <c r="G34" s="200"/>
      <c r="H34" s="200"/>
      <c r="I34" s="200"/>
      <c r="J34" s="199"/>
      <c r="K34" s="199"/>
      <c r="L34" s="202"/>
      <c r="M34" s="202"/>
      <c r="N34" s="269"/>
      <c r="O34" s="199"/>
      <c r="P34" s="199"/>
    </row>
    <row r="35" spans="1:16" x14ac:dyDescent="0.25">
      <c r="A35" s="202"/>
      <c r="B35" s="199"/>
      <c r="C35" s="199"/>
      <c r="D35" s="202"/>
      <c r="E35" s="202"/>
      <c r="F35" s="200"/>
      <c r="G35" s="200"/>
      <c r="H35" s="200"/>
      <c r="I35" s="200"/>
      <c r="J35" s="199"/>
      <c r="K35" s="199"/>
      <c r="L35" s="202"/>
      <c r="M35" s="202"/>
      <c r="N35" s="269"/>
      <c r="O35" s="199"/>
      <c r="P35" s="199"/>
    </row>
    <row r="36" spans="1:16" x14ac:dyDescent="0.25">
      <c r="A36" s="202"/>
      <c r="B36" s="199"/>
      <c r="C36" s="199"/>
      <c r="D36" s="202"/>
      <c r="E36" s="202"/>
      <c r="F36" s="200"/>
      <c r="G36" s="200"/>
      <c r="H36" s="200"/>
      <c r="I36" s="200"/>
      <c r="J36" s="199"/>
      <c r="K36" s="199"/>
      <c r="L36" s="202"/>
      <c r="M36" s="202"/>
      <c r="N36" s="269"/>
      <c r="O36" s="199"/>
      <c r="P36" s="199"/>
    </row>
    <row r="37" spans="1:16" x14ac:dyDescent="0.25">
      <c r="A37" s="202"/>
      <c r="B37" s="199"/>
      <c r="C37" s="199"/>
      <c r="D37" s="202"/>
      <c r="E37" s="202"/>
      <c r="F37" s="200"/>
      <c r="G37" s="200"/>
      <c r="H37" s="200"/>
      <c r="I37" s="200"/>
      <c r="J37" s="199"/>
      <c r="K37" s="199"/>
      <c r="L37" s="202"/>
      <c r="M37" s="202"/>
      <c r="N37" s="269"/>
      <c r="O37" s="199"/>
      <c r="P37" s="199"/>
    </row>
    <row r="38" spans="1:16" x14ac:dyDescent="0.25">
      <c r="A38" s="202"/>
      <c r="B38" s="199"/>
      <c r="C38" s="199"/>
      <c r="D38" s="202"/>
      <c r="E38" s="202"/>
      <c r="F38" s="200"/>
      <c r="G38" s="200"/>
      <c r="H38" s="200"/>
      <c r="I38" s="200"/>
      <c r="J38" s="199"/>
      <c r="K38" s="199"/>
      <c r="L38" s="202"/>
      <c r="M38" s="202"/>
      <c r="N38" s="269"/>
      <c r="O38" s="199"/>
      <c r="P38" s="199"/>
    </row>
    <row r="39" spans="1:16" x14ac:dyDescent="0.25">
      <c r="A39" s="202"/>
      <c r="B39" s="199"/>
      <c r="C39" s="199"/>
      <c r="D39" s="202"/>
      <c r="E39" s="202"/>
      <c r="F39" s="200"/>
      <c r="G39" s="200"/>
      <c r="H39" s="200"/>
      <c r="I39" s="200"/>
      <c r="J39" s="199"/>
      <c r="K39" s="199"/>
      <c r="L39" s="202"/>
      <c r="M39" s="202"/>
      <c r="N39" s="269"/>
      <c r="O39" s="199"/>
      <c r="P39" s="199"/>
    </row>
  </sheetData>
  <sheetProtection sheet="1" objects="1" scenarios="1"/>
  <mergeCells count="8">
    <mergeCell ref="A30:C30"/>
    <mergeCell ref="A31:C31"/>
    <mergeCell ref="A2:P2"/>
    <mergeCell ref="A1:B1"/>
    <mergeCell ref="A24:C24"/>
    <mergeCell ref="A25:C25"/>
    <mergeCell ref="A26:C26"/>
    <mergeCell ref="A29:C29"/>
  </mergeCells>
  <phoneticPr fontId="30" type="noConversion"/>
  <hyperlinks>
    <hyperlink ref="A1:B1" location="Main!A78" display="Return to Main"/>
  </hyperlinks>
  <pageMargins left="0.75" right="0.75" top="1" bottom="1" header="0.5" footer="0.5"/>
  <pageSetup scale="6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J30"/>
  <sheetViews>
    <sheetView zoomScaleNormal="100" workbookViewId="0">
      <selection activeCell="B10" sqref="B10"/>
    </sheetView>
  </sheetViews>
  <sheetFormatPr defaultColWidth="8.44140625" defaultRowHeight="13.2" x14ac:dyDescent="0.25"/>
  <cols>
    <col min="1" max="1" width="5.44140625" style="109" customWidth="1"/>
    <col min="2" max="2" width="8.44140625" style="109" customWidth="1"/>
    <col min="3" max="3" width="7.5546875" style="109" customWidth="1"/>
    <col min="4" max="4" width="9.44140625" style="109" customWidth="1"/>
    <col min="5" max="5" width="13.109375" style="109" customWidth="1"/>
    <col min="6" max="6" width="12" style="109" customWidth="1"/>
    <col min="7" max="7" width="10" style="109" customWidth="1"/>
    <col min="8" max="8" width="8.44140625" style="109" customWidth="1"/>
    <col min="9" max="9" width="15.6640625" style="109" customWidth="1"/>
    <col min="10" max="16384" width="8.44140625" style="109"/>
  </cols>
  <sheetData>
    <row r="1" spans="2:10" ht="15.6" x14ac:dyDescent="0.3">
      <c r="D1" s="110"/>
      <c r="F1" s="122"/>
    </row>
    <row r="3" spans="2:10" x14ac:dyDescent="0.25">
      <c r="B3" s="123" t="s">
        <v>112</v>
      </c>
      <c r="C3" s="124"/>
      <c r="D3" s="124"/>
      <c r="E3" s="124"/>
      <c r="F3" s="124"/>
      <c r="G3" s="124"/>
      <c r="H3" s="124"/>
      <c r="I3" s="124"/>
    </row>
    <row r="4" spans="2:10" x14ac:dyDescent="0.25">
      <c r="B4" s="124" t="s">
        <v>113</v>
      </c>
      <c r="C4" s="124"/>
      <c r="D4" s="124"/>
      <c r="E4" s="124"/>
      <c r="F4" s="124"/>
      <c r="G4" s="124"/>
      <c r="H4" s="124"/>
      <c r="I4" s="124"/>
    </row>
    <row r="6" spans="2:10" x14ac:dyDescent="0.25">
      <c r="B6" s="109" t="s">
        <v>114</v>
      </c>
      <c r="H6" s="125">
        <f>+Main!H18</f>
        <v>100</v>
      </c>
    </row>
    <row r="7" spans="2:10" x14ac:dyDescent="0.25">
      <c r="B7" s="109" t="s">
        <v>115</v>
      </c>
      <c r="H7" s="126">
        <v>0.09</v>
      </c>
    </row>
    <row r="9" spans="2:10" x14ac:dyDescent="0.25">
      <c r="B9" s="462" t="s">
        <v>107</v>
      </c>
      <c r="C9" s="463"/>
      <c r="D9" s="128" t="s">
        <v>116</v>
      </c>
      <c r="E9" s="128" t="s">
        <v>117</v>
      </c>
      <c r="F9" s="129" t="s">
        <v>118</v>
      </c>
      <c r="G9" s="128" t="s">
        <v>119</v>
      </c>
      <c r="H9" s="130" t="s">
        <v>120</v>
      </c>
      <c r="I9" s="127" t="s">
        <v>121</v>
      </c>
    </row>
    <row r="10" spans="2:10" x14ac:dyDescent="0.25">
      <c r="B10" s="109" t="s">
        <v>122</v>
      </c>
      <c r="D10" s="131">
        <v>60</v>
      </c>
      <c r="E10" s="132">
        <v>700</v>
      </c>
      <c r="F10" s="112">
        <f>D10*E10</f>
        <v>42000</v>
      </c>
      <c r="G10" s="112">
        <f>Main!H27*Main!H28*D10</f>
        <v>42900</v>
      </c>
      <c r="H10" s="113">
        <f>1/Main!H20</f>
        <v>6.666666666666667</v>
      </c>
      <c r="I10" s="114">
        <f>+(F10-G10)/H10</f>
        <v>-135</v>
      </c>
      <c r="J10" s="133"/>
    </row>
    <row r="11" spans="2:10" x14ac:dyDescent="0.25">
      <c r="B11" s="109" t="s">
        <v>287</v>
      </c>
      <c r="D11" s="134">
        <v>0</v>
      </c>
      <c r="E11" s="132">
        <v>850</v>
      </c>
      <c r="F11" s="112">
        <f>D11*E11</f>
        <v>0</v>
      </c>
      <c r="G11" s="132">
        <v>0</v>
      </c>
      <c r="H11" s="109">
        <v>6</v>
      </c>
      <c r="I11" s="114">
        <f t="shared" ref="I11:I20" si="0">+(F11-G11)/H11</f>
        <v>0</v>
      </c>
    </row>
    <row r="12" spans="2:10" x14ac:dyDescent="0.25">
      <c r="B12" s="109" t="s">
        <v>124</v>
      </c>
      <c r="D12" s="131">
        <f>+Main!H29</f>
        <v>3</v>
      </c>
      <c r="E12" s="132">
        <v>1500</v>
      </c>
      <c r="F12" s="112">
        <f>D12*E12</f>
        <v>4500</v>
      </c>
      <c r="G12" s="112">
        <f>+(Main!H31*Main!H32)*Main!H29</f>
        <v>3240</v>
      </c>
      <c r="H12" s="134">
        <v>4</v>
      </c>
      <c r="I12" s="114">
        <f t="shared" si="0"/>
        <v>315</v>
      </c>
    </row>
    <row r="13" spans="2:10" x14ac:dyDescent="0.25">
      <c r="D13" s="131"/>
      <c r="E13" s="132"/>
      <c r="F13" s="112"/>
      <c r="G13" s="112"/>
      <c r="H13" s="134"/>
      <c r="I13" s="114"/>
    </row>
    <row r="14" spans="2:10" x14ac:dyDescent="0.25">
      <c r="D14" s="131"/>
      <c r="E14" s="132"/>
      <c r="F14" s="112"/>
      <c r="G14" s="112"/>
      <c r="H14" s="134"/>
      <c r="I14" s="114"/>
    </row>
    <row r="15" spans="2:10" x14ac:dyDescent="0.25">
      <c r="D15" s="131"/>
      <c r="E15" s="132"/>
      <c r="F15" s="112"/>
      <c r="G15" s="112"/>
      <c r="H15" s="134"/>
      <c r="I15" s="114"/>
    </row>
    <row r="16" spans="2:10" x14ac:dyDescent="0.25">
      <c r="D16" s="131"/>
      <c r="E16" s="132"/>
      <c r="F16" s="112"/>
      <c r="G16" s="112"/>
      <c r="H16" s="134"/>
      <c r="I16" s="114"/>
    </row>
    <row r="17" spans="2:9" x14ac:dyDescent="0.25">
      <c r="B17" s="109" t="s">
        <v>125</v>
      </c>
      <c r="E17" s="133"/>
      <c r="F17" s="132">
        <v>1200</v>
      </c>
      <c r="G17" s="132">
        <v>0</v>
      </c>
      <c r="H17" s="134">
        <v>10</v>
      </c>
      <c r="I17" s="114">
        <f t="shared" si="0"/>
        <v>120</v>
      </c>
    </row>
    <row r="18" spans="2:9" x14ac:dyDescent="0.25">
      <c r="B18" s="109" t="s">
        <v>126</v>
      </c>
      <c r="D18" s="135">
        <v>2.5</v>
      </c>
      <c r="E18" s="132">
        <v>1800</v>
      </c>
      <c r="F18" s="112">
        <f>D18*E18</f>
        <v>4500</v>
      </c>
      <c r="G18" s="132">
        <v>0</v>
      </c>
      <c r="H18" s="134">
        <v>15</v>
      </c>
      <c r="I18" s="114">
        <f t="shared" si="0"/>
        <v>300</v>
      </c>
    </row>
    <row r="19" spans="2:9" x14ac:dyDescent="0.25">
      <c r="B19" s="109" t="s">
        <v>127</v>
      </c>
      <c r="D19" s="136"/>
      <c r="E19" s="133"/>
      <c r="F19" s="132">
        <v>800</v>
      </c>
      <c r="G19" s="132">
        <v>0</v>
      </c>
      <c r="H19" s="134">
        <v>10</v>
      </c>
      <c r="I19" s="114">
        <f t="shared" si="0"/>
        <v>80</v>
      </c>
    </row>
    <row r="20" spans="2:9" x14ac:dyDescent="0.25">
      <c r="B20" s="109" t="s">
        <v>128</v>
      </c>
      <c r="E20" s="133"/>
      <c r="F20" s="132">
        <v>500</v>
      </c>
      <c r="G20" s="132">
        <v>0</v>
      </c>
      <c r="H20" s="134">
        <v>5</v>
      </c>
      <c r="I20" s="114">
        <f t="shared" si="0"/>
        <v>100</v>
      </c>
    </row>
    <row r="22" spans="2:9" x14ac:dyDescent="0.25">
      <c r="B22" s="109" t="s">
        <v>129</v>
      </c>
      <c r="F22" s="137">
        <f>SUM(F10:F20)</f>
        <v>53500</v>
      </c>
      <c r="G22" s="137">
        <f>SUM(G10:G20)</f>
        <v>46140</v>
      </c>
      <c r="I22" s="138">
        <f>SUM(I12:I20)</f>
        <v>915</v>
      </c>
    </row>
    <row r="23" spans="2:9" x14ac:dyDescent="0.25">
      <c r="I23" s="139"/>
    </row>
    <row r="24" spans="2:9" x14ac:dyDescent="0.25">
      <c r="B24" s="109" t="s">
        <v>130</v>
      </c>
      <c r="I24" s="138">
        <f>(F22+G22)/2*H7</f>
        <v>4483.8</v>
      </c>
    </row>
    <row r="25" spans="2:9" x14ac:dyDescent="0.25">
      <c r="I25" s="139"/>
    </row>
    <row r="26" spans="2:9" x14ac:dyDescent="0.25">
      <c r="B26" s="111" t="s">
        <v>131</v>
      </c>
      <c r="C26" s="140"/>
      <c r="D26" s="140"/>
      <c r="E26" s="140"/>
      <c r="F26" s="140"/>
      <c r="G26" s="141">
        <v>1.4E-2</v>
      </c>
      <c r="H26" s="140"/>
      <c r="I26" s="138">
        <f>(F22+G22)/2*G26</f>
        <v>697.48</v>
      </c>
    </row>
    <row r="27" spans="2:9" x14ac:dyDescent="0.25">
      <c r="I27" s="139"/>
    </row>
    <row r="28" spans="2:9" x14ac:dyDescent="0.25">
      <c r="B28" s="109" t="s">
        <v>132</v>
      </c>
      <c r="I28" s="138">
        <f>SUM(I22:I26)</f>
        <v>6096.2800000000007</v>
      </c>
    </row>
    <row r="29" spans="2:9" x14ac:dyDescent="0.25">
      <c r="I29" s="139"/>
    </row>
    <row r="30" spans="2:9" x14ac:dyDescent="0.25">
      <c r="B30" s="109" t="s">
        <v>133</v>
      </c>
      <c r="I30" s="138">
        <f>I28/H6</f>
        <v>60.962800000000009</v>
      </c>
    </row>
  </sheetData>
  <mergeCells count="1">
    <mergeCell ref="B9:C9"/>
  </mergeCells>
  <phoneticPr fontId="0" type="noConversion"/>
  <pageMargins left="0.75" right="0.75" top="1" bottom="1" header="0.5" footer="0.5"/>
  <pageSetup fitToHeight="0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42"/>
  <sheetViews>
    <sheetView showRowColHeaders="0" zoomScaleNormal="100" workbookViewId="0">
      <selection activeCell="B10" sqref="B10"/>
    </sheetView>
  </sheetViews>
  <sheetFormatPr defaultColWidth="8.44140625" defaultRowHeight="13.2" x14ac:dyDescent="0.25"/>
  <cols>
    <col min="1" max="1" width="2.6640625" style="1" customWidth="1"/>
    <col min="2" max="3" width="8.44140625" style="1" customWidth="1"/>
    <col min="4" max="4" width="9.6640625" style="1" customWidth="1"/>
    <col min="5" max="5" width="10.6640625" style="1" customWidth="1"/>
    <col min="6" max="6" width="11.109375" style="1" customWidth="1"/>
    <col min="7" max="7" width="9.109375" style="1" customWidth="1"/>
    <col min="8" max="8" width="7.6640625" style="1" customWidth="1"/>
    <col min="9" max="9" width="10.6640625" style="1" customWidth="1"/>
    <col min="10" max="10" width="15.6640625" style="1" customWidth="1"/>
    <col min="11" max="16384" width="8.44140625" style="1"/>
  </cols>
  <sheetData>
    <row r="1" spans="1:11" x14ac:dyDescent="0.25">
      <c r="D1" s="32"/>
    </row>
    <row r="3" spans="1:11" x14ac:dyDescent="0.25">
      <c r="B3" s="18" t="s">
        <v>134</v>
      </c>
      <c r="C3" s="14"/>
      <c r="D3" s="14"/>
      <c r="E3" s="14"/>
      <c r="F3" s="14"/>
      <c r="G3" s="14"/>
      <c r="H3" s="14"/>
      <c r="I3" s="14"/>
      <c r="J3" s="14"/>
    </row>
    <row r="4" spans="1:11" x14ac:dyDescent="0.25">
      <c r="B4" s="14" t="s">
        <v>135</v>
      </c>
      <c r="C4" s="14"/>
      <c r="D4" s="14"/>
      <c r="E4" s="14"/>
      <c r="F4" s="14"/>
      <c r="G4" s="14"/>
      <c r="H4" s="14"/>
      <c r="I4" s="14"/>
      <c r="J4" s="14"/>
    </row>
    <row r="6" spans="1:11" x14ac:dyDescent="0.25">
      <c r="E6" s="5" t="s">
        <v>136</v>
      </c>
      <c r="G6" s="101">
        <f>+Main!F47+Main!F48+Main!F50</f>
        <v>125</v>
      </c>
    </row>
    <row r="7" spans="1:11" x14ac:dyDescent="0.25">
      <c r="E7" s="5" t="s">
        <v>137</v>
      </c>
      <c r="G7" s="101">
        <f>+Main!H18</f>
        <v>100</v>
      </c>
    </row>
    <row r="9" spans="1:11" x14ac:dyDescent="0.25">
      <c r="B9" s="1" t="s">
        <v>138</v>
      </c>
    </row>
    <row r="10" spans="1:11" x14ac:dyDescent="0.25">
      <c r="B10" s="1" t="s">
        <v>139</v>
      </c>
    </row>
    <row r="12" spans="1:11" x14ac:dyDescent="0.25">
      <c r="A12" s="26"/>
      <c r="B12" s="27"/>
      <c r="C12" s="28"/>
      <c r="D12" s="23" t="s">
        <v>1</v>
      </c>
      <c r="E12" s="23" t="s">
        <v>23</v>
      </c>
      <c r="F12" s="23" t="s">
        <v>22</v>
      </c>
      <c r="G12" s="19" t="s">
        <v>140</v>
      </c>
      <c r="H12" s="20"/>
      <c r="I12" s="20"/>
      <c r="J12" s="21"/>
    </row>
    <row r="13" spans="1:11" x14ac:dyDescent="0.25">
      <c r="B13" s="15" t="s">
        <v>141</v>
      </c>
      <c r="C13" s="29"/>
      <c r="D13" s="24" t="s">
        <v>116</v>
      </c>
      <c r="E13" s="24" t="s">
        <v>142</v>
      </c>
      <c r="F13" s="24" t="s">
        <v>142</v>
      </c>
      <c r="G13" s="22" t="s">
        <v>26</v>
      </c>
      <c r="H13" s="30" t="s">
        <v>120</v>
      </c>
      <c r="I13" s="24" t="s">
        <v>143</v>
      </c>
      <c r="J13" s="24" t="s">
        <v>144</v>
      </c>
    </row>
    <row r="14" spans="1:11" x14ac:dyDescent="0.25">
      <c r="B14" s="1" t="s">
        <v>122</v>
      </c>
      <c r="D14" s="98">
        <v>100</v>
      </c>
      <c r="E14" s="98">
        <v>500</v>
      </c>
      <c r="F14" s="97">
        <f>D14*E14</f>
        <v>50000</v>
      </c>
      <c r="G14" s="105">
        <v>0.5</v>
      </c>
      <c r="H14" s="98">
        <v>7</v>
      </c>
      <c r="I14" s="105">
        <v>0.11</v>
      </c>
      <c r="J14" s="96">
        <f>PMT(I14,H14,-F14*G14)</f>
        <v>5305.3817362524424</v>
      </c>
    </row>
    <row r="15" spans="1:11" x14ac:dyDescent="0.25">
      <c r="B15" s="1" t="s">
        <v>123</v>
      </c>
      <c r="D15" s="98">
        <v>20</v>
      </c>
      <c r="E15" s="104">
        <v>400</v>
      </c>
      <c r="F15" s="102">
        <f>D15*E15</f>
        <v>8000</v>
      </c>
      <c r="G15" s="105">
        <v>0.5</v>
      </c>
      <c r="H15" s="98">
        <v>7</v>
      </c>
      <c r="I15" s="105">
        <v>0.11</v>
      </c>
      <c r="J15" s="96">
        <f t="shared" ref="J15:J20" si="0">PMT(I15,H15,-F15*G15)</f>
        <v>848.86107780039072</v>
      </c>
      <c r="K15" s="46"/>
    </row>
    <row r="16" spans="1:11" x14ac:dyDescent="0.25">
      <c r="B16" s="1" t="s">
        <v>124</v>
      </c>
      <c r="D16" s="98">
        <v>3</v>
      </c>
      <c r="E16" s="104">
        <v>1500</v>
      </c>
      <c r="F16" s="102">
        <f>D16*E16</f>
        <v>4500</v>
      </c>
      <c r="G16" s="105">
        <v>0.5</v>
      </c>
      <c r="H16" s="98">
        <v>7</v>
      </c>
      <c r="I16" s="105">
        <v>0.11</v>
      </c>
      <c r="J16" s="96">
        <f t="shared" si="0"/>
        <v>477.48435626271976</v>
      </c>
    </row>
    <row r="17" spans="2:10" x14ac:dyDescent="0.25">
      <c r="B17" s="1" t="s">
        <v>126</v>
      </c>
      <c r="D17" s="99">
        <v>2.5</v>
      </c>
      <c r="E17" s="104">
        <v>1800</v>
      </c>
      <c r="F17" s="102">
        <f>D17*E17</f>
        <v>4500</v>
      </c>
      <c r="G17" s="105">
        <v>0.5</v>
      </c>
      <c r="H17" s="98">
        <v>7</v>
      </c>
      <c r="I17" s="105">
        <v>0.11</v>
      </c>
      <c r="J17" s="96">
        <f t="shared" si="0"/>
        <v>477.48435626271976</v>
      </c>
    </row>
    <row r="18" spans="2:10" x14ac:dyDescent="0.25">
      <c r="B18" s="1" t="s">
        <v>125</v>
      </c>
      <c r="E18" s="46"/>
      <c r="F18" s="100">
        <v>1200</v>
      </c>
      <c r="G18" s="105">
        <v>0.5</v>
      </c>
      <c r="H18" s="98">
        <v>7</v>
      </c>
      <c r="I18" s="105">
        <v>0.11</v>
      </c>
      <c r="J18" s="96">
        <f t="shared" si="0"/>
        <v>127.32916167005862</v>
      </c>
    </row>
    <row r="19" spans="2:10" x14ac:dyDescent="0.25">
      <c r="B19" s="1" t="s">
        <v>127</v>
      </c>
      <c r="E19" s="46"/>
      <c r="F19" s="100">
        <v>800</v>
      </c>
      <c r="G19" s="105">
        <v>0.5</v>
      </c>
      <c r="H19" s="98">
        <v>7</v>
      </c>
      <c r="I19" s="105">
        <v>0.11</v>
      </c>
      <c r="J19" s="96">
        <f t="shared" si="0"/>
        <v>84.886107780039069</v>
      </c>
    </row>
    <row r="20" spans="2:10" x14ac:dyDescent="0.25">
      <c r="B20" s="1" t="s">
        <v>145</v>
      </c>
      <c r="E20" s="45" t="s">
        <v>1</v>
      </c>
      <c r="F20" s="100">
        <v>500</v>
      </c>
      <c r="G20" s="105">
        <v>0.5</v>
      </c>
      <c r="H20" s="98">
        <v>7</v>
      </c>
      <c r="I20" s="105">
        <v>0.11</v>
      </c>
      <c r="J20" s="96">
        <f t="shared" si="0"/>
        <v>53.05381736252442</v>
      </c>
    </row>
    <row r="21" spans="2:10" x14ac:dyDescent="0.25">
      <c r="E21" s="13" t="s">
        <v>1</v>
      </c>
      <c r="F21" s="13" t="s">
        <v>1</v>
      </c>
      <c r="G21" s="25" t="s">
        <v>1</v>
      </c>
      <c r="H21" s="11" t="s">
        <v>1</v>
      </c>
      <c r="I21" s="12" t="s">
        <v>1</v>
      </c>
    </row>
    <row r="22" spans="2:10" x14ac:dyDescent="0.25">
      <c r="B22" s="1" t="s">
        <v>34</v>
      </c>
      <c r="D22" s="99">
        <v>0</v>
      </c>
      <c r="E22" s="100">
        <v>500</v>
      </c>
      <c r="F22" s="96">
        <f>D22*E22</f>
        <v>0</v>
      </c>
      <c r="G22" s="105">
        <v>1</v>
      </c>
      <c r="H22" s="98">
        <v>30</v>
      </c>
      <c r="I22" s="105">
        <v>0.1</v>
      </c>
      <c r="J22" s="96">
        <f>PMT(I22,H22,-F22*G22)</f>
        <v>0</v>
      </c>
    </row>
    <row r="23" spans="2:10" x14ac:dyDescent="0.25">
      <c r="F23" s="7" t="s">
        <v>1</v>
      </c>
      <c r="G23" s="25" t="s">
        <v>1</v>
      </c>
      <c r="H23" s="5" t="s">
        <v>1</v>
      </c>
      <c r="I23" s="31" t="s">
        <v>1</v>
      </c>
    </row>
    <row r="24" spans="2:10" x14ac:dyDescent="0.25">
      <c r="B24" s="17"/>
      <c r="C24" s="17"/>
      <c r="D24" s="17"/>
      <c r="E24" s="17"/>
      <c r="F24" s="17"/>
      <c r="G24" s="17"/>
      <c r="H24" s="17"/>
      <c r="I24" s="17"/>
      <c r="J24" s="17"/>
    </row>
    <row r="26" spans="2:10" x14ac:dyDescent="0.25">
      <c r="B26" s="16" t="s">
        <v>146</v>
      </c>
      <c r="C26" s="16"/>
      <c r="D26" s="16"/>
      <c r="E26" s="16"/>
      <c r="F26" s="16"/>
      <c r="G26" s="16"/>
      <c r="H26" s="16"/>
      <c r="I26" s="16"/>
      <c r="J26" s="16"/>
    </row>
    <row r="27" spans="2:10" x14ac:dyDescent="0.25">
      <c r="B27" s="14" t="s">
        <v>147</v>
      </c>
      <c r="C27" s="14"/>
      <c r="D27" s="14"/>
      <c r="E27" s="14"/>
      <c r="F27" s="14"/>
      <c r="G27" s="14"/>
      <c r="H27" s="14"/>
      <c r="I27" s="14"/>
      <c r="J27" s="14"/>
    </row>
    <row r="29" spans="2:10" x14ac:dyDescent="0.25">
      <c r="B29" s="1" t="s">
        <v>148</v>
      </c>
      <c r="J29" s="100">
        <v>0</v>
      </c>
    </row>
    <row r="30" spans="2:10" x14ac:dyDescent="0.25">
      <c r="B30" s="1" t="s">
        <v>149</v>
      </c>
      <c r="J30" s="100">
        <v>0</v>
      </c>
    </row>
    <row r="31" spans="2:10" x14ac:dyDescent="0.25">
      <c r="B31" s="1" t="s">
        <v>150</v>
      </c>
      <c r="J31" s="100">
        <v>0</v>
      </c>
    </row>
    <row r="32" spans="2:10" x14ac:dyDescent="0.25">
      <c r="B32" s="1" t="s">
        <v>151</v>
      </c>
      <c r="J32" s="100">
        <v>0</v>
      </c>
    </row>
    <row r="33" spans="2:11" x14ac:dyDescent="0.25">
      <c r="B33" s="1" t="s">
        <v>152</v>
      </c>
      <c r="J33" s="106">
        <v>0</v>
      </c>
    </row>
    <row r="37" spans="2:11" x14ac:dyDescent="0.25">
      <c r="E37" s="1" t="s">
        <v>153</v>
      </c>
      <c r="J37" s="107">
        <f>SUM(J14:J34)</f>
        <v>7374.4806133908951</v>
      </c>
      <c r="K37" s="46"/>
    </row>
    <row r="38" spans="2:11" x14ac:dyDescent="0.25">
      <c r="E38" s="48" t="s">
        <v>131</v>
      </c>
      <c r="J38" s="108">
        <f>+Fixed_Cost!I26</f>
        <v>697.48</v>
      </c>
    </row>
    <row r="39" spans="2:11" x14ac:dyDescent="0.25">
      <c r="J39" s="32"/>
    </row>
    <row r="40" spans="2:11" x14ac:dyDescent="0.25">
      <c r="J40" s="47"/>
    </row>
    <row r="41" spans="2:11" x14ac:dyDescent="0.25">
      <c r="E41" s="1" t="s">
        <v>154</v>
      </c>
      <c r="J41" s="107">
        <f>SUM(J37:J38)</f>
        <v>8071.9606133908947</v>
      </c>
    </row>
    <row r="42" spans="2:11" x14ac:dyDescent="0.25">
      <c r="E42" s="1" t="s">
        <v>155</v>
      </c>
      <c r="J42" s="103">
        <f>J41/G7</f>
        <v>80.71960613390894</v>
      </c>
    </row>
  </sheetData>
  <phoneticPr fontId="0" type="noConversion"/>
  <pageMargins left="0.75" right="0.75" top="1" bottom="1" header="0.5" footer="0.5"/>
  <pageSetup scale="99" fitToHeight="0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O14"/>
  <sheetViews>
    <sheetView workbookViewId="0"/>
  </sheetViews>
  <sheetFormatPr defaultRowHeight="13.2" x14ac:dyDescent="0.25"/>
  <sheetData>
    <row r="1" spans="1:15" x14ac:dyDescent="0.25">
      <c r="N1" s="7">
        <v>-8941.9831759052358</v>
      </c>
      <c r="O1" s="9">
        <v>2.2750092654188533E-2</v>
      </c>
    </row>
    <row r="2" spans="1:15" x14ac:dyDescent="0.25">
      <c r="N2" s="7">
        <v>-6741.1663194289249</v>
      </c>
      <c r="O2" s="9">
        <v>6.6807279375848599E-2</v>
      </c>
    </row>
    <row r="3" spans="1:15" x14ac:dyDescent="0.25">
      <c r="A3">
        <v>1</v>
      </c>
      <c r="N3" s="3">
        <v>-4540.349462952614</v>
      </c>
      <c r="O3" s="4">
        <v>0.15865531316113057</v>
      </c>
    </row>
    <row r="4" spans="1:15" x14ac:dyDescent="0.25">
      <c r="N4" s="3">
        <v>-3439.9410347144585</v>
      </c>
      <c r="O4" s="4">
        <v>0.22662732264844102</v>
      </c>
    </row>
    <row r="5" spans="1:15" x14ac:dyDescent="0.25">
      <c r="N5" s="7">
        <v>-2339.5326064763035</v>
      </c>
      <c r="O5" s="9">
        <v>0.3085375586179277</v>
      </c>
    </row>
    <row r="6" spans="1:15" x14ac:dyDescent="0.25">
      <c r="N6" s="7">
        <v>-1239.1241782381483</v>
      </c>
      <c r="O6" s="9">
        <v>0.40129373468325191</v>
      </c>
    </row>
    <row r="7" spans="1:15" x14ac:dyDescent="0.25">
      <c r="N7" s="3">
        <v>-138.71574999999302</v>
      </c>
      <c r="O7" s="4">
        <v>0.49999999977461573</v>
      </c>
    </row>
    <row r="8" spans="1:15" x14ac:dyDescent="0.25">
      <c r="N8" s="3">
        <v>-138.71574999999302</v>
      </c>
      <c r="O8" s="4">
        <v>0.49999999977461573</v>
      </c>
    </row>
    <row r="9" spans="1:15" x14ac:dyDescent="0.25">
      <c r="N9" s="7">
        <v>961.69267823816199</v>
      </c>
      <c r="O9" s="10">
        <v>0.59870626531674809</v>
      </c>
    </row>
    <row r="10" spans="1:15" x14ac:dyDescent="0.25">
      <c r="N10" s="7">
        <v>2062.101106476317</v>
      </c>
      <c r="O10" s="10">
        <v>0.69146244138207225</v>
      </c>
    </row>
    <row r="11" spans="1:15" x14ac:dyDescent="0.25">
      <c r="N11" s="3">
        <v>3162.509534714472</v>
      </c>
      <c r="O11" s="10">
        <v>0.77337267735155901</v>
      </c>
    </row>
    <row r="12" spans="1:15" x14ac:dyDescent="0.25">
      <c r="N12" s="3">
        <v>4262.917962952627</v>
      </c>
      <c r="O12" s="10">
        <v>0.84134468683886943</v>
      </c>
    </row>
    <row r="13" spans="1:15" x14ac:dyDescent="0.25">
      <c r="N13" s="7">
        <v>6463.734819428937</v>
      </c>
      <c r="O13" s="10">
        <v>0.93319272062415137</v>
      </c>
    </row>
    <row r="14" spans="1:15" x14ac:dyDescent="0.25">
      <c r="N14" s="7">
        <v>8664.551675905248</v>
      </c>
      <c r="O14" s="10">
        <v>0.97724990734581152</v>
      </c>
    </row>
  </sheetData>
  <phoneticPr fontId="0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Z342"/>
  <sheetViews>
    <sheetView tabSelected="1" topLeftCell="B1" zoomScaleNormal="100" zoomScaleSheetLayoutView="75" workbookViewId="0">
      <selection activeCell="B1" sqref="B1:L1"/>
    </sheetView>
  </sheetViews>
  <sheetFormatPr defaultColWidth="8.44140625" defaultRowHeight="13.2" x14ac:dyDescent="0.25"/>
  <cols>
    <col min="1" max="1" width="26.5546875" style="1" customWidth="1"/>
    <col min="2" max="2" width="10.44140625" style="1" customWidth="1"/>
    <col min="3" max="3" width="42.5546875" style="1" customWidth="1"/>
    <col min="4" max="4" width="14.88671875" style="1" customWidth="1"/>
    <col min="5" max="5" width="13" style="1" customWidth="1"/>
    <col min="6" max="6" width="15" style="1" customWidth="1"/>
    <col min="7" max="7" width="11.109375" style="1" customWidth="1"/>
    <col min="8" max="8" width="14" style="1" customWidth="1"/>
    <col min="9" max="9" width="11.33203125" style="1" customWidth="1"/>
    <col min="10" max="10" width="15.33203125" style="1" customWidth="1"/>
    <col min="11" max="11" width="10.6640625" style="1" customWidth="1"/>
    <col min="12" max="12" width="9.5546875" style="1" customWidth="1"/>
    <col min="13" max="13" width="6.88671875" style="1" customWidth="1"/>
    <col min="14" max="15" width="11.5546875" style="1" customWidth="1"/>
    <col min="16" max="16" width="11.44140625" style="1" customWidth="1"/>
    <col min="17" max="17" width="13.109375" style="1" customWidth="1"/>
    <col min="18" max="18" width="11.44140625" style="1" customWidth="1"/>
    <col min="19" max="21" width="8.44140625" style="1" customWidth="1"/>
    <col min="22" max="22" width="9.44140625" style="1" customWidth="1"/>
    <col min="23" max="16384" width="8.44140625" style="1"/>
  </cols>
  <sheetData>
    <row r="1" spans="1:26" x14ac:dyDescent="0.25">
      <c r="A1" s="6"/>
      <c r="B1" s="403" t="s">
        <v>233</v>
      </c>
      <c r="C1" s="403"/>
      <c r="D1" s="403"/>
      <c r="E1" s="403"/>
      <c r="F1" s="403"/>
      <c r="G1" s="403"/>
      <c r="H1" s="403"/>
      <c r="I1" s="403"/>
      <c r="J1" s="403"/>
      <c r="K1" s="403"/>
      <c r="L1" s="403"/>
      <c r="P1" s="2"/>
      <c r="T1" s="2">
        <v>3</v>
      </c>
      <c r="U1" s="2"/>
      <c r="V1" s="2"/>
      <c r="W1" s="2"/>
      <c r="X1" s="2">
        <v>3</v>
      </c>
      <c r="Y1" s="2">
        <v>2</v>
      </c>
      <c r="Z1" s="2">
        <v>1</v>
      </c>
    </row>
    <row r="2" spans="1:26" x14ac:dyDescent="0.25">
      <c r="A2" s="6"/>
      <c r="B2" s="403" t="s">
        <v>428</v>
      </c>
      <c r="C2" s="403"/>
      <c r="D2" s="403"/>
      <c r="E2" s="403"/>
      <c r="F2" s="403"/>
      <c r="G2" s="403"/>
      <c r="H2" s="403"/>
      <c r="I2" s="403"/>
      <c r="J2" s="403"/>
      <c r="K2" s="403"/>
      <c r="L2" s="403"/>
    </row>
    <row r="3" spans="1:26" x14ac:dyDescent="0.25">
      <c r="A3" s="6"/>
      <c r="B3" s="403" t="s">
        <v>232</v>
      </c>
      <c r="C3" s="403"/>
      <c r="D3" s="403"/>
      <c r="E3" s="403"/>
      <c r="F3" s="403"/>
      <c r="G3" s="403"/>
      <c r="H3" s="403"/>
      <c r="I3" s="403"/>
      <c r="J3" s="403"/>
      <c r="K3" s="403"/>
      <c r="L3" s="403"/>
      <c r="Z3" s="32" t="s">
        <v>2</v>
      </c>
    </row>
    <row r="4" spans="1:26" x14ac:dyDescent="0.25">
      <c r="A4" s="6"/>
      <c r="B4" s="403" t="s">
        <v>189</v>
      </c>
      <c r="C4" s="403"/>
      <c r="D4" s="403"/>
      <c r="E4" s="403"/>
      <c r="F4" s="403"/>
      <c r="G4" s="403"/>
      <c r="H4" s="403"/>
      <c r="I4" s="403"/>
      <c r="J4" s="403"/>
      <c r="K4" s="403"/>
      <c r="L4" s="403"/>
      <c r="Z4" s="32" t="s">
        <v>234</v>
      </c>
    </row>
    <row r="5" spans="1:26" x14ac:dyDescent="0.25">
      <c r="A5" s="6"/>
      <c r="B5" s="6"/>
      <c r="C5" s="6"/>
      <c r="D5" s="6"/>
      <c r="E5" s="6"/>
      <c r="F5" s="6"/>
      <c r="G5" s="6"/>
      <c r="H5" s="6"/>
      <c r="I5" s="6"/>
      <c r="Z5" s="32" t="s">
        <v>164</v>
      </c>
    </row>
    <row r="6" spans="1:26" x14ac:dyDescent="0.25">
      <c r="A6" s="6"/>
      <c r="B6" s="6"/>
      <c r="C6" s="6"/>
      <c r="D6" s="6"/>
      <c r="E6" s="6"/>
      <c r="F6" s="6"/>
      <c r="G6" s="6"/>
      <c r="H6" s="6"/>
      <c r="I6" s="6"/>
    </row>
    <row r="7" spans="1:26" x14ac:dyDescent="0.25">
      <c r="B7" s="34"/>
      <c r="C7" s="35"/>
      <c r="D7" s="36"/>
      <c r="E7" s="36"/>
      <c r="F7" s="36"/>
      <c r="G7" s="36"/>
      <c r="H7" s="36"/>
      <c r="I7" s="37"/>
      <c r="Z7" s="32"/>
    </row>
    <row r="8" spans="1:26" x14ac:dyDescent="0.25">
      <c r="B8" s="38" t="s">
        <v>0</v>
      </c>
      <c r="C8" s="39"/>
      <c r="D8" s="39"/>
      <c r="E8" s="39"/>
      <c r="F8" s="39"/>
      <c r="G8" s="39"/>
      <c r="H8" s="40"/>
      <c r="I8" s="41"/>
      <c r="Z8" s="32" t="s">
        <v>31</v>
      </c>
    </row>
    <row r="9" spans="1:26" x14ac:dyDescent="0.25">
      <c r="B9" s="42"/>
      <c r="C9" s="43"/>
      <c r="D9" s="43"/>
      <c r="E9" s="43"/>
      <c r="F9" s="43"/>
      <c r="G9" s="43"/>
      <c r="H9" s="43"/>
      <c r="I9" s="44"/>
      <c r="K9" s="1" t="s">
        <v>1</v>
      </c>
      <c r="Z9" s="32" t="s">
        <v>165</v>
      </c>
    </row>
    <row r="10" spans="1:26" x14ac:dyDescent="0.25">
      <c r="B10" s="410" t="s">
        <v>405</v>
      </c>
      <c r="C10" s="410"/>
      <c r="D10" s="32"/>
      <c r="Z10" s="32" t="s">
        <v>31</v>
      </c>
    </row>
    <row r="11" spans="1:26" x14ac:dyDescent="0.25">
      <c r="B11" s="411"/>
      <c r="C11" s="411"/>
      <c r="Z11" s="32"/>
    </row>
    <row r="12" spans="1:26" x14ac:dyDescent="0.25">
      <c r="Z12" s="33" t="s">
        <v>200</v>
      </c>
    </row>
    <row r="13" spans="1:26" x14ac:dyDescent="0.25">
      <c r="A13" s="6"/>
      <c r="B13" s="406"/>
      <c r="C13" s="406"/>
      <c r="D13" s="406"/>
      <c r="E13" s="406"/>
      <c r="F13" s="406"/>
      <c r="G13" s="406"/>
      <c r="H13" s="406"/>
      <c r="I13" s="406"/>
      <c r="J13" s="406"/>
      <c r="K13" s="406"/>
      <c r="L13" s="406"/>
      <c r="P13" s="2">
        <v>1</v>
      </c>
      <c r="T13" s="2">
        <v>3</v>
      </c>
      <c r="U13" s="2"/>
      <c r="V13" s="2"/>
      <c r="W13" s="2"/>
      <c r="X13" s="2">
        <v>3</v>
      </c>
      <c r="Y13" s="2">
        <v>2</v>
      </c>
      <c r="Z13" s="2">
        <v>1</v>
      </c>
    </row>
    <row r="14" spans="1:26" ht="15.6" x14ac:dyDescent="0.3">
      <c r="A14" s="6"/>
      <c r="B14" s="408" t="s">
        <v>429</v>
      </c>
      <c r="C14" s="408"/>
      <c r="D14" s="408"/>
      <c r="E14" s="408"/>
      <c r="F14" s="408"/>
      <c r="G14" s="408"/>
      <c r="H14" s="408"/>
      <c r="I14" s="408"/>
      <c r="J14" s="408"/>
      <c r="K14" s="156"/>
      <c r="L14" s="156"/>
      <c r="P14" s="2">
        <v>3</v>
      </c>
      <c r="T14" s="2">
        <v>3</v>
      </c>
      <c r="U14" s="2"/>
      <c r="V14" s="2"/>
      <c r="W14" s="2"/>
      <c r="X14" s="2">
        <v>3</v>
      </c>
      <c r="Y14" s="2">
        <v>2</v>
      </c>
      <c r="Z14" s="2">
        <v>1</v>
      </c>
    </row>
    <row r="15" spans="1:26" ht="15.6" x14ac:dyDescent="0.3">
      <c r="B15" s="407" t="str">
        <f>+IF(bud_type=3,(Z3),IF(bud_type=2,(Z4),(Z5)))</f>
        <v>(Total Cost Budget)</v>
      </c>
      <c r="C15" s="407"/>
      <c r="D15" s="407"/>
      <c r="E15" s="407"/>
      <c r="F15" s="407"/>
      <c r="G15" s="407"/>
      <c r="H15" s="407"/>
      <c r="I15" s="407"/>
      <c r="J15" s="407"/>
      <c r="K15" s="156"/>
      <c r="L15" s="156"/>
      <c r="Z15" s="33" t="s">
        <v>201</v>
      </c>
    </row>
    <row r="16" spans="1:26" ht="15.6" x14ac:dyDescent="0.3">
      <c r="B16" s="307"/>
      <c r="C16" s="308"/>
      <c r="D16" s="309"/>
      <c r="E16" s="309"/>
      <c r="F16" s="308"/>
      <c r="G16" s="308"/>
      <c r="H16" s="308"/>
      <c r="I16" s="308"/>
      <c r="J16" s="308"/>
      <c r="K16" s="151"/>
      <c r="L16" s="151"/>
      <c r="Z16" s="33" t="s">
        <v>207</v>
      </c>
    </row>
    <row r="17" spans="1:19" ht="15" x14ac:dyDescent="0.25">
      <c r="B17" s="307"/>
      <c r="C17" s="307"/>
      <c r="D17" s="307"/>
      <c r="E17" s="307"/>
      <c r="F17" s="307"/>
      <c r="G17" s="307"/>
      <c r="H17" s="307"/>
      <c r="I17" s="307"/>
      <c r="J17" s="307"/>
      <c r="K17" s="151"/>
      <c r="L17" s="151"/>
    </row>
    <row r="18" spans="1:19" ht="15" x14ac:dyDescent="0.25">
      <c r="B18" s="409" t="s">
        <v>3</v>
      </c>
      <c r="C18" s="409"/>
      <c r="D18" s="307"/>
      <c r="E18" s="307"/>
      <c r="F18" s="307"/>
      <c r="G18" s="307"/>
      <c r="H18" s="310">
        <v>100</v>
      </c>
      <c r="I18" s="307"/>
      <c r="J18" s="307"/>
      <c r="K18" s="151"/>
      <c r="L18" s="151"/>
      <c r="S18" s="1" t="s">
        <v>4</v>
      </c>
    </row>
    <row r="19" spans="1:19" ht="15" x14ac:dyDescent="0.25">
      <c r="B19" s="409" t="s">
        <v>5</v>
      </c>
      <c r="C19" s="409"/>
      <c r="D19" s="307"/>
      <c r="E19" s="307"/>
      <c r="F19" s="307"/>
      <c r="G19" s="307"/>
      <c r="H19" s="311">
        <f>85%</f>
        <v>0.85</v>
      </c>
      <c r="I19" s="307"/>
      <c r="J19" s="307"/>
      <c r="K19" s="151"/>
      <c r="L19" s="151"/>
      <c r="S19" s="1" t="s">
        <v>4</v>
      </c>
    </row>
    <row r="20" spans="1:19" ht="15" x14ac:dyDescent="0.25">
      <c r="B20" s="409" t="s">
        <v>6</v>
      </c>
      <c r="C20" s="409"/>
      <c r="D20" s="307"/>
      <c r="E20" s="307"/>
      <c r="F20" s="307"/>
      <c r="G20" s="307"/>
      <c r="H20" s="311">
        <v>0.15</v>
      </c>
      <c r="I20" s="307"/>
      <c r="J20" s="307"/>
      <c r="K20" s="152" t="s">
        <v>1</v>
      </c>
      <c r="L20" s="151"/>
      <c r="S20" s="1" t="s">
        <v>4</v>
      </c>
    </row>
    <row r="21" spans="1:19" ht="15" x14ac:dyDescent="0.25">
      <c r="B21" s="409" t="s">
        <v>7</v>
      </c>
      <c r="C21" s="409"/>
      <c r="D21" s="307"/>
      <c r="E21" s="307"/>
      <c r="F21" s="307"/>
      <c r="G21" s="307"/>
      <c r="H21" s="310">
        <v>0</v>
      </c>
      <c r="I21" s="307"/>
      <c r="J21" s="307"/>
      <c r="K21" s="151"/>
      <c r="L21" s="151"/>
      <c r="S21" s="1" t="s">
        <v>8</v>
      </c>
    </row>
    <row r="22" spans="1:19" ht="15" x14ac:dyDescent="0.25">
      <c r="B22" s="409" t="s">
        <v>204</v>
      </c>
      <c r="C22" s="409"/>
      <c r="D22" s="307"/>
      <c r="E22" s="307"/>
      <c r="F22" s="307"/>
      <c r="G22" s="307"/>
      <c r="H22" s="311">
        <v>0.15</v>
      </c>
      <c r="I22" s="307"/>
      <c r="J22" s="307"/>
      <c r="K22" s="151"/>
      <c r="L22" s="151"/>
    </row>
    <row r="23" spans="1:19" ht="15" x14ac:dyDescent="0.25">
      <c r="B23" s="409" t="s">
        <v>206</v>
      </c>
      <c r="C23" s="409"/>
      <c r="D23" s="307"/>
      <c r="E23" s="307"/>
      <c r="F23" s="307"/>
      <c r="G23" s="307"/>
      <c r="H23" s="312">
        <v>7.5</v>
      </c>
      <c r="I23" s="307"/>
      <c r="J23" s="307"/>
      <c r="K23" s="151"/>
      <c r="L23" s="151"/>
    </row>
    <row r="24" spans="1:19" ht="15" x14ac:dyDescent="0.25">
      <c r="B24" s="409" t="s">
        <v>205</v>
      </c>
      <c r="C24" s="409"/>
      <c r="D24" s="307"/>
      <c r="E24" s="307"/>
      <c r="F24" s="307"/>
      <c r="G24" s="307"/>
      <c r="H24" s="313">
        <v>80</v>
      </c>
      <c r="I24" s="307"/>
      <c r="J24" s="307"/>
      <c r="K24" s="151"/>
      <c r="L24" s="151"/>
    </row>
    <row r="25" spans="1:19" ht="15" x14ac:dyDescent="0.25">
      <c r="B25" s="409" t="s">
        <v>9</v>
      </c>
      <c r="C25" s="409"/>
      <c r="D25" s="307"/>
      <c r="E25" s="307"/>
      <c r="F25" s="307"/>
      <c r="G25" s="307"/>
      <c r="H25" s="314">
        <f>H18*H19-H21</f>
        <v>85</v>
      </c>
      <c r="I25" s="307"/>
      <c r="J25" s="307"/>
      <c r="K25" s="152" t="s">
        <v>1</v>
      </c>
      <c r="L25" s="151"/>
    </row>
    <row r="26" spans="1:19" ht="15" x14ac:dyDescent="0.25">
      <c r="B26" s="409" t="s">
        <v>10</v>
      </c>
      <c r="C26" s="409"/>
      <c r="D26" s="307"/>
      <c r="E26" s="307"/>
      <c r="F26" s="307"/>
      <c r="G26" s="307"/>
      <c r="H26" s="311">
        <v>0.02</v>
      </c>
      <c r="I26" s="307"/>
      <c r="J26" s="307"/>
      <c r="K26" s="151"/>
      <c r="L26" s="151"/>
    </row>
    <row r="27" spans="1:19" ht="15" x14ac:dyDescent="0.25">
      <c r="B27" s="409" t="s">
        <v>11</v>
      </c>
      <c r="C27" s="409"/>
      <c r="D27" s="307"/>
      <c r="E27" s="307"/>
      <c r="F27" s="307"/>
      <c r="G27" s="307"/>
      <c r="H27" s="312">
        <v>11</v>
      </c>
      <c r="I27" s="307"/>
      <c r="J27" s="307"/>
      <c r="K27" s="152" t="s">
        <v>1</v>
      </c>
      <c r="L27" s="151"/>
    </row>
    <row r="28" spans="1:19" ht="15" x14ac:dyDescent="0.25">
      <c r="A28" s="51"/>
      <c r="B28" s="423" t="s">
        <v>12</v>
      </c>
      <c r="C28" s="423"/>
      <c r="D28" s="315"/>
      <c r="E28" s="315"/>
      <c r="F28" s="315"/>
      <c r="G28" s="315"/>
      <c r="H28" s="316">
        <v>65</v>
      </c>
      <c r="I28" s="315"/>
      <c r="J28" s="315"/>
      <c r="K28" s="153"/>
      <c r="L28" s="151"/>
    </row>
    <row r="29" spans="1:19" ht="15" x14ac:dyDescent="0.25">
      <c r="A29" s="51"/>
      <c r="B29" s="423" t="s">
        <v>187</v>
      </c>
      <c r="C29" s="423"/>
      <c r="D29" s="315"/>
      <c r="E29" s="315"/>
      <c r="F29" s="315"/>
      <c r="G29" s="315"/>
      <c r="H29" s="316">
        <v>3</v>
      </c>
      <c r="I29" s="315"/>
      <c r="J29" s="315"/>
      <c r="K29" s="153"/>
      <c r="L29" s="151"/>
    </row>
    <row r="30" spans="1:19" ht="15" x14ac:dyDescent="0.25">
      <c r="A30" s="51"/>
      <c r="B30" s="423" t="s">
        <v>188</v>
      </c>
      <c r="C30" s="423"/>
      <c r="D30" s="315"/>
      <c r="E30" s="315"/>
      <c r="F30" s="315"/>
      <c r="G30" s="315"/>
      <c r="H30" s="317">
        <v>0.25</v>
      </c>
      <c r="I30" s="315"/>
      <c r="J30" s="315"/>
      <c r="K30" s="153"/>
      <c r="L30" s="151"/>
    </row>
    <row r="31" spans="1:19" ht="15" x14ac:dyDescent="0.25">
      <c r="B31" s="409" t="s">
        <v>185</v>
      </c>
      <c r="C31" s="409"/>
      <c r="D31" s="307"/>
      <c r="E31" s="307"/>
      <c r="F31" s="307"/>
      <c r="G31" s="307"/>
      <c r="H31" s="312">
        <v>18</v>
      </c>
      <c r="I31" s="307"/>
      <c r="J31" s="307"/>
      <c r="K31" s="152"/>
      <c r="L31" s="151"/>
    </row>
    <row r="32" spans="1:19" ht="15.6" thickBot="1" x14ac:dyDescent="0.3">
      <c r="B32" s="401" t="s">
        <v>186</v>
      </c>
      <c r="C32" s="401"/>
      <c r="D32" s="318"/>
      <c r="E32" s="318"/>
      <c r="F32" s="318"/>
      <c r="G32" s="318"/>
      <c r="H32" s="319">
        <v>60</v>
      </c>
      <c r="I32" s="318"/>
      <c r="J32" s="318"/>
      <c r="K32" s="152" t="s">
        <v>1</v>
      </c>
      <c r="L32" s="151"/>
    </row>
    <row r="33" spans="1:25" ht="15" x14ac:dyDescent="0.25">
      <c r="B33" s="315"/>
      <c r="C33" s="315"/>
      <c r="D33" s="315"/>
      <c r="E33" s="315"/>
      <c r="F33" s="315"/>
      <c r="G33" s="315"/>
      <c r="H33" s="315"/>
      <c r="I33" s="307"/>
      <c r="J33" s="307"/>
      <c r="K33" s="152"/>
      <c r="L33" s="151"/>
    </row>
    <row r="34" spans="1:25" ht="15" x14ac:dyDescent="0.25">
      <c r="B34" s="307"/>
      <c r="C34" s="307"/>
      <c r="D34" s="307"/>
      <c r="E34" s="307"/>
      <c r="F34" s="307"/>
      <c r="G34" s="307"/>
      <c r="H34" s="307"/>
      <c r="I34" s="307"/>
      <c r="J34" s="307"/>
      <c r="K34" s="152" t="s">
        <v>1</v>
      </c>
      <c r="L34" s="151"/>
    </row>
    <row r="35" spans="1:25" ht="15.6" x14ac:dyDescent="0.3">
      <c r="B35" s="307"/>
      <c r="C35" s="307"/>
      <c r="D35" s="307"/>
      <c r="E35" s="307"/>
      <c r="F35" s="320" t="s">
        <v>13</v>
      </c>
      <c r="G35" s="320" t="s">
        <v>14</v>
      </c>
      <c r="H35" s="320" t="s">
        <v>15</v>
      </c>
      <c r="I35" s="320" t="s">
        <v>16</v>
      </c>
      <c r="J35" s="320" t="s">
        <v>17</v>
      </c>
      <c r="K35" s="151"/>
      <c r="L35" s="151"/>
    </row>
    <row r="36" spans="1:25" ht="15" x14ac:dyDescent="0.25">
      <c r="B36" s="395" t="s">
        <v>211</v>
      </c>
      <c r="C36" s="395"/>
      <c r="D36" s="307"/>
      <c r="E36" s="307"/>
      <c r="F36" s="312">
        <v>6</v>
      </c>
      <c r="G36" s="307">
        <f>+(F36+H36)/2</f>
        <v>5.75</v>
      </c>
      <c r="H36" s="312">
        <f>5.5</f>
        <v>5.5</v>
      </c>
      <c r="I36" s="307">
        <f>+(J36+H36)/2</f>
        <v>5.2249999999999996</v>
      </c>
      <c r="J36" s="312">
        <f>4.95</f>
        <v>4.95</v>
      </c>
      <c r="K36" s="154"/>
      <c r="L36" s="151"/>
    </row>
    <row r="37" spans="1:25" ht="15" x14ac:dyDescent="0.25">
      <c r="B37" s="395" t="s">
        <v>212</v>
      </c>
      <c r="C37" s="395"/>
      <c r="D37" s="307"/>
      <c r="E37" s="307"/>
      <c r="F37" s="312">
        <f>+F36*0.9</f>
        <v>5.4</v>
      </c>
      <c r="G37" s="321">
        <f>+(F37+H37)/2</f>
        <v>5.1750000000000007</v>
      </c>
      <c r="H37" s="312">
        <f>+H36*0.9</f>
        <v>4.95</v>
      </c>
      <c r="I37" s="321">
        <f>+(J37+H37)/2</f>
        <v>4.7025000000000006</v>
      </c>
      <c r="J37" s="312">
        <f>+J36*0.9</f>
        <v>4.4550000000000001</v>
      </c>
      <c r="K37" s="151"/>
      <c r="L37" s="151"/>
    </row>
    <row r="38" spans="1:25" ht="15" x14ac:dyDescent="0.25">
      <c r="B38" s="395" t="s">
        <v>213</v>
      </c>
      <c r="C38" s="395"/>
      <c r="D38" s="307"/>
      <c r="E38" s="307"/>
      <c r="F38" s="321">
        <f>((H18*H19/2)*F36+(H18*H19/2-H21)*F37)/(H18*H19-H21)</f>
        <v>5.7</v>
      </c>
      <c r="G38" s="321">
        <f>((H18*H19/2)*G36+(H18*H19/2-H21)*G37)/(H18*H19-H21)</f>
        <v>5.4625000000000004</v>
      </c>
      <c r="H38" s="321">
        <f>((H18*H19/2)*H36+(H18*H19/2-H21)*H37)/(H18*H19-H21)</f>
        <v>5.2249999999999996</v>
      </c>
      <c r="I38" s="321">
        <f>((H18*H19/2)*I36+(H18*H19/2-H21)*I37)/(H18*H19-H21)</f>
        <v>4.9637500000000001</v>
      </c>
      <c r="J38" s="321">
        <f>((H18*H19/2)*J36+(H18*H19/2-H21)*J37)/(H18*H19-H21)</f>
        <v>4.7024999999999997</v>
      </c>
      <c r="K38" s="151"/>
      <c r="L38" s="151"/>
    </row>
    <row r="39" spans="1:25" ht="15" x14ac:dyDescent="0.25">
      <c r="B39" s="395" t="s">
        <v>18</v>
      </c>
      <c r="C39" s="395"/>
      <c r="D39" s="307"/>
      <c r="E39" s="307"/>
      <c r="F39" s="322">
        <v>125</v>
      </c>
      <c r="G39" s="323">
        <f>+(F39+H39)/2</f>
        <v>120</v>
      </c>
      <c r="H39" s="322">
        <v>115</v>
      </c>
      <c r="I39" s="323">
        <f>+(H39+J39)/2</f>
        <v>110</v>
      </c>
      <c r="J39" s="322">
        <v>105</v>
      </c>
      <c r="K39" s="151"/>
      <c r="L39" s="151"/>
      <c r="S39" s="1" t="s">
        <v>19</v>
      </c>
    </row>
    <row r="40" spans="1:25" ht="15" x14ac:dyDescent="0.25">
      <c r="B40" s="395" t="s">
        <v>20</v>
      </c>
      <c r="C40" s="395"/>
      <c r="D40" s="307"/>
      <c r="E40" s="307"/>
      <c r="F40" s="322">
        <f>+F39-10</f>
        <v>115</v>
      </c>
      <c r="G40" s="323">
        <f>+(F40+H40)/2</f>
        <v>110</v>
      </c>
      <c r="H40" s="322">
        <f>+H39-10</f>
        <v>105</v>
      </c>
      <c r="I40" s="323">
        <f>+(H40+J40)/2</f>
        <v>100</v>
      </c>
      <c r="J40" s="322">
        <f>+J39-10</f>
        <v>95</v>
      </c>
      <c r="K40" s="151"/>
      <c r="L40" s="151"/>
      <c r="S40" s="1" t="s">
        <v>4</v>
      </c>
    </row>
    <row r="41" spans="1:25" ht="15" x14ac:dyDescent="0.25">
      <c r="B41" s="395" t="s">
        <v>21</v>
      </c>
      <c r="C41" s="395"/>
      <c r="D41" s="307"/>
      <c r="E41" s="307"/>
      <c r="F41" s="323">
        <f>((H18*H19/2)*H36*F39+(H18*H19/2-H21)*H37*F40)/((H18*H19-H21)*H38)</f>
        <v>120.26315789473686</v>
      </c>
      <c r="G41" s="323">
        <f>((H18*H19/2)*H36*G39+(H18*H19/2-H21)*H37*G40)/((H18*H19-H21)*H38)</f>
        <v>115.26315789473686</v>
      </c>
      <c r="H41" s="323">
        <f>((H18*H19/2)*H36*H39+(H18*H19/2-H21)*H37*H40)/((H18*H19-H21)*H38)</f>
        <v>110.26315789473685</v>
      </c>
      <c r="I41" s="323">
        <f>+(H41+J41)/2</f>
        <v>105.26315789473685</v>
      </c>
      <c r="J41" s="323">
        <f>((H18*H19/2)*H36*J39+(H18*H19/2-H21)*H37*J40)/((H18*H19-H21)*H38)</f>
        <v>100.26315789473685</v>
      </c>
      <c r="K41" s="151"/>
      <c r="L41" s="151"/>
      <c r="S41" s="1" t="s">
        <v>4</v>
      </c>
    </row>
    <row r="42" spans="1:25" ht="15.6" thickBot="1" x14ac:dyDescent="0.3">
      <c r="B42" s="324"/>
      <c r="C42" s="324"/>
      <c r="D42" s="324"/>
      <c r="E42" s="324"/>
      <c r="F42" s="324"/>
      <c r="G42" s="324"/>
      <c r="H42" s="324"/>
      <c r="I42" s="324"/>
      <c r="J42" s="324"/>
      <c r="K42" s="151"/>
      <c r="L42" s="151"/>
      <c r="S42" s="1" t="s">
        <v>4</v>
      </c>
    </row>
    <row r="43" spans="1:25" ht="16.2" thickTop="1" thickBot="1" x14ac:dyDescent="0.3">
      <c r="B43" s="307"/>
      <c r="C43" s="307"/>
      <c r="D43" s="307"/>
      <c r="E43" s="307"/>
      <c r="F43" s="307"/>
      <c r="G43" s="307"/>
      <c r="H43" s="307"/>
      <c r="I43" s="307"/>
      <c r="J43" s="307"/>
      <c r="K43" s="151"/>
      <c r="L43" s="151"/>
      <c r="S43" s="1" t="s">
        <v>4</v>
      </c>
    </row>
    <row r="44" spans="1:25" ht="13.5" customHeight="1" thickTop="1" x14ac:dyDescent="0.3">
      <c r="B44" s="325" t="s">
        <v>173</v>
      </c>
      <c r="C44" s="326"/>
      <c r="D44" s="327" t="s">
        <v>174</v>
      </c>
      <c r="E44" s="327" t="s">
        <v>229</v>
      </c>
      <c r="F44" s="328" t="s">
        <v>230</v>
      </c>
      <c r="G44" s="327" t="s">
        <v>181</v>
      </c>
      <c r="H44" s="328" t="s">
        <v>231</v>
      </c>
      <c r="I44" s="404" t="s">
        <v>193</v>
      </c>
      <c r="J44" s="404" t="s">
        <v>219</v>
      </c>
      <c r="K44" s="151"/>
      <c r="L44" s="151"/>
    </row>
    <row r="45" spans="1:25" ht="16.2" thickBot="1" x14ac:dyDescent="0.35">
      <c r="B45" s="329"/>
      <c r="C45" s="330"/>
      <c r="D45" s="331"/>
      <c r="E45" s="331"/>
      <c r="F45" s="332"/>
      <c r="G45" s="331"/>
      <c r="H45" s="332"/>
      <c r="I45" s="405"/>
      <c r="J45" s="405"/>
      <c r="K45" s="151"/>
      <c r="L45" s="151"/>
    </row>
    <row r="46" spans="1:25" ht="16.2" thickTop="1" x14ac:dyDescent="0.3">
      <c r="B46" s="309" t="s">
        <v>27</v>
      </c>
      <c r="C46" s="309"/>
      <c r="D46" s="307"/>
      <c r="E46" s="307"/>
      <c r="F46" s="307"/>
      <c r="G46" s="333"/>
      <c r="H46" s="334"/>
      <c r="I46" s="334"/>
      <c r="J46" s="334"/>
      <c r="K46" s="151"/>
      <c r="L46" s="151"/>
      <c r="S46" s="1" t="s">
        <v>4</v>
      </c>
      <c r="Y46" s="1" t="s">
        <v>28</v>
      </c>
    </row>
    <row r="47" spans="1:25" ht="15" x14ac:dyDescent="0.25">
      <c r="A47" s="144" t="s">
        <v>344</v>
      </c>
      <c r="B47" s="395" t="s">
        <v>345</v>
      </c>
      <c r="C47" s="395"/>
      <c r="D47" s="307" t="s">
        <v>331</v>
      </c>
      <c r="E47" s="312">
        <v>0.5</v>
      </c>
      <c r="F47" s="321">
        <f>+E47*H18</f>
        <v>50</v>
      </c>
      <c r="G47" s="323">
        <f>+bermuda</f>
        <v>158.81000000000003</v>
      </c>
      <c r="H47" s="323">
        <f>F47*G47</f>
        <v>7940.5000000000018</v>
      </c>
      <c r="I47" s="335">
        <f>+H47/$H$18</f>
        <v>79.405000000000015</v>
      </c>
      <c r="J47" s="335">
        <f t="shared" ref="J47:J52" si="0">+H47/$E$103</f>
        <v>17.905834265048011</v>
      </c>
      <c r="K47" s="151"/>
      <c r="L47" s="151"/>
    </row>
    <row r="48" spans="1:25" ht="15" x14ac:dyDescent="0.25">
      <c r="A48" s="144" t="s">
        <v>349</v>
      </c>
      <c r="B48" s="395" t="s">
        <v>346</v>
      </c>
      <c r="C48" s="395"/>
      <c r="D48" s="307" t="s">
        <v>331</v>
      </c>
      <c r="E48" s="312">
        <v>0.75</v>
      </c>
      <c r="F48" s="321">
        <f>+E48*$H$18</f>
        <v>75</v>
      </c>
      <c r="G48" s="323">
        <f>+bahia</f>
        <v>105.5</v>
      </c>
      <c r="H48" s="323">
        <f>F48*G48</f>
        <v>7912.5</v>
      </c>
      <c r="I48" s="335">
        <f t="shared" ref="I48:I71" si="1">+H48/$H$18</f>
        <v>79.125</v>
      </c>
      <c r="J48" s="335">
        <f t="shared" si="0"/>
        <v>17.842694241192916</v>
      </c>
      <c r="K48" s="151"/>
      <c r="L48" s="151"/>
    </row>
    <row r="49" spans="1:12" ht="15" x14ac:dyDescent="0.25">
      <c r="A49" s="144" t="s">
        <v>358</v>
      </c>
      <c r="B49" s="395" t="s">
        <v>350</v>
      </c>
      <c r="C49" s="395"/>
      <c r="D49" s="307" t="s">
        <v>331</v>
      </c>
      <c r="E49" s="312">
        <v>0.2</v>
      </c>
      <c r="F49" s="321">
        <f>+E49*$H$18</f>
        <v>20</v>
      </c>
      <c r="G49" s="323">
        <f>+winter</f>
        <v>188.88000000000002</v>
      </c>
      <c r="H49" s="323">
        <f>F49*G49</f>
        <v>3777.6000000000004</v>
      </c>
      <c r="I49" s="335">
        <f t="shared" si="1"/>
        <v>37.776000000000003</v>
      </c>
      <c r="J49" s="335">
        <f t="shared" si="0"/>
        <v>8.5184912183924641</v>
      </c>
      <c r="K49" s="151"/>
      <c r="L49" s="151"/>
    </row>
    <row r="50" spans="1:12" ht="15" x14ac:dyDescent="0.25">
      <c r="A50" s="144" t="s">
        <v>360</v>
      </c>
      <c r="B50" s="395" t="s">
        <v>359</v>
      </c>
      <c r="C50" s="395"/>
      <c r="D50" s="307" t="s">
        <v>331</v>
      </c>
      <c r="E50" s="312">
        <v>0</v>
      </c>
      <c r="F50" s="321">
        <f>+E50*$H$18</f>
        <v>0</v>
      </c>
      <c r="G50" s="323">
        <f>+summer</f>
        <v>193.6</v>
      </c>
      <c r="H50" s="323">
        <f>F50*G50</f>
        <v>0</v>
      </c>
      <c r="I50" s="335">
        <f t="shared" si="1"/>
        <v>0</v>
      </c>
      <c r="J50" s="335">
        <f t="shared" si="0"/>
        <v>0</v>
      </c>
      <c r="K50" s="151"/>
      <c r="L50" s="151"/>
    </row>
    <row r="51" spans="1:12" ht="15" x14ac:dyDescent="0.25">
      <c r="A51" s="144" t="s">
        <v>363</v>
      </c>
      <c r="B51" s="395" t="s">
        <v>362</v>
      </c>
      <c r="C51" s="395"/>
      <c r="D51" s="307" t="s">
        <v>331</v>
      </c>
      <c r="E51" s="312">
        <v>0.25</v>
      </c>
      <c r="F51" s="321">
        <f>+E51*H18</f>
        <v>25</v>
      </c>
      <c r="G51" s="323">
        <f>+hay</f>
        <v>381.03</v>
      </c>
      <c r="H51" s="323">
        <f>F51*G51</f>
        <v>9525.75</v>
      </c>
      <c r="I51" s="335">
        <f t="shared" si="1"/>
        <v>95.257499999999993</v>
      </c>
      <c r="J51" s="335">
        <f t="shared" si="0"/>
        <v>21.480574365629501</v>
      </c>
      <c r="K51" s="151"/>
      <c r="L51" s="151"/>
    </row>
    <row r="52" spans="1:12" ht="15" x14ac:dyDescent="0.25">
      <c r="A52" s="145"/>
      <c r="B52" s="395" t="s">
        <v>370</v>
      </c>
      <c r="C52" s="395"/>
      <c r="D52" s="307" t="s">
        <v>371</v>
      </c>
      <c r="E52" s="312">
        <v>0</v>
      </c>
      <c r="F52" s="321">
        <f>+E52*cows</f>
        <v>0</v>
      </c>
      <c r="G52" s="322">
        <v>75</v>
      </c>
      <c r="H52" s="323">
        <f>+G52*F52</f>
        <v>0</v>
      </c>
      <c r="I52" s="335">
        <f>+H52/$H$18</f>
        <v>0</v>
      </c>
      <c r="J52" s="335">
        <f t="shared" si="0"/>
        <v>0</v>
      </c>
      <c r="K52" s="151"/>
      <c r="L52" s="151"/>
    </row>
    <row r="53" spans="1:12" ht="15.6" x14ac:dyDescent="0.3">
      <c r="A53" s="384" t="s">
        <v>369</v>
      </c>
      <c r="B53" s="395" t="s">
        <v>368</v>
      </c>
      <c r="C53" s="395"/>
      <c r="D53" s="307" t="s">
        <v>380</v>
      </c>
      <c r="E53" s="307"/>
      <c r="F53" s="321"/>
      <c r="G53" s="336"/>
      <c r="H53" s="337">
        <f>+SUM(H54:H57)</f>
        <v>9216</v>
      </c>
      <c r="I53" s="337">
        <f>+SUM(I54:I57)</f>
        <v>92.16</v>
      </c>
      <c r="J53" s="337">
        <f>+SUM(J54:J57)</f>
        <v>20.782087851732566</v>
      </c>
      <c r="K53" s="151"/>
      <c r="L53" s="151"/>
    </row>
    <row r="54" spans="1:12" ht="15" x14ac:dyDescent="0.25">
      <c r="B54" s="395" t="s">
        <v>183</v>
      </c>
      <c r="C54" s="395"/>
      <c r="D54" s="307" t="s">
        <v>382</v>
      </c>
      <c r="E54" s="321">
        <f>+cowfeed_lbs</f>
        <v>0.3</v>
      </c>
      <c r="F54" s="338">
        <f>+E54*$H$18</f>
        <v>30</v>
      </c>
      <c r="G54" s="323">
        <v>175</v>
      </c>
      <c r="H54" s="323">
        <f>+cowfeed_cost*cows</f>
        <v>9000</v>
      </c>
      <c r="I54" s="335">
        <f>+H54/cows</f>
        <v>90</v>
      </c>
      <c r="J54" s="335">
        <f>+H54/$E$103</f>
        <v>20.295007667707583</v>
      </c>
      <c r="K54" s="151"/>
      <c r="L54" s="151"/>
    </row>
    <row r="55" spans="1:12" ht="15" x14ac:dyDescent="0.25">
      <c r="B55" s="395" t="s">
        <v>202</v>
      </c>
      <c r="C55" s="395"/>
      <c r="D55" s="307" t="s">
        <v>382</v>
      </c>
      <c r="E55" s="321">
        <f>+cowfeed_lbs</f>
        <v>0.3</v>
      </c>
      <c r="F55" s="338">
        <f>+E55*$H$18</f>
        <v>30</v>
      </c>
      <c r="G55" s="323">
        <f>+IF(F55&lt;&gt;0,(H55/F55),0)</f>
        <v>0</v>
      </c>
      <c r="H55" s="323">
        <f>+hfrfeed_cost*hfrs</f>
        <v>0</v>
      </c>
      <c r="I55" s="335">
        <f>+H55/cows</f>
        <v>0</v>
      </c>
      <c r="J55" s="335">
        <f>+H55/$E$103</f>
        <v>0</v>
      </c>
      <c r="K55" s="151"/>
      <c r="L55" s="151"/>
    </row>
    <row r="56" spans="1:12" ht="15" x14ac:dyDescent="0.25">
      <c r="B56" s="395" t="s">
        <v>191</v>
      </c>
      <c r="C56" s="395"/>
      <c r="D56" s="307" t="s">
        <v>382</v>
      </c>
      <c r="E56" s="321">
        <f>+cowfeed_lbs</f>
        <v>0.3</v>
      </c>
      <c r="F56" s="338">
        <f>+E56*$H$18</f>
        <v>30</v>
      </c>
      <c r="G56" s="323">
        <f>+IF(F56&lt;&gt;0,(H56/F56),0)</f>
        <v>7.2</v>
      </c>
      <c r="H56" s="323">
        <f>+bullfeed_cost*bulls</f>
        <v>216</v>
      </c>
      <c r="I56" s="335">
        <f>+H56/cows</f>
        <v>2.16</v>
      </c>
      <c r="J56" s="335">
        <f>+H56/$E$103</f>
        <v>0.48708018402498199</v>
      </c>
      <c r="K56" s="151"/>
      <c r="L56" s="151"/>
    </row>
    <row r="57" spans="1:12" ht="15" x14ac:dyDescent="0.25">
      <c r="B57" s="395" t="s">
        <v>184</v>
      </c>
      <c r="C57" s="395"/>
      <c r="D57" s="307" t="s">
        <v>382</v>
      </c>
      <c r="E57" s="321">
        <f>+cowfeed_lbs</f>
        <v>0.3</v>
      </c>
      <c r="F57" s="338">
        <f>+E57*$H$18</f>
        <v>30</v>
      </c>
      <c r="G57" s="323">
        <f>+IF(F57&lt;&gt;0,(H57/F57),0)</f>
        <v>0</v>
      </c>
      <c r="H57" s="323">
        <f>+calffeed_cost*(cows*calfcrop_pcnt)</f>
        <v>0</v>
      </c>
      <c r="I57" s="335">
        <f>+H57/cows</f>
        <v>0</v>
      </c>
      <c r="J57" s="335">
        <f>+H57/$E$103</f>
        <v>0</v>
      </c>
      <c r="K57" s="151"/>
      <c r="L57" s="151"/>
    </row>
    <row r="58" spans="1:12" ht="15" x14ac:dyDescent="0.25">
      <c r="B58" s="395" t="s">
        <v>378</v>
      </c>
      <c r="C58" s="395"/>
      <c r="D58" s="307" t="s">
        <v>249</v>
      </c>
      <c r="E58" s="312">
        <f>0.25*365</f>
        <v>91.25</v>
      </c>
      <c r="F58" s="321">
        <f>+E58*cows</f>
        <v>9125</v>
      </c>
      <c r="G58" s="323">
        <v>0.28000000000000003</v>
      </c>
      <c r="H58" s="323">
        <f>F58*G58</f>
        <v>2555.0000000000005</v>
      </c>
      <c r="I58" s="335">
        <f t="shared" si="1"/>
        <v>25.550000000000004</v>
      </c>
      <c r="J58" s="335">
        <f t="shared" ref="J58:J63" si="2">+H58/$E$103</f>
        <v>5.7615271767769869</v>
      </c>
      <c r="K58" s="151"/>
      <c r="L58" s="151"/>
    </row>
    <row r="59" spans="1:12" ht="15.6" x14ac:dyDescent="0.3">
      <c r="A59" s="118" t="s">
        <v>261</v>
      </c>
      <c r="B59" s="395" t="s">
        <v>372</v>
      </c>
      <c r="C59" s="395"/>
      <c r="D59" s="307" t="s">
        <v>380</v>
      </c>
      <c r="E59" s="307"/>
      <c r="F59" s="321"/>
      <c r="G59" s="323"/>
      <c r="H59" s="337">
        <f>SUM(H60:H63)</f>
        <v>1914.23</v>
      </c>
      <c r="I59" s="337">
        <f t="shared" si="1"/>
        <v>19.142299999999999</v>
      </c>
      <c r="J59" s="337">
        <f t="shared" si="2"/>
        <v>4.3165902808617655</v>
      </c>
      <c r="K59" s="151"/>
      <c r="L59" s="151"/>
    </row>
    <row r="60" spans="1:12" ht="15" x14ac:dyDescent="0.25">
      <c r="B60" s="395" t="s">
        <v>183</v>
      </c>
      <c r="C60" s="395"/>
      <c r="D60" s="307" t="s">
        <v>178</v>
      </c>
      <c r="E60" s="321">
        <v>1</v>
      </c>
      <c r="F60" s="321">
        <f>+H18</f>
        <v>100</v>
      </c>
      <c r="G60" s="323">
        <f>+cow_vet</f>
        <v>14</v>
      </c>
      <c r="H60" s="323">
        <f t="shared" ref="H60:H68" si="3">F60*G60</f>
        <v>1400</v>
      </c>
      <c r="I60" s="335">
        <f t="shared" si="1"/>
        <v>14</v>
      </c>
      <c r="J60" s="335">
        <f t="shared" si="2"/>
        <v>3.157001192754513</v>
      </c>
      <c r="K60" s="151"/>
      <c r="L60" s="151"/>
    </row>
    <row r="61" spans="1:12" ht="15" x14ac:dyDescent="0.25">
      <c r="B61" s="395" t="s">
        <v>202</v>
      </c>
      <c r="C61" s="395"/>
      <c r="D61" s="307" t="s">
        <v>208</v>
      </c>
      <c r="E61" s="321">
        <f>+H21/H18</f>
        <v>0</v>
      </c>
      <c r="F61" s="321">
        <f>+hfrs</f>
        <v>0</v>
      </c>
      <c r="G61" s="323">
        <f>+hfr_vet</f>
        <v>8</v>
      </c>
      <c r="H61" s="323">
        <f t="shared" si="3"/>
        <v>0</v>
      </c>
      <c r="I61" s="335">
        <f t="shared" si="1"/>
        <v>0</v>
      </c>
      <c r="J61" s="335">
        <f t="shared" si="2"/>
        <v>0</v>
      </c>
      <c r="K61" s="151"/>
      <c r="L61" s="151"/>
    </row>
    <row r="62" spans="1:12" ht="15" x14ac:dyDescent="0.25">
      <c r="B62" s="395" t="s">
        <v>191</v>
      </c>
      <c r="C62" s="395"/>
      <c r="D62" s="307" t="s">
        <v>192</v>
      </c>
      <c r="E62" s="321">
        <f>+H29/H18</f>
        <v>0.03</v>
      </c>
      <c r="F62" s="321">
        <f>+bulls</f>
        <v>3</v>
      </c>
      <c r="G62" s="323">
        <f>+bull_vet</f>
        <v>1.41</v>
      </c>
      <c r="H62" s="323">
        <f t="shared" si="3"/>
        <v>4.2299999999999995</v>
      </c>
      <c r="I62" s="335">
        <f t="shared" si="1"/>
        <v>4.2299999999999997E-2</v>
      </c>
      <c r="J62" s="335">
        <f t="shared" si="2"/>
        <v>9.5386536038225625E-3</v>
      </c>
      <c r="K62" s="151"/>
      <c r="L62" s="151"/>
    </row>
    <row r="63" spans="1:12" ht="15" x14ac:dyDescent="0.25">
      <c r="B63" s="395" t="s">
        <v>184</v>
      </c>
      <c r="C63" s="395"/>
      <c r="D63" s="307" t="s">
        <v>381</v>
      </c>
      <c r="E63" s="321">
        <f>+H19</f>
        <v>0.85</v>
      </c>
      <c r="F63" s="321">
        <f>+(cows*calfcrop_pcnt)</f>
        <v>85</v>
      </c>
      <c r="G63" s="323">
        <f>+calf_vet</f>
        <v>6</v>
      </c>
      <c r="H63" s="323">
        <f t="shared" si="3"/>
        <v>510</v>
      </c>
      <c r="I63" s="335">
        <f t="shared" si="1"/>
        <v>5.0999999999999996</v>
      </c>
      <c r="J63" s="335">
        <f t="shared" si="2"/>
        <v>1.1500504345034297</v>
      </c>
      <c r="K63" s="151"/>
      <c r="L63" s="151"/>
    </row>
    <row r="64" spans="1:12" ht="15" x14ac:dyDescent="0.25">
      <c r="B64" s="395" t="s">
        <v>329</v>
      </c>
      <c r="C64" s="395"/>
      <c r="D64" s="307" t="s">
        <v>251</v>
      </c>
      <c r="E64" s="339"/>
      <c r="F64" s="335">
        <f>+(facil_inv+Lvstk_Facil!lvstk_inv)</f>
        <v>93065.104166666672</v>
      </c>
      <c r="G64" s="311">
        <v>0.02</v>
      </c>
      <c r="H64" s="323">
        <f t="shared" si="3"/>
        <v>1861.3020833333335</v>
      </c>
      <c r="I64" s="335">
        <f t="shared" si="1"/>
        <v>18.613020833333334</v>
      </c>
      <c r="J64" s="335">
        <f t="shared" ref="J64:J71" si="4">+H64/$E$103</f>
        <v>4.1972377836855665</v>
      </c>
      <c r="K64" s="151"/>
      <c r="L64" s="151"/>
    </row>
    <row r="65" spans="1:12" ht="15" x14ac:dyDescent="0.25">
      <c r="B65" s="395" t="s">
        <v>383</v>
      </c>
      <c r="C65" s="395"/>
      <c r="D65" s="307" t="s">
        <v>252</v>
      </c>
      <c r="E65" s="312">
        <v>6</v>
      </c>
      <c r="F65" s="321">
        <f>+E65*H18</f>
        <v>600</v>
      </c>
      <c r="G65" s="322">
        <v>10</v>
      </c>
      <c r="H65" s="323">
        <f t="shared" si="3"/>
        <v>6000</v>
      </c>
      <c r="I65" s="335">
        <f t="shared" si="1"/>
        <v>60</v>
      </c>
      <c r="J65" s="335">
        <f t="shared" si="4"/>
        <v>13.530005111805055</v>
      </c>
      <c r="K65" s="151"/>
      <c r="L65" s="151"/>
    </row>
    <row r="66" spans="1:12" ht="15" x14ac:dyDescent="0.25">
      <c r="B66" s="395" t="s">
        <v>326</v>
      </c>
      <c r="C66" s="395"/>
      <c r="D66" s="307" t="s">
        <v>228</v>
      </c>
      <c r="E66" s="312">
        <v>0</v>
      </c>
      <c r="F66" s="321">
        <f>+E66*cows</f>
        <v>0</v>
      </c>
      <c r="G66" s="322">
        <v>20</v>
      </c>
      <c r="H66" s="323">
        <f>F66*G66</f>
        <v>0</v>
      </c>
      <c r="I66" s="335">
        <f t="shared" si="1"/>
        <v>0</v>
      </c>
      <c r="J66" s="335">
        <f t="shared" si="4"/>
        <v>0</v>
      </c>
      <c r="K66" s="151"/>
      <c r="L66" s="151"/>
    </row>
    <row r="67" spans="1:12" ht="15" x14ac:dyDescent="0.25">
      <c r="B67" s="395" t="s">
        <v>327</v>
      </c>
      <c r="C67" s="395"/>
      <c r="D67" s="307" t="s">
        <v>328</v>
      </c>
      <c r="E67" s="312">
        <v>0</v>
      </c>
      <c r="F67" s="321">
        <f>+E67*H20</f>
        <v>0</v>
      </c>
      <c r="G67" s="322">
        <v>0</v>
      </c>
      <c r="H67" s="323">
        <f>F67*G67</f>
        <v>0</v>
      </c>
      <c r="I67" s="335">
        <f t="shared" si="1"/>
        <v>0</v>
      </c>
      <c r="J67" s="335">
        <f t="shared" si="4"/>
        <v>0</v>
      </c>
      <c r="K67" s="151"/>
      <c r="L67" s="151"/>
    </row>
    <row r="68" spans="1:12" ht="15" x14ac:dyDescent="0.25">
      <c r="B68" s="395" t="s">
        <v>176</v>
      </c>
      <c r="C68" s="395"/>
      <c r="D68" s="307" t="s">
        <v>178</v>
      </c>
      <c r="E68" s="312">
        <v>1</v>
      </c>
      <c r="F68" s="321">
        <f>+E68*H18</f>
        <v>100</v>
      </c>
      <c r="G68" s="322">
        <v>2</v>
      </c>
      <c r="H68" s="323">
        <f t="shared" si="3"/>
        <v>200</v>
      </c>
      <c r="I68" s="335">
        <f t="shared" si="1"/>
        <v>2</v>
      </c>
      <c r="J68" s="335">
        <f t="shared" si="4"/>
        <v>0.45100017039350188</v>
      </c>
      <c r="K68" s="151"/>
      <c r="L68" s="151"/>
    </row>
    <row r="69" spans="1:12" ht="15" x14ac:dyDescent="0.25">
      <c r="B69" s="395" t="s">
        <v>374</v>
      </c>
      <c r="C69" s="395"/>
      <c r="D69" s="307" t="s">
        <v>375</v>
      </c>
      <c r="E69" s="307"/>
      <c r="F69" s="335">
        <f>SUM(H47:H68)-H53-H59</f>
        <v>50902.882083333345</v>
      </c>
      <c r="G69" s="311">
        <v>0.08</v>
      </c>
      <c r="H69" s="323">
        <f>(F69*G69)/12*8</f>
        <v>2714.8203777777785</v>
      </c>
      <c r="I69" s="335">
        <f t="shared" si="1"/>
        <v>27.148203777777784</v>
      </c>
      <c r="J69" s="335">
        <f t="shared" si="4"/>
        <v>6.1219222648276457</v>
      </c>
      <c r="K69" s="151"/>
      <c r="L69" s="151"/>
    </row>
    <row r="70" spans="1:12" ht="15.6" thickBot="1" x14ac:dyDescent="0.3">
      <c r="A70" s="118" t="s">
        <v>227</v>
      </c>
      <c r="B70" s="340" t="s">
        <v>373</v>
      </c>
      <c r="C70" s="340"/>
      <c r="D70" s="318" t="s">
        <v>379</v>
      </c>
      <c r="E70" s="318"/>
      <c r="F70" s="341">
        <f>H25+(H20*H18)</f>
        <v>100</v>
      </c>
      <c r="G70" s="342">
        <f>+mktng_cst</f>
        <v>30.67449104166667</v>
      </c>
      <c r="H70" s="342">
        <f>F70*G70</f>
        <v>3067.449104166667</v>
      </c>
      <c r="I70" s="343">
        <f t="shared" si="1"/>
        <v>30.67449104166667</v>
      </c>
      <c r="J70" s="343">
        <f t="shared" si="4"/>
        <v>6.9171003432628071</v>
      </c>
      <c r="K70" s="151"/>
      <c r="L70" s="151"/>
    </row>
    <row r="71" spans="1:12" ht="15.6" x14ac:dyDescent="0.3">
      <c r="B71" s="402" t="s">
        <v>30</v>
      </c>
      <c r="C71" s="402"/>
      <c r="D71" s="344"/>
      <c r="E71" s="344"/>
      <c r="F71" s="344"/>
      <c r="G71" s="344"/>
      <c r="H71" s="345">
        <f>+(SUM(H64:H70)+H58+H59+SUM(H47:H53))</f>
        <v>56685.151565277789</v>
      </c>
      <c r="I71" s="346">
        <f t="shared" si="1"/>
        <v>566.85151565277783</v>
      </c>
      <c r="J71" s="346">
        <f t="shared" si="4"/>
        <v>127.82506507360881</v>
      </c>
      <c r="K71" s="151"/>
      <c r="L71" s="151"/>
    </row>
    <row r="72" spans="1:12" ht="15" x14ac:dyDescent="0.25">
      <c r="B72" s="307"/>
      <c r="C72" s="307"/>
      <c r="D72" s="307"/>
      <c r="E72" s="307"/>
      <c r="F72" s="307"/>
      <c r="G72" s="307"/>
      <c r="H72" s="307"/>
      <c r="I72" s="347"/>
      <c r="J72" s="347"/>
      <c r="K72" s="151"/>
      <c r="L72" s="151"/>
    </row>
    <row r="73" spans="1:12" s="146" customFormat="1" ht="15.6" x14ac:dyDescent="0.3">
      <c r="B73" s="398" t="s">
        <v>411</v>
      </c>
      <c r="C73" s="398"/>
      <c r="D73" s="307"/>
      <c r="E73" s="307"/>
      <c r="F73" s="307"/>
      <c r="G73" s="307"/>
      <c r="H73" s="307"/>
      <c r="I73" s="347"/>
      <c r="J73" s="347"/>
      <c r="K73" s="155"/>
      <c r="L73" s="155"/>
    </row>
    <row r="74" spans="1:12" s="146" customFormat="1" ht="15" x14ac:dyDescent="0.25">
      <c r="A74" s="147" t="s">
        <v>386</v>
      </c>
      <c r="B74" s="395" t="str">
        <f>IF(bud_type=2," Annual Livestock Debt Payment",IF(bud_type=1,"No Fixed Cost for Variable Cost Budget","Annual Livestock Fixed Costs"))</f>
        <v>Annual Livestock Fixed Costs</v>
      </c>
      <c r="C74" s="395"/>
      <c r="D74" s="307"/>
      <c r="E74" s="307"/>
      <c r="F74" s="348"/>
      <c r="G74" s="307"/>
      <c r="H74" s="323">
        <f>IF(bud_type=3,Lvstk_Facil!lvstk_fc,IF(bud_type=2,(Lvstk_Facil!lvstk_pmt),0))</f>
        <v>5416.56</v>
      </c>
      <c r="I74" s="335">
        <f t="shared" ref="I74:I79" si="5">+H74/cows</f>
        <v>54.165600000000005</v>
      </c>
      <c r="J74" s="335">
        <f t="shared" ref="J74:J80" si="6">+H74/exp_wt</f>
        <v>12.214347414733133</v>
      </c>
      <c r="K74" s="155"/>
      <c r="L74" s="155"/>
    </row>
    <row r="75" spans="1:12" s="146" customFormat="1" ht="15" x14ac:dyDescent="0.25">
      <c r="A75" s="147" t="s">
        <v>387</v>
      </c>
      <c r="B75" s="395" t="str">
        <f>IF(bud_type=2," Annual Buildings &amp; Facilities Debt Payment",IF(bud_type=1,"No Fixed Cost for Variable Cost Budget","Annual Buildings &amp; Facilities Fixed Costs"))</f>
        <v>Annual Buildings &amp; Facilities Fixed Costs</v>
      </c>
      <c r="C75" s="395"/>
      <c r="D75" s="307"/>
      <c r="E75" s="307"/>
      <c r="F75" s="348"/>
      <c r="G75" s="307"/>
      <c r="H75" s="323">
        <f>IF(bud_type=3,Lvstk_Facil!facil_fc,IF(bud_type=2,(Lvstk_Facil!facil_pmt),0))</f>
        <v>3181.7838293650793</v>
      </c>
      <c r="I75" s="335">
        <f t="shared" si="5"/>
        <v>31.817838293650794</v>
      </c>
      <c r="J75" s="335">
        <f t="shared" si="6"/>
        <v>7.1749252459946984</v>
      </c>
      <c r="K75" s="155"/>
      <c r="L75" s="155"/>
    </row>
    <row r="76" spans="1:12" s="146" customFormat="1" ht="15" x14ac:dyDescent="0.25">
      <c r="A76" s="147" t="s">
        <v>388</v>
      </c>
      <c r="B76" s="395" t="str">
        <f>IF(bud_type=2," Annual Equipment Debt Payment",IF(bud_type=1,"No Fixed Cost for Variable Cost Budget","Annual Equipment Fixed Costs"))</f>
        <v>Annual Equipment Fixed Costs</v>
      </c>
      <c r="C76" s="395"/>
      <c r="D76" s="307"/>
      <c r="E76" s="307"/>
      <c r="F76" s="348"/>
      <c r="G76" s="307"/>
      <c r="H76" s="323">
        <f>IF(bud_type=3,equip_fc+cow_fc,IF(bud_type=2,(equip_pmt),0))</f>
        <v>9336.6623999999993</v>
      </c>
      <c r="I76" s="335">
        <f t="shared" si="5"/>
        <v>93.366623999999987</v>
      </c>
      <c r="J76" s="335">
        <f t="shared" si="6"/>
        <v>21.054181666533008</v>
      </c>
      <c r="K76" s="155"/>
      <c r="L76" s="155"/>
    </row>
    <row r="77" spans="1:12" s="146" customFormat="1" ht="15" x14ac:dyDescent="0.25">
      <c r="A77" s="147" t="s">
        <v>389</v>
      </c>
      <c r="B77" s="395" t="str">
        <f>IF(bud_type=2," Annual Land Debt Payment",IF(bud_type=1,"No Fixed Cost for Variable Cost Budget","Annual Land Fixed Costs Excluding Taxes"))</f>
        <v>Annual Land Fixed Costs Excluding Taxes</v>
      </c>
      <c r="C77" s="395"/>
      <c r="D77" s="391" t="str">
        <f>+IF(bud_type&lt;&gt;1,"Percent of Land Value","")</f>
        <v>Percent of Land Value</v>
      </c>
      <c r="E77" s="391"/>
      <c r="F77" s="335">
        <f>+IF(bud_type&lt;&gt;1,Lvstk_Facil!land_inv,"")</f>
        <v>150000</v>
      </c>
      <c r="G77" s="349">
        <v>0</v>
      </c>
      <c r="H77" s="323">
        <f>+IF(F77&lt;&gt;"",G77*F77,0)</f>
        <v>0</v>
      </c>
      <c r="I77" s="335">
        <f t="shared" si="5"/>
        <v>0</v>
      </c>
      <c r="J77" s="335">
        <f t="shared" si="6"/>
        <v>0</v>
      </c>
      <c r="K77" s="155"/>
      <c r="L77" s="155"/>
    </row>
    <row r="78" spans="1:12" s="146" customFormat="1" ht="15" x14ac:dyDescent="0.25">
      <c r="B78" s="395" t="str">
        <f>IF(bud_type=1,"No Fixed Cost for Variable Cost Budget","Annual Real Estate Taxes")</f>
        <v>Annual Real Estate Taxes</v>
      </c>
      <c r="C78" s="395"/>
      <c r="D78" s="391" t="str">
        <f>+IF(bud_type&lt;&gt;1,"Percent of Land Value","")</f>
        <v>Percent of Land Value</v>
      </c>
      <c r="E78" s="391"/>
      <c r="F78" s="335">
        <f>+IF(bud_type&lt;&gt;1,Lvstk_Facil!land_inv,"")</f>
        <v>150000</v>
      </c>
      <c r="G78" s="349">
        <f>+IF(bud_type&lt;&gt;1,0.5%,0)</f>
        <v>5.0000000000000001E-3</v>
      </c>
      <c r="H78" s="323">
        <f>+IF(F78&lt;&gt;"",G78*F78,0)</f>
        <v>750</v>
      </c>
      <c r="I78" s="335">
        <f t="shared" si="5"/>
        <v>7.5</v>
      </c>
      <c r="J78" s="335">
        <f t="shared" si="6"/>
        <v>1.6912506389756319</v>
      </c>
      <c r="K78" s="155"/>
      <c r="L78" s="155"/>
    </row>
    <row r="79" spans="1:12" s="146" customFormat="1" ht="15.6" thickBot="1" x14ac:dyDescent="0.3">
      <c r="B79" s="401" t="str">
        <f>IF(bud_type=1,"No Fixed Cost for Variable Cost Budget","Annual Farm Insurance")</f>
        <v>Annual Farm Insurance</v>
      </c>
      <c r="C79" s="401"/>
      <c r="D79" s="392" t="str">
        <f>+IF(bud_type&lt;&gt;1,"Pcnt. of Lvstk., Facl, &amp; Eqp.","")</f>
        <v>Pcnt. of Lvstk., Facl, &amp; Eqp.</v>
      </c>
      <c r="E79" s="392"/>
      <c r="F79" s="335">
        <f>+IF(bud_type&lt;&gt;1,Lvstk_Facil!lvstk_inv+facil_inv+Equipment!B21,"")</f>
        <v>244201.10416666669</v>
      </c>
      <c r="G79" s="349">
        <f>+IF(bud_type&lt;&gt;1,0.25%,0)</f>
        <v>2.5000000000000001E-3</v>
      </c>
      <c r="H79" s="323">
        <f>+IF(F79&lt;&gt;"",G79*F79,0)</f>
        <v>610.50276041666677</v>
      </c>
      <c r="I79" s="335">
        <f t="shared" si="5"/>
        <v>6.1050276041666676</v>
      </c>
      <c r="J79" s="335">
        <f t="shared" si="6"/>
        <v>1.3766842448680998</v>
      </c>
      <c r="K79" s="155"/>
      <c r="L79" s="155"/>
    </row>
    <row r="80" spans="1:12" s="146" customFormat="1" ht="15.6" x14ac:dyDescent="0.3">
      <c r="B80" s="402" t="str">
        <f>IF(bud_type=2,"TOTAL FIXED PAYMENTS","TOTAL FIXED COST")</f>
        <v>TOTAL FIXED COST</v>
      </c>
      <c r="C80" s="402"/>
      <c r="D80" s="350"/>
      <c r="E80" s="350"/>
      <c r="F80" s="350"/>
      <c r="G80" s="350"/>
      <c r="H80" s="351">
        <f>SUM(H74:H79)</f>
        <v>19295.508989781745</v>
      </c>
      <c r="I80" s="352">
        <f>+H80/$H$18</f>
        <v>192.95508989781746</v>
      </c>
      <c r="J80" s="352">
        <f t="shared" si="6"/>
        <v>43.511389211104571</v>
      </c>
      <c r="K80" s="155"/>
      <c r="L80" s="155"/>
    </row>
    <row r="81" spans="2:12" ht="15" x14ac:dyDescent="0.25">
      <c r="B81" s="307"/>
      <c r="C81" s="307"/>
      <c r="D81" s="307"/>
      <c r="E81" s="307"/>
      <c r="F81" s="307"/>
      <c r="G81" s="307"/>
      <c r="H81" s="315"/>
      <c r="I81" s="336"/>
      <c r="J81" s="307"/>
      <c r="K81" s="151"/>
      <c r="L81" s="151"/>
    </row>
    <row r="82" spans="2:12" ht="15.6" x14ac:dyDescent="0.3">
      <c r="B82" s="353" t="s">
        <v>32</v>
      </c>
      <c r="C82" s="354"/>
      <c r="D82" s="354"/>
      <c r="E82" s="354"/>
      <c r="F82" s="354"/>
      <c r="G82" s="354"/>
      <c r="H82" s="354"/>
      <c r="I82" s="321"/>
      <c r="J82" s="321"/>
      <c r="K82" s="158"/>
      <c r="L82" s="151"/>
    </row>
    <row r="83" spans="2:12" ht="15.6" x14ac:dyDescent="0.3">
      <c r="B83" s="355"/>
      <c r="C83" s="355"/>
      <c r="D83" s="355"/>
      <c r="E83" s="355"/>
      <c r="F83" s="355"/>
      <c r="G83" s="355"/>
      <c r="H83" s="355"/>
      <c r="I83" s="321"/>
      <c r="J83" s="321"/>
      <c r="K83" s="158"/>
      <c r="L83" s="151"/>
    </row>
    <row r="84" spans="2:12" ht="15.6" x14ac:dyDescent="0.3">
      <c r="B84" s="399" t="s">
        <v>141</v>
      </c>
      <c r="C84" s="400"/>
      <c r="D84" s="356" t="s">
        <v>22</v>
      </c>
      <c r="E84" s="357"/>
      <c r="F84" s="356" t="s">
        <v>219</v>
      </c>
      <c r="G84" s="356"/>
      <c r="H84" s="358" t="s">
        <v>193</v>
      </c>
      <c r="I84" s="321"/>
      <c r="J84" s="321"/>
      <c r="K84" s="158"/>
      <c r="L84" s="151"/>
    </row>
    <row r="85" spans="2:12" ht="15" x14ac:dyDescent="0.25">
      <c r="B85" s="393" t="s">
        <v>384</v>
      </c>
      <c r="C85" s="393"/>
      <c r="D85" s="335">
        <f>H71</f>
        <v>56685.151565277789</v>
      </c>
      <c r="E85" s="335"/>
      <c r="F85" s="335">
        <f>+D85/($H$25*$H$38)</f>
        <v>127.63332747599841</v>
      </c>
      <c r="G85" s="335"/>
      <c r="H85" s="335">
        <f>+D85/$H$18</f>
        <v>566.85151565277783</v>
      </c>
      <c r="I85" s="321"/>
      <c r="J85" s="321"/>
      <c r="K85" s="158"/>
      <c r="L85" s="151"/>
    </row>
    <row r="86" spans="2:12" ht="15" x14ac:dyDescent="0.25">
      <c r="B86" s="391" t="s">
        <v>385</v>
      </c>
      <c r="C86" s="391"/>
      <c r="D86" s="335">
        <f>+(H18*H20*H27*H28)+(H30*H29*H31*H32)+(H21*H22*H23*H24)</f>
        <v>11535</v>
      </c>
      <c r="E86" s="335"/>
      <c r="F86" s="335">
        <f>-D86/($H$25*$H$38)</f>
        <v>-25.972417675204056</v>
      </c>
      <c r="G86" s="335"/>
      <c r="H86" s="335">
        <f>+D86/$H$18</f>
        <v>115.35</v>
      </c>
      <c r="I86" s="321"/>
      <c r="J86" s="321"/>
      <c r="K86" s="158"/>
      <c r="L86" s="151"/>
    </row>
    <row r="87" spans="2:12" ht="15.6" x14ac:dyDescent="0.3">
      <c r="B87" s="394" t="s">
        <v>33</v>
      </c>
      <c r="C87" s="394"/>
      <c r="D87" s="359">
        <f>D85-D86</f>
        <v>45150.151565277789</v>
      </c>
      <c r="E87" s="359"/>
      <c r="F87" s="359">
        <f>+D87/($H$25*$H$38)</f>
        <v>101.66090980079436</v>
      </c>
      <c r="G87" s="359"/>
      <c r="H87" s="359">
        <f>+D87/H18</f>
        <v>451.50151565277787</v>
      </c>
      <c r="I87" s="321"/>
      <c r="J87" s="321"/>
      <c r="K87" s="158"/>
      <c r="L87" s="151"/>
    </row>
    <row r="88" spans="2:12" ht="15" x14ac:dyDescent="0.25">
      <c r="B88" s="391" t="str">
        <f>+IF(bud_type&lt;&gt;1,B74,"")</f>
        <v>Annual Livestock Fixed Costs</v>
      </c>
      <c r="C88" s="391"/>
      <c r="D88" s="335">
        <f>+H74</f>
        <v>5416.56</v>
      </c>
      <c r="E88" s="335"/>
      <c r="F88" s="335">
        <f t="shared" ref="F88:F92" si="7">+D88/($H$25*$H$38)</f>
        <v>12.196025893611035</v>
      </c>
      <c r="G88" s="335"/>
      <c r="H88" s="335">
        <f>+D88/H18</f>
        <v>54.165600000000005</v>
      </c>
      <c r="I88" s="321"/>
      <c r="J88" s="321"/>
      <c r="K88" s="158"/>
      <c r="L88" s="151"/>
    </row>
    <row r="89" spans="2:12" ht="15" x14ac:dyDescent="0.25">
      <c r="B89" s="391" t="str">
        <f>+IF(bud_type&lt;&gt;1,B75,"")</f>
        <v>Annual Buildings &amp; Facilities Fixed Costs</v>
      </c>
      <c r="C89" s="391"/>
      <c r="D89" s="335">
        <f>+H75</f>
        <v>3181.7838293650793</v>
      </c>
      <c r="E89" s="335"/>
      <c r="F89" s="335">
        <f t="shared" si="7"/>
        <v>7.1641628581257075</v>
      </c>
      <c r="G89" s="335"/>
      <c r="H89" s="335">
        <f>+D89/H18</f>
        <v>31.817838293650794</v>
      </c>
      <c r="I89" s="321"/>
      <c r="J89" s="321"/>
      <c r="K89" s="158"/>
      <c r="L89" s="151"/>
    </row>
    <row r="90" spans="2:12" ht="15" x14ac:dyDescent="0.25">
      <c r="B90" s="391" t="str">
        <f>+IF(bud_type&lt;&gt;1,B76,"")</f>
        <v>Annual Equipment Fixed Costs</v>
      </c>
      <c r="C90" s="391"/>
      <c r="D90" s="335">
        <f>+H76</f>
        <v>9336.6623999999993</v>
      </c>
      <c r="E90" s="335"/>
      <c r="F90" s="335">
        <f t="shared" si="7"/>
        <v>21.022600394033212</v>
      </c>
      <c r="G90" s="335"/>
      <c r="H90" s="335">
        <f>+D90/H18</f>
        <v>93.366623999999987</v>
      </c>
      <c r="I90" s="321"/>
      <c r="J90" s="321"/>
      <c r="K90" s="158"/>
      <c r="L90" s="151"/>
    </row>
    <row r="91" spans="2:12" ht="15" x14ac:dyDescent="0.25">
      <c r="B91" s="391" t="str">
        <f>+IF(bud_type&lt;&gt;1,B77,"")</f>
        <v>Annual Land Fixed Costs Excluding Taxes</v>
      </c>
      <c r="C91" s="391"/>
      <c r="D91" s="335">
        <f>+H77</f>
        <v>0</v>
      </c>
      <c r="E91" s="346"/>
      <c r="F91" s="346">
        <f t="shared" si="7"/>
        <v>0</v>
      </c>
      <c r="G91" s="346"/>
      <c r="H91" s="346">
        <f>+D91/H18</f>
        <v>0</v>
      </c>
      <c r="I91" s="321"/>
      <c r="J91" s="321"/>
      <c r="K91" s="158"/>
      <c r="L91" s="151"/>
    </row>
    <row r="92" spans="2:12" ht="15.6" thickBot="1" x14ac:dyDescent="0.3">
      <c r="B92" s="392" t="str">
        <f>+IF(bud_type&lt;&gt;1,B78,"")</f>
        <v>Annual Real Estate Taxes</v>
      </c>
      <c r="C92" s="392"/>
      <c r="D92" s="343">
        <f>+H79</f>
        <v>610.50276041666677</v>
      </c>
      <c r="E92" s="343"/>
      <c r="F92" s="343">
        <f t="shared" si="7"/>
        <v>1.3746192185007979</v>
      </c>
      <c r="G92" s="343"/>
      <c r="H92" s="343">
        <f>+D92/cows</f>
        <v>6.1050276041666676</v>
      </c>
      <c r="I92" s="321"/>
      <c r="J92" s="321"/>
      <c r="K92" s="158"/>
      <c r="L92" s="151"/>
    </row>
    <row r="93" spans="2:12" ht="16.2" thickBot="1" x14ac:dyDescent="0.35">
      <c r="B93" s="396" t="s">
        <v>220</v>
      </c>
      <c r="C93" s="397"/>
      <c r="D93" s="360">
        <f>SUM(D87:D91)</f>
        <v>63085.157794642866</v>
      </c>
      <c r="E93" s="360"/>
      <c r="F93" s="360">
        <f>D93/((H18*H19-H21)*H38)</f>
        <v>142.04369894656432</v>
      </c>
      <c r="G93" s="360"/>
      <c r="H93" s="361">
        <f>+D93/H18</f>
        <v>630.85157794642862</v>
      </c>
      <c r="I93" s="321"/>
      <c r="J93" s="321"/>
      <c r="K93" s="158"/>
      <c r="L93" s="151"/>
    </row>
    <row r="94" spans="2:12" ht="15.6" x14ac:dyDescent="0.3">
      <c r="B94" s="362"/>
      <c r="C94" s="362"/>
      <c r="D94" s="355"/>
      <c r="E94" s="362"/>
      <c r="F94" s="362"/>
      <c r="G94" s="362"/>
      <c r="H94" s="362"/>
      <c r="I94" s="362"/>
      <c r="J94" s="362"/>
      <c r="K94" s="159"/>
      <c r="L94" s="151"/>
    </row>
    <row r="95" spans="2:12" ht="15" x14ac:dyDescent="0.25">
      <c r="B95" s="362"/>
      <c r="C95" s="362"/>
      <c r="D95" s="362"/>
      <c r="E95" s="362"/>
      <c r="F95" s="362"/>
      <c r="G95" s="362"/>
      <c r="H95" s="362"/>
      <c r="I95" s="362"/>
      <c r="J95" s="362"/>
      <c r="K95" s="159"/>
      <c r="L95" s="151"/>
    </row>
    <row r="96" spans="2:12" ht="15.6" x14ac:dyDescent="0.3">
      <c r="B96" s="422" t="s">
        <v>35</v>
      </c>
      <c r="C96" s="422"/>
      <c r="D96" s="422"/>
      <c r="E96" s="422"/>
      <c r="F96" s="422"/>
      <c r="G96" s="422"/>
      <c r="H96" s="422"/>
      <c r="I96" s="422"/>
      <c r="J96" s="422"/>
      <c r="K96" s="158"/>
      <c r="L96" s="151"/>
    </row>
    <row r="97" spans="2:12" ht="15" x14ac:dyDescent="0.25">
      <c r="B97" s="321"/>
      <c r="C97" s="321"/>
      <c r="D97" s="321"/>
      <c r="E97" s="314">
        <f>+ROUND(H25,0)</f>
        <v>85</v>
      </c>
      <c r="F97" s="321" t="s">
        <v>36</v>
      </c>
      <c r="G97" s="321"/>
      <c r="H97" s="321"/>
      <c r="I97" s="321"/>
      <c r="J97" s="321"/>
      <c r="K97" s="158"/>
      <c r="L97" s="151"/>
    </row>
    <row r="98" spans="2:12" ht="15.6" x14ac:dyDescent="0.3">
      <c r="B98" s="321"/>
      <c r="C98" s="321"/>
      <c r="D98" s="363"/>
      <c r="E98" s="321"/>
      <c r="F98" s="321"/>
      <c r="G98" s="321"/>
      <c r="H98" s="321"/>
      <c r="I98" s="321"/>
      <c r="J98" s="321"/>
      <c r="K98" s="158"/>
      <c r="L98" s="151"/>
    </row>
    <row r="99" spans="2:12" ht="15.6" x14ac:dyDescent="0.3">
      <c r="B99" s="364"/>
      <c r="C99" s="365" t="s">
        <v>37</v>
      </c>
      <c r="D99" s="366"/>
      <c r="E99" s="365" t="s">
        <v>38</v>
      </c>
      <c r="F99" s="366"/>
      <c r="G99" s="367" t="s">
        <v>39</v>
      </c>
      <c r="H99" s="366"/>
      <c r="I99" s="368" t="s">
        <v>40</v>
      </c>
      <c r="J99" s="369"/>
      <c r="K99" s="158"/>
      <c r="L99" s="151"/>
    </row>
    <row r="100" spans="2:12" ht="15" x14ac:dyDescent="0.25">
      <c r="B100" s="321"/>
      <c r="C100" s="370" t="s">
        <v>41</v>
      </c>
      <c r="D100" s="370"/>
      <c r="E100" s="370" t="s">
        <v>42</v>
      </c>
      <c r="F100" s="370"/>
      <c r="G100" s="371" t="s">
        <v>43</v>
      </c>
      <c r="H100" s="370"/>
      <c r="I100" s="371"/>
      <c r="J100" s="321"/>
      <c r="K100" s="158"/>
      <c r="L100" s="151"/>
    </row>
    <row r="101" spans="2:12" ht="15" x14ac:dyDescent="0.25">
      <c r="B101" s="321"/>
      <c r="C101" s="370">
        <f>+exp_wt/cows</f>
        <v>4.4345881250000003</v>
      </c>
      <c r="D101" s="370"/>
      <c r="E101" s="370">
        <f>(0.04*F38+0.25*G38+0.42*H38+0.25*I38+0.04*J38)*H25</f>
        <v>443.45881250000002</v>
      </c>
      <c r="F101" s="370"/>
      <c r="G101" s="372">
        <f>(0.04*F41+0.25*G41+0.42*H41+0.25*I41+0.04*J41)</f>
        <v>110.26315789473686</v>
      </c>
      <c r="H101" s="370"/>
      <c r="I101" s="373">
        <f>+G101*E101</f>
        <v>48897.169062500012</v>
      </c>
      <c r="J101" s="321"/>
      <c r="K101" s="158"/>
      <c r="L101" s="151"/>
    </row>
    <row r="102" spans="2:12" ht="15" x14ac:dyDescent="0.25">
      <c r="B102" s="321"/>
      <c r="C102" s="370" t="s">
        <v>44</v>
      </c>
      <c r="D102" s="370"/>
      <c r="E102" s="370" t="s">
        <v>42</v>
      </c>
      <c r="F102" s="370"/>
      <c r="G102" s="371" t="s">
        <v>43</v>
      </c>
      <c r="H102" s="370"/>
      <c r="I102" s="373"/>
      <c r="J102" s="321"/>
      <c r="K102" s="158"/>
      <c r="L102" s="151"/>
    </row>
    <row r="103" spans="2:12" ht="15" x14ac:dyDescent="0.25">
      <c r="B103" s="321"/>
      <c r="C103" s="370">
        <f>+E103/calves_sold</f>
        <v>5.2171625000000006</v>
      </c>
      <c r="D103" s="370"/>
      <c r="E103" s="370">
        <f>+exp_wt</f>
        <v>443.45881250000002</v>
      </c>
      <c r="F103" s="370"/>
      <c r="G103" s="372">
        <f>(0.04*F41+0.25*G41+0.42*H41+0.25*I41+0.04*J41)</f>
        <v>110.26315789473686</v>
      </c>
      <c r="H103" s="370"/>
      <c r="I103" s="373">
        <f>+G103*E103</f>
        <v>48897.169062500012</v>
      </c>
      <c r="J103" s="321"/>
      <c r="K103" s="158"/>
      <c r="L103" s="151"/>
    </row>
    <row r="104" spans="2:12" ht="15.6" x14ac:dyDescent="0.3">
      <c r="B104" s="362"/>
      <c r="C104" s="321"/>
      <c r="D104" s="363"/>
      <c r="E104" s="362"/>
      <c r="F104" s="362"/>
      <c r="G104" s="362"/>
      <c r="H104" s="362"/>
      <c r="I104" s="362"/>
      <c r="J104" s="362"/>
      <c r="K104" s="158"/>
      <c r="L104" s="151"/>
    </row>
    <row r="105" spans="2:12" x14ac:dyDescent="0.25">
      <c r="B105" s="374"/>
      <c r="C105" s="374"/>
      <c r="D105" s="374"/>
      <c r="E105" s="375"/>
      <c r="F105" s="375"/>
      <c r="G105" s="375"/>
      <c r="H105" s="375"/>
      <c r="I105" s="375"/>
      <c r="J105" s="375"/>
      <c r="K105" s="300"/>
    </row>
    <row r="106" spans="2:12" x14ac:dyDescent="0.25">
      <c r="B106" s="306"/>
      <c r="C106" s="306"/>
      <c r="D106" s="376"/>
      <c r="E106" s="306"/>
      <c r="F106" s="377"/>
      <c r="G106" s="378"/>
      <c r="H106" s="378"/>
      <c r="I106" s="378"/>
      <c r="J106" s="378"/>
      <c r="K106" s="190"/>
    </row>
    <row r="107" spans="2:12" ht="13.5" customHeight="1" thickBot="1" x14ac:dyDescent="0.3">
      <c r="B107" s="421" t="s">
        <v>200</v>
      </c>
      <c r="C107" s="421"/>
      <c r="D107" s="421"/>
      <c r="E107" s="421"/>
      <c r="F107" s="421"/>
      <c r="G107" s="421"/>
      <c r="H107" s="421"/>
      <c r="I107" s="421"/>
      <c r="J107" s="421"/>
      <c r="K107" s="190"/>
    </row>
    <row r="108" spans="2:12" ht="13.5" customHeight="1" thickTop="1" x14ac:dyDescent="0.25">
      <c r="B108" s="415" t="s">
        <v>45</v>
      </c>
      <c r="C108" s="416"/>
      <c r="D108" s="416"/>
      <c r="E108" s="416"/>
      <c r="F108" s="416"/>
      <c r="G108" s="416"/>
      <c r="H108" s="416"/>
      <c r="I108" s="416"/>
      <c r="J108" s="417"/>
      <c r="K108" s="190"/>
    </row>
    <row r="109" spans="2:12" ht="12.75" customHeight="1" x14ac:dyDescent="0.25">
      <c r="B109" s="418" t="s">
        <v>46</v>
      </c>
      <c r="C109" s="419"/>
      <c r="D109" s="419"/>
      <c r="E109" s="419"/>
      <c r="F109" s="419"/>
      <c r="G109" s="419"/>
      <c r="H109" s="419"/>
      <c r="I109" s="419"/>
      <c r="J109" s="420"/>
      <c r="K109" s="190"/>
    </row>
    <row r="110" spans="2:12" ht="13.5" customHeight="1" thickBot="1" x14ac:dyDescent="0.3">
      <c r="B110" s="412" t="s">
        <v>47</v>
      </c>
      <c r="C110" s="413"/>
      <c r="D110" s="413"/>
      <c r="E110" s="413"/>
      <c r="F110" s="413"/>
      <c r="G110" s="413"/>
      <c r="H110" s="413"/>
      <c r="I110" s="413"/>
      <c r="J110" s="414"/>
      <c r="K110" s="190"/>
    </row>
    <row r="111" spans="2:12" ht="13.5" customHeight="1" thickTop="1" x14ac:dyDescent="0.25">
      <c r="B111" s="374"/>
      <c r="C111" s="374"/>
      <c r="D111" s="374"/>
      <c r="E111" s="374"/>
      <c r="F111" s="374"/>
      <c r="G111" s="374"/>
      <c r="H111" s="374"/>
      <c r="I111" s="374"/>
      <c r="J111" s="374"/>
      <c r="K111" s="190"/>
    </row>
    <row r="112" spans="2:12" ht="12.75" customHeight="1" x14ac:dyDescent="0.25">
      <c r="B112" s="374"/>
      <c r="C112" s="374"/>
      <c r="D112" s="374"/>
      <c r="E112" s="374"/>
      <c r="F112" s="374"/>
      <c r="G112" s="374"/>
      <c r="H112" s="374"/>
      <c r="I112" s="374"/>
      <c r="J112" s="374"/>
      <c r="K112" s="190"/>
    </row>
    <row r="113" spans="2:29" ht="12.75" customHeight="1" x14ac:dyDescent="0.25">
      <c r="B113" s="374"/>
      <c r="C113" s="374"/>
      <c r="D113" s="374"/>
      <c r="E113" s="379" t="s">
        <v>48</v>
      </c>
      <c r="F113" s="374"/>
      <c r="G113" s="379" t="s">
        <v>49</v>
      </c>
      <c r="H113" s="374"/>
      <c r="I113" s="379" t="s">
        <v>50</v>
      </c>
      <c r="J113" s="374"/>
      <c r="K113" s="190"/>
    </row>
    <row r="114" spans="2:29" ht="12.75" customHeight="1" x14ac:dyDescent="0.25">
      <c r="B114" s="374" t="s">
        <v>166</v>
      </c>
      <c r="C114" s="374"/>
      <c r="D114" s="302">
        <f>(Q165:Q165)+(1.5*S164:S164)</f>
        <v>-9992.6565015751366</v>
      </c>
      <c r="E114" s="302">
        <f>Q165:Q165+S164:S164</f>
        <v>-11658.3778922008</v>
      </c>
      <c r="F114" s="302">
        <f>Q165:Q165+0.5*S164:S164</f>
        <v>-13324.099282826464</v>
      </c>
      <c r="G114" s="302">
        <f>Q165:Q165</f>
        <v>-14989.82067345213</v>
      </c>
      <c r="H114" s="302">
        <f>Q165:Q165-0.5*S165:S165</f>
        <v>-16675.975616090527</v>
      </c>
      <c r="I114" s="302">
        <f>Q165:Q165-S165:S165</f>
        <v>-18362.130558728924</v>
      </c>
      <c r="J114" s="302">
        <f>Q165:Q165-1.5*S165:S165</f>
        <v>-20048.285501367325</v>
      </c>
      <c r="K114" s="190"/>
      <c r="P114" s="1" t="s">
        <v>51</v>
      </c>
      <c r="Q114" s="1" t="s">
        <v>51</v>
      </c>
      <c r="U114" s="1" t="s">
        <v>51</v>
      </c>
      <c r="W114" s="1" t="s">
        <v>8</v>
      </c>
      <c r="X114" s="1" t="s">
        <v>4</v>
      </c>
      <c r="AC114" s="1" t="s">
        <v>28</v>
      </c>
    </row>
    <row r="115" spans="2:29" ht="12.75" customHeight="1" x14ac:dyDescent="0.25">
      <c r="B115" s="374" t="s">
        <v>52</v>
      </c>
      <c r="C115" s="374"/>
      <c r="D115" s="303">
        <f>IF(R167&lt;1,IF(Q167,V167,1-V167),IF(Q167,V168,1-V168))</f>
        <v>6.62174062663832E-2</v>
      </c>
      <c r="E115" s="303">
        <f>IF(X167&lt;1,IF(W167,AB167,1-AB167),IF(W167,AB168,1-AB168))</f>
        <v>0.15866004719972926</v>
      </c>
      <c r="F115" s="303">
        <f>IF(AD167&lt;1,IF(AC167,AH167,1-AH167),IF(AC167,AH168,1-AH168))</f>
        <v>0.31014637574639298</v>
      </c>
      <c r="G115" s="303">
        <f>IF(R169&lt;1,IF(Q169,V169,1-V169),IF(Q169,V170,1-V170))</f>
        <v>0.50160513406408658</v>
      </c>
      <c r="H115" s="303">
        <f>IF(X169&lt;1,IF(W169,AB169,1-AB169),IF(W169,AB170,1-AB170))</f>
        <v>0.69305504276503038</v>
      </c>
      <c r="I115" s="303">
        <f>IF(AD169&lt;1,IF(AC169,AH169,1-AH169),IF(AC169,AH170,1-AH170))</f>
        <v>0.84134936359929346</v>
      </c>
      <c r="J115" s="303">
        <f>IF(R171&lt;1,IF(Q171,V171,1-V171),IF(Q171,V172,1-V172))</f>
        <v>0.93260955576087978</v>
      </c>
      <c r="K115" s="190"/>
      <c r="P115" s="1" t="s">
        <v>51</v>
      </c>
      <c r="Q115" s="1" t="s">
        <v>53</v>
      </c>
      <c r="U115" s="1" t="s">
        <v>51</v>
      </c>
    </row>
    <row r="116" spans="2:29" ht="12.75" customHeight="1" x14ac:dyDescent="0.25">
      <c r="B116" s="374" t="s">
        <v>52</v>
      </c>
      <c r="C116" s="374"/>
      <c r="D116" s="303">
        <f>IF(R167&lt;1,IF(Q167,1-V167,V167),IF(Q167,1-V168,V168))</f>
        <v>0.93378259373361683</v>
      </c>
      <c r="E116" s="303">
        <f>IF(X167&lt;1,IF(W167,1-AB167,AB167),IF(W167,1-AB168,AB168))</f>
        <v>0.84133995280027074</v>
      </c>
      <c r="F116" s="303">
        <f>IF(AD167&lt;1,IF(AC167,1-AH167,AH167),IF(AC167,1-AH168,AH168))</f>
        <v>0.68985362425360708</v>
      </c>
      <c r="G116" s="303">
        <f>IF(R169&lt;1,IF(Q169,1-V169,V169),IF(Q169,1-V170,V170))</f>
        <v>0.49839486593591342</v>
      </c>
      <c r="H116" s="303">
        <f>IF(X169&lt;1,IF(W169,1-AB169,AB169),IF(W169,1-AB170,AB170))</f>
        <v>0.30694495723496962</v>
      </c>
      <c r="I116" s="303">
        <f>IF(AD169&lt;1,IF(AC169,1-AH169,AH169),IF(AC169,1-AH170,AH170))</f>
        <v>0.15865063640070659</v>
      </c>
      <c r="J116" s="303">
        <f>IF(R171&lt;1,IF(Q171,1-V171,V171),IF(Q171,1-V172,V172))</f>
        <v>6.7390444239120245E-2</v>
      </c>
      <c r="K116" s="190"/>
      <c r="P116" s="1" t="s">
        <v>51</v>
      </c>
      <c r="Q116" s="1" t="s">
        <v>54</v>
      </c>
      <c r="U116" s="1" t="s">
        <v>51</v>
      </c>
    </row>
    <row r="117" spans="2:29" ht="12.75" customHeight="1" x14ac:dyDescent="0.25">
      <c r="B117" s="374"/>
      <c r="C117" s="374"/>
      <c r="D117" s="374"/>
      <c r="E117" s="374"/>
      <c r="F117" s="374"/>
      <c r="G117" s="374"/>
      <c r="H117" s="374"/>
      <c r="I117" s="374"/>
      <c r="J117" s="374"/>
      <c r="K117" s="301"/>
      <c r="P117" s="1" t="s">
        <v>51</v>
      </c>
      <c r="Q117" s="1">
        <v>1</v>
      </c>
      <c r="R117" s="1" t="s">
        <v>23</v>
      </c>
      <c r="U117" s="1" t="s">
        <v>51</v>
      </c>
    </row>
    <row r="118" spans="2:29" ht="12.75" customHeight="1" x14ac:dyDescent="0.25">
      <c r="B118" s="380" t="s">
        <v>55</v>
      </c>
      <c r="C118" s="374"/>
      <c r="D118" s="374"/>
      <c r="E118" s="304">
        <f>IF(X171&lt;1,IF(W171,AB171,1-AB171),IF(W171,AB172,1-AB172))</f>
        <v>6.2096929158193597E-3</v>
      </c>
      <c r="F118" s="387" t="s">
        <v>418</v>
      </c>
      <c r="G118" s="388"/>
      <c r="H118" s="388"/>
      <c r="I118" s="389"/>
      <c r="J118" s="385">
        <f>+Q165</f>
        <v>-14989.82067345213</v>
      </c>
      <c r="K118" s="190"/>
      <c r="P118" s="1" t="s">
        <v>51</v>
      </c>
      <c r="Q118" s="1">
        <f>+H25*F38+(H18*H20*H27)</f>
        <v>649.5</v>
      </c>
      <c r="R118" s="1" t="s">
        <v>56</v>
      </c>
      <c r="S118" s="1">
        <f>(((H18*H19/2)*H36*F39+(H18*H19/2-H21)*H37*F40)+((H28+(F41-H41)*0.5)*H18*H20*H27))/(((H18*H19-H21)*H38)+(H18*H20*H27))</f>
        <v>106.64785553047405</v>
      </c>
      <c r="T118" s="1" t="s">
        <v>57</v>
      </c>
      <c r="U118" s="1" t="s">
        <v>51</v>
      </c>
      <c r="V118" s="1" t="s">
        <v>58</v>
      </c>
      <c r="X118" s="1">
        <f>H18*H20*H27</f>
        <v>165</v>
      </c>
    </row>
    <row r="119" spans="2:29" ht="12.75" customHeight="1" x14ac:dyDescent="0.25">
      <c r="B119" s="374"/>
      <c r="C119" s="374"/>
      <c r="D119" s="374"/>
      <c r="E119" s="374"/>
      <c r="F119" s="387" t="s">
        <v>419</v>
      </c>
      <c r="G119" s="388"/>
      <c r="H119" s="388"/>
      <c r="I119" s="389"/>
      <c r="J119" s="305">
        <f>+J118/calves_sold</f>
        <v>-176.350831452378</v>
      </c>
      <c r="K119" s="190"/>
      <c r="P119" s="1" t="s">
        <v>51</v>
      </c>
      <c r="Q119" s="1">
        <f>+H25*G38+(H18*H20*H27)</f>
        <v>629.3125</v>
      </c>
      <c r="R119" s="1" t="s">
        <v>59</v>
      </c>
      <c r="S119" s="1">
        <f>(((H18*H19/2)*H36*G39+(H18*H19/2-H21)*H37*G40)+((H28+(G41-H41)*0.5)*H18*H20*H27))/(((H18*H19-H21)*H38)+(H18*H20*H27))</f>
        <v>102.32505643340858</v>
      </c>
      <c r="T119" s="1" t="s">
        <v>60</v>
      </c>
      <c r="U119" s="1" t="s">
        <v>51</v>
      </c>
      <c r="V119" s="1" t="s">
        <v>61</v>
      </c>
      <c r="X119" s="1">
        <f>0.04*(H28+0.5*(F41-H41))+0.25*(H28+0.5*(G41-H41))+0.42*H28+0.25*(H28-0.5*(H41-I41))+0.04*(H28-0.5*(H41-J41))</f>
        <v>65</v>
      </c>
    </row>
    <row r="120" spans="2:29" ht="12.75" customHeight="1" x14ac:dyDescent="0.25">
      <c r="B120" s="374"/>
      <c r="C120" s="374"/>
      <c r="D120" s="374"/>
      <c r="E120" s="374"/>
      <c r="F120" s="387" t="s">
        <v>420</v>
      </c>
      <c r="G120" s="388"/>
      <c r="H120" s="388"/>
      <c r="I120" s="389"/>
      <c r="J120" s="305">
        <f>+J118/cows</f>
        <v>-149.8982067345213</v>
      </c>
      <c r="K120" s="190"/>
      <c r="P120" s="1" t="s">
        <v>51</v>
      </c>
      <c r="Q120" s="1">
        <f>+H25*H38+(H18*H20*H27)</f>
        <v>609.125</v>
      </c>
      <c r="R120" s="1" t="s">
        <v>62</v>
      </c>
      <c r="S120" s="1">
        <f>(((H18*H19/2)*H36*H39+(H18*H19/2-H21)*H37*H40)+(H28*H18*H20*H27))/(((H18*H19-H21)*H38)+(H18*H20*H27))</f>
        <v>98.002257336343121</v>
      </c>
      <c r="T120" s="1" t="s">
        <v>63</v>
      </c>
      <c r="U120" s="1" t="s">
        <v>51</v>
      </c>
      <c r="V120" s="1">
        <f>+Q119*S119-D85-D88-D89-D90</f>
        <v>-10225.720717893435</v>
      </c>
    </row>
    <row r="121" spans="2:29" ht="12.75" customHeight="1" x14ac:dyDescent="0.25">
      <c r="B121" s="381" t="s">
        <v>64</v>
      </c>
      <c r="C121" s="374"/>
      <c r="D121" s="374"/>
      <c r="E121" s="374"/>
      <c r="F121" s="374"/>
      <c r="G121" s="374"/>
      <c r="H121" s="374"/>
      <c r="I121" s="374"/>
      <c r="J121" s="374"/>
      <c r="K121" s="190"/>
      <c r="P121" s="1" t="s">
        <v>51</v>
      </c>
      <c r="Q121" s="1">
        <f>+H25*I38+(H18*H20*H27)</f>
        <v>586.91875000000005</v>
      </c>
      <c r="R121" s="1" t="s">
        <v>65</v>
      </c>
      <c r="S121" s="1">
        <f>(((H18*H19/2)*H36*I39+(H18*H19/2-H21)*H37*I40)+((H28+(I41-H41)*0.5)*H18*H20*H27))/(((H18*H19-H21)*H38)+(H18*H20*H27))</f>
        <v>93.67945823927765</v>
      </c>
      <c r="T121" s="1" t="s">
        <v>66</v>
      </c>
      <c r="U121" s="1" t="s">
        <v>51</v>
      </c>
      <c r="V121" s="1">
        <f>Q119*S119</f>
        <v>64394.437076749433</v>
      </c>
    </row>
    <row r="122" spans="2:29" ht="12.75" customHeight="1" x14ac:dyDescent="0.25">
      <c r="B122" s="381" t="s">
        <v>67</v>
      </c>
      <c r="C122" s="374"/>
      <c r="D122" s="374"/>
      <c r="E122" s="374"/>
      <c r="F122" s="374"/>
      <c r="G122" s="374"/>
      <c r="H122" s="374"/>
      <c r="I122" s="374"/>
      <c r="J122" s="374"/>
      <c r="K122" s="190"/>
      <c r="P122" s="1" t="s">
        <v>51</v>
      </c>
      <c r="Q122" s="1">
        <f>+H25*J38+(H18*H20*H27)</f>
        <v>564.71249999999998</v>
      </c>
      <c r="R122" s="1" t="s">
        <v>68</v>
      </c>
      <c r="S122" s="1">
        <f>(((H18*H19/2)*H36*J39+(H18*H19/2-H21)*H37*J40)+((H28+(J41-H41)*0.5)*H18*H20*H27))/(((H18*H19-H21)*H38)+(H18*H20*H27))</f>
        <v>89.356659142212195</v>
      </c>
      <c r="T122" s="1" t="s">
        <v>69</v>
      </c>
      <c r="U122" s="1" t="s">
        <v>51</v>
      </c>
    </row>
    <row r="123" spans="2:29" x14ac:dyDescent="0.25">
      <c r="B123" s="381"/>
      <c r="C123" s="374"/>
      <c r="D123" s="374"/>
      <c r="E123" s="374"/>
      <c r="F123" s="374"/>
      <c r="G123" s="374"/>
      <c r="H123" s="374"/>
      <c r="I123" s="374"/>
      <c r="J123" s="374"/>
      <c r="K123" s="190"/>
      <c r="P123" s="1" t="s">
        <v>51</v>
      </c>
      <c r="Q123" s="1">
        <v>0</v>
      </c>
      <c r="R123" s="1" t="s">
        <v>70</v>
      </c>
      <c r="U123" s="1" t="s">
        <v>51</v>
      </c>
    </row>
    <row r="124" spans="2:29" x14ac:dyDescent="0.25">
      <c r="B124" s="390"/>
      <c r="C124" s="390"/>
      <c r="D124" s="390"/>
      <c r="E124" s="390"/>
      <c r="F124" s="390"/>
      <c r="G124" s="390"/>
      <c r="H124" s="390"/>
      <c r="I124" s="390"/>
      <c r="J124" s="390"/>
      <c r="K124" s="190"/>
      <c r="P124" s="1" t="s">
        <v>51</v>
      </c>
      <c r="Q124" s="1">
        <f>D85</f>
        <v>56685.151565277789</v>
      </c>
      <c r="R124" s="1" t="s">
        <v>71</v>
      </c>
      <c r="U124" s="1" t="s">
        <v>51</v>
      </c>
    </row>
    <row r="125" spans="2:29" x14ac:dyDescent="0.25">
      <c r="B125" s="374"/>
      <c r="C125" s="374"/>
      <c r="D125" s="306" t="s">
        <v>416</v>
      </c>
      <c r="E125" s="306" t="s">
        <v>193</v>
      </c>
      <c r="F125" s="306" t="s">
        <v>417</v>
      </c>
      <c r="G125" s="374"/>
      <c r="H125" s="374"/>
      <c r="I125" s="374"/>
      <c r="J125" s="374"/>
      <c r="K125" s="190"/>
      <c r="P125" s="1" t="s">
        <v>51</v>
      </c>
      <c r="Q125" s="1" t="s">
        <v>51</v>
      </c>
      <c r="U125" s="1" t="s">
        <v>51</v>
      </c>
    </row>
    <row r="126" spans="2:29" x14ac:dyDescent="0.25">
      <c r="B126" s="386" t="s">
        <v>415</v>
      </c>
      <c r="C126" s="386"/>
      <c r="D126" s="382">
        <f>+Q164-(H71-H66-H65)</f>
        <v>8945.1855559129472</v>
      </c>
      <c r="E126" s="382">
        <f>+D126/cows</f>
        <v>89.45185555912947</v>
      </c>
      <c r="F126" s="382">
        <f>+D126/calves_sold</f>
        <v>105.23747712838761</v>
      </c>
      <c r="G126" s="374"/>
      <c r="H126" s="374"/>
      <c r="I126" s="374"/>
      <c r="J126" s="374"/>
      <c r="K126" s="190"/>
      <c r="P126" s="1" t="s">
        <v>72</v>
      </c>
      <c r="Q126" s="1" t="s">
        <v>54</v>
      </c>
      <c r="U126" s="1" t="s">
        <v>72</v>
      </c>
    </row>
    <row r="127" spans="2:29" x14ac:dyDescent="0.25">
      <c r="B127" s="386" t="s">
        <v>421</v>
      </c>
      <c r="C127" s="386"/>
      <c r="D127" s="382">
        <f>+D126-H77-H66</f>
        <v>8945.1855559129472</v>
      </c>
      <c r="E127" s="382">
        <f>+D127/cows</f>
        <v>89.45185555912947</v>
      </c>
      <c r="F127" s="382">
        <f>+D127/calves_sold</f>
        <v>105.23747712838761</v>
      </c>
      <c r="G127" s="374"/>
      <c r="H127" s="374"/>
      <c r="I127" s="374"/>
      <c r="J127" s="374"/>
      <c r="K127" s="190"/>
      <c r="P127" s="1" t="s">
        <v>72</v>
      </c>
      <c r="R127" s="1" t="s">
        <v>73</v>
      </c>
      <c r="U127" s="1" t="s">
        <v>72</v>
      </c>
    </row>
    <row r="128" spans="2:29" x14ac:dyDescent="0.25">
      <c r="B128" s="386" t="s">
        <v>422</v>
      </c>
      <c r="C128" s="386"/>
      <c r="D128" s="382">
        <f>+D126-H65</f>
        <v>2945.1855559129472</v>
      </c>
      <c r="E128" s="382">
        <f>+D128/cows</f>
        <v>29.45185555912947</v>
      </c>
      <c r="F128" s="382">
        <f>+D128/calves_sold</f>
        <v>34.649241834269965</v>
      </c>
      <c r="G128" s="374"/>
      <c r="H128" s="374"/>
      <c r="I128" s="374"/>
      <c r="J128" s="374"/>
      <c r="K128" s="190"/>
      <c r="P128" s="1" t="s">
        <v>72</v>
      </c>
      <c r="Q128" s="1" t="s">
        <v>54</v>
      </c>
      <c r="U128" s="1" t="s">
        <v>72</v>
      </c>
    </row>
    <row r="129" spans="2:21" x14ac:dyDescent="0.25">
      <c r="B129" s="386"/>
      <c r="C129" s="386"/>
      <c r="D129" s="382"/>
      <c r="E129" s="382"/>
      <c r="F129" s="382"/>
      <c r="G129" s="374"/>
      <c r="H129" s="374"/>
      <c r="I129" s="374"/>
      <c r="J129" s="374"/>
      <c r="K129" s="190"/>
      <c r="P129" s="1" t="s">
        <v>72</v>
      </c>
      <c r="Q129" s="1">
        <f>0.04*Q118+0.25*Q119+0.42*Q120+0.25*Q121+0.04*Q122</f>
        <v>608.45881249999991</v>
      </c>
      <c r="R129" s="1" t="s">
        <v>74</v>
      </c>
      <c r="S129" s="1">
        <f>0.04*S118+0.25*S119+0.42*S120+0.25*S121+0.04*S122</f>
        <v>98.002257336343121</v>
      </c>
      <c r="T129" s="1" t="s">
        <v>75</v>
      </c>
      <c r="U129" s="1" t="s">
        <v>72</v>
      </c>
    </row>
    <row r="130" spans="2:21" x14ac:dyDescent="0.25">
      <c r="B130" s="383"/>
      <c r="C130" s="383"/>
      <c r="D130" s="383"/>
      <c r="E130" s="383"/>
      <c r="F130" s="383"/>
      <c r="G130" s="383"/>
      <c r="H130" s="383"/>
      <c r="I130" s="383"/>
      <c r="J130" s="383"/>
      <c r="K130" s="1" t="s">
        <v>1</v>
      </c>
      <c r="P130" s="1" t="s">
        <v>72</v>
      </c>
      <c r="Q130" s="1">
        <f>0.25*(Q118-Q129)+0.5*(Q119-Q129)</f>
        <v>20.687140625000069</v>
      </c>
      <c r="R130" s="1" t="s">
        <v>76</v>
      </c>
      <c r="S130" s="1">
        <f>0.25*(S118-S129)+0.5*(S119-S129)</f>
        <v>4.3227990970654595</v>
      </c>
      <c r="T130" s="1" t="s">
        <v>77</v>
      </c>
      <c r="U130" s="1" t="s">
        <v>72</v>
      </c>
    </row>
    <row r="131" spans="2:21" x14ac:dyDescent="0.25">
      <c r="P131" s="1" t="s">
        <v>72</v>
      </c>
      <c r="Q131" s="1">
        <f>0.25*(Q129-Q122)+0.5*(Q129-Q121)</f>
        <v>21.706609374999914</v>
      </c>
      <c r="R131" s="1" t="s">
        <v>78</v>
      </c>
      <c r="S131" s="1">
        <f>0.25*(S129-S122)+0.5*(S129-S121)</f>
        <v>4.3227990970654666</v>
      </c>
      <c r="T131" s="1" t="s">
        <v>79</v>
      </c>
      <c r="U131" s="1" t="s">
        <v>72</v>
      </c>
    </row>
    <row r="132" spans="2:21" x14ac:dyDescent="0.25">
      <c r="K132" s="1" t="s">
        <v>1</v>
      </c>
      <c r="P132" s="1" t="s">
        <v>72</v>
      </c>
      <c r="Q132" s="1">
        <f>Q130^2</f>
        <v>427.95778723852823</v>
      </c>
      <c r="R132" s="1" t="s">
        <v>80</v>
      </c>
      <c r="S132" s="1">
        <f>S130^2</f>
        <v>18.686592033589953</v>
      </c>
      <c r="T132" s="1" t="s">
        <v>81</v>
      </c>
      <c r="U132" s="1" t="s">
        <v>72</v>
      </c>
    </row>
    <row r="133" spans="2:21" x14ac:dyDescent="0.25">
      <c r="P133" s="1" t="s">
        <v>72</v>
      </c>
      <c r="Q133" s="1">
        <f>Q131^2</f>
        <v>471.17689055883415</v>
      </c>
      <c r="R133" s="1" t="s">
        <v>82</v>
      </c>
      <c r="S133" s="1">
        <f>S131^2</f>
        <v>18.686592033590014</v>
      </c>
      <c r="T133" s="1" t="s">
        <v>83</v>
      </c>
      <c r="U133" s="1" t="s">
        <v>72</v>
      </c>
    </row>
    <row r="134" spans="2:21" x14ac:dyDescent="0.25">
      <c r="P134" s="1" t="s">
        <v>72</v>
      </c>
      <c r="Q134" s="1" t="s">
        <v>54</v>
      </c>
      <c r="U134" s="1" t="s">
        <v>72</v>
      </c>
    </row>
    <row r="135" spans="2:21" x14ac:dyDescent="0.25">
      <c r="O135" s="1" t="s">
        <v>1</v>
      </c>
      <c r="P135" s="1" t="s">
        <v>72</v>
      </c>
      <c r="Q135" s="1">
        <f>(Q129^2*S132)+(S129-Q123)^2*Q132</f>
        <v>11028485.775454268</v>
      </c>
      <c r="R135" s="1" t="s">
        <v>84</v>
      </c>
      <c r="S135" s="1">
        <f>(Q129^2*S133)+(S129-Q123)^2*Q133</f>
        <v>11443581.165733052</v>
      </c>
      <c r="T135" s="1" t="s">
        <v>85</v>
      </c>
      <c r="U135" s="1" t="s">
        <v>72</v>
      </c>
    </row>
    <row r="136" spans="2:21" x14ac:dyDescent="0.25">
      <c r="P136" s="1" t="s">
        <v>72</v>
      </c>
      <c r="Q136" s="1">
        <f>(Q129^2*S132)+(S129-Q123)^2*Q133</f>
        <v>11443581.16573303</v>
      </c>
      <c r="R136" s="1" t="s">
        <v>86</v>
      </c>
      <c r="S136" s="1">
        <f>Q129^2*S133+(S129-Q123)^2*Q132</f>
        <v>11028485.77545429</v>
      </c>
      <c r="T136" s="1" t="s">
        <v>87</v>
      </c>
      <c r="U136" s="1" t="s">
        <v>72</v>
      </c>
    </row>
    <row r="137" spans="2:21" x14ac:dyDescent="0.25">
      <c r="P137" s="1" t="s">
        <v>72</v>
      </c>
      <c r="Q137" s="2">
        <f>SQRT(Q135)</f>
        <v>3320.9164059720424</v>
      </c>
      <c r="R137" s="2" t="s">
        <v>88</v>
      </c>
      <c r="S137" s="2">
        <f>SQRT(S135)</f>
        <v>3382.8362605560815</v>
      </c>
      <c r="T137" s="1" t="s">
        <v>89</v>
      </c>
      <c r="U137" s="1" t="s">
        <v>72</v>
      </c>
    </row>
    <row r="138" spans="2:21" x14ac:dyDescent="0.25">
      <c r="P138" s="1" t="s">
        <v>72</v>
      </c>
      <c r="Q138" s="2">
        <f>SQRT(Q136)</f>
        <v>3382.8362605560783</v>
      </c>
      <c r="R138" s="2" t="s">
        <v>90</v>
      </c>
      <c r="S138" s="2">
        <f>SQRT(S136)</f>
        <v>3320.9164059720461</v>
      </c>
      <c r="T138" s="1" t="s">
        <v>91</v>
      </c>
      <c r="U138" s="1" t="s">
        <v>72</v>
      </c>
    </row>
    <row r="139" spans="2:21" x14ac:dyDescent="0.25">
      <c r="P139" s="1" t="s">
        <v>72</v>
      </c>
      <c r="Q139" s="2">
        <f>0.66*Q137+0.17*Q138+0.17*S138</f>
        <v>3331.4427812513295</v>
      </c>
      <c r="R139" s="2" t="s">
        <v>92</v>
      </c>
      <c r="S139" s="2">
        <f>0.66*S137+0.17*Q138+0.17*S138</f>
        <v>3372.3098852767953</v>
      </c>
      <c r="T139" s="1" t="s">
        <v>93</v>
      </c>
      <c r="U139" s="1" t="s">
        <v>72</v>
      </c>
    </row>
    <row r="140" spans="2:21" x14ac:dyDescent="0.25">
      <c r="P140" s="1" t="s">
        <v>72</v>
      </c>
      <c r="Q140" s="1" t="s">
        <v>54</v>
      </c>
      <c r="U140" s="1" t="s">
        <v>72</v>
      </c>
    </row>
    <row r="141" spans="2:21" x14ac:dyDescent="0.25">
      <c r="P141" s="1" t="s">
        <v>72</v>
      </c>
      <c r="Q141" s="1" t="s">
        <v>94</v>
      </c>
      <c r="U141" s="1" t="s">
        <v>72</v>
      </c>
    </row>
    <row r="142" spans="2:21" x14ac:dyDescent="0.25">
      <c r="O142" s="1" t="s">
        <v>1</v>
      </c>
    </row>
    <row r="154" spans="11:21" x14ac:dyDescent="0.25">
      <c r="K154" s="1" t="s">
        <v>1</v>
      </c>
    </row>
    <row r="156" spans="11:21" x14ac:dyDescent="0.25">
      <c r="K156" s="1" t="s">
        <v>1</v>
      </c>
    </row>
    <row r="158" spans="11:21" x14ac:dyDescent="0.25">
      <c r="O158" s="1" t="s">
        <v>1</v>
      </c>
      <c r="P158" s="1" t="s">
        <v>72</v>
      </c>
      <c r="Q158" s="1" t="s">
        <v>54</v>
      </c>
      <c r="U158" s="1" t="s">
        <v>72</v>
      </c>
    </row>
    <row r="159" spans="11:21" x14ac:dyDescent="0.25">
      <c r="P159" s="1" t="s">
        <v>72</v>
      </c>
      <c r="Q159" s="1">
        <f>S120</f>
        <v>98.002257336343121</v>
      </c>
      <c r="R159" s="1" t="s">
        <v>95</v>
      </c>
      <c r="S159" s="2">
        <f>+Q165-Q163</f>
        <v>-13.486144328402588</v>
      </c>
      <c r="T159" s="1" t="s">
        <v>96</v>
      </c>
      <c r="U159" s="1" t="s">
        <v>72</v>
      </c>
    </row>
    <row r="160" spans="11:21" x14ac:dyDescent="0.25">
      <c r="O160" s="1" t="s">
        <v>4</v>
      </c>
      <c r="P160" s="1" t="s">
        <v>72</v>
      </c>
      <c r="Q160" s="1">
        <f>Q120</f>
        <v>609.125</v>
      </c>
      <c r="R160" s="1" t="s">
        <v>97</v>
      </c>
      <c r="S160" s="2">
        <f>+Q137</f>
        <v>3320.9164059720424</v>
      </c>
      <c r="T160" s="1" t="s">
        <v>98</v>
      </c>
      <c r="U160" s="1" t="s">
        <v>72</v>
      </c>
    </row>
    <row r="161" spans="11:34" x14ac:dyDescent="0.25">
      <c r="P161" s="1" t="s">
        <v>72</v>
      </c>
      <c r="Q161" s="2">
        <f>+Q164+0.33*(S165-S164)</f>
        <v>59643.823265519139</v>
      </c>
      <c r="R161" s="1" t="s">
        <v>99</v>
      </c>
      <c r="S161" s="2">
        <f>+S137</f>
        <v>3382.8362605560815</v>
      </c>
      <c r="T161" s="1" t="s">
        <v>100</v>
      </c>
      <c r="U161" s="1" t="s">
        <v>72</v>
      </c>
    </row>
    <row r="162" spans="11:34" x14ac:dyDescent="0.25">
      <c r="P162" s="1" t="s">
        <v>72</v>
      </c>
      <c r="Q162" s="2">
        <f>+D85</f>
        <v>56685.151565277789</v>
      </c>
      <c r="R162" s="1" t="s">
        <v>101</v>
      </c>
      <c r="S162" s="2">
        <f>+Q138</f>
        <v>3382.8362605560783</v>
      </c>
      <c r="T162" s="1" t="s">
        <v>102</v>
      </c>
      <c r="U162" s="1" t="s">
        <v>72</v>
      </c>
    </row>
    <row r="163" spans="11:34" x14ac:dyDescent="0.25">
      <c r="P163" s="1" t="s">
        <v>72</v>
      </c>
      <c r="Q163" s="2">
        <f>Q161-Q162-(SUM(D88:D91))</f>
        <v>-14976.334529123727</v>
      </c>
      <c r="R163" s="1" t="s">
        <v>103</v>
      </c>
      <c r="S163" s="2">
        <f>+S138</f>
        <v>3320.9164059720461</v>
      </c>
      <c r="T163" s="1" t="s">
        <v>104</v>
      </c>
      <c r="U163" s="1" t="s">
        <v>72</v>
      </c>
    </row>
    <row r="164" spans="11:34" x14ac:dyDescent="0.25">
      <c r="K164" s="1" t="s">
        <v>1</v>
      </c>
      <c r="O164" s="1" t="s">
        <v>1</v>
      </c>
      <c r="P164" s="1" t="s">
        <v>72</v>
      </c>
      <c r="Q164" s="2">
        <f>Q129*S129</f>
        <v>59630.337121190736</v>
      </c>
      <c r="R164" s="1" t="s">
        <v>105</v>
      </c>
      <c r="S164" s="2">
        <f>Q139</f>
        <v>3331.4427812513295</v>
      </c>
      <c r="T164" s="1" t="s">
        <v>92</v>
      </c>
      <c r="U164" s="1" t="s">
        <v>72</v>
      </c>
    </row>
    <row r="165" spans="11:34" x14ac:dyDescent="0.25">
      <c r="P165" s="1" t="s">
        <v>72</v>
      </c>
      <c r="Q165" s="2">
        <f>Q164-Q162-(SUM(D88:D91))</f>
        <v>-14989.82067345213</v>
      </c>
      <c r="R165" s="1" t="s">
        <v>106</v>
      </c>
      <c r="S165" s="2">
        <f>S139</f>
        <v>3372.3098852767953</v>
      </c>
      <c r="T165" s="1" t="s">
        <v>93</v>
      </c>
      <c r="U165" s="1" t="s">
        <v>72</v>
      </c>
    </row>
    <row r="166" spans="11:34" x14ac:dyDescent="0.25">
      <c r="P166" s="1" t="s">
        <v>72</v>
      </c>
      <c r="Q166" s="1" t="s">
        <v>54</v>
      </c>
      <c r="U166" s="1" t="s">
        <v>72</v>
      </c>
    </row>
    <row r="167" spans="11:34" x14ac:dyDescent="0.25">
      <c r="O167" s="7" t="s">
        <v>1</v>
      </c>
      <c r="Q167" s="1" t="b">
        <f>+D114&gt;=Q163</f>
        <v>1</v>
      </c>
      <c r="R167" s="1">
        <f>ABS((D114-Q165)/IF(Q167,S164,S165))</f>
        <v>1.4999999999999998</v>
      </c>
      <c r="S167" s="1">
        <f>MIN(2.5,ABS((D114-(Q163+S159*ABS(D114-Q163)/ABS(IF(Q167,S164+S159,S165-S159))*MIN(1,R167)))/(MIN(1.52,R167)/1.52*IF(Q167,S160,S161)+(1.52-MIN(1.52,R167))/3.04*S162+(1.52-MIN(1.52,R167))/3.04*S163)))</f>
        <v>1.5066085070983106</v>
      </c>
      <c r="T167" s="1">
        <f t="shared" ref="T167:T172" si="8">1/(1+(0.2316419*S167))</f>
        <v>0.74129332981430796</v>
      </c>
      <c r="U167" s="1">
        <f t="shared" ref="U167:U172" si="9">0.398942281*((2.71828)^((-(S167^2)/2)))</f>
        <v>0.12823735899658056</v>
      </c>
      <c r="V167" s="1">
        <f t="shared" ref="V167:V172" si="10">U167*(0.31938153*T167-0.356563782*T167^2+1.781477937*T167^3-1.821255978*T167^4+1.330274429*T167^5)</f>
        <v>6.5955593800173212E-2</v>
      </c>
      <c r="W167" s="1" t="b">
        <f>+E114&gt;=Q163</f>
        <v>1</v>
      </c>
      <c r="X167" s="1">
        <f>ABS((E114-Q165)/IF(W167,S164,S165))</f>
        <v>1</v>
      </c>
      <c r="Y167" s="1">
        <f>MIN(2.5,ABS((E114-(Q163+S159*ABS(E114-Q163)/ABS(IF(W167,S164+S159,S165-S159))*MIN(1,X167)))/(MIN(1.52,X167)/1.52*IF(W167,S160,S161)+(1.52-MIN(1.52,X167))/3.04*S162+(1.52-MIN(1.52,X167))/3.04*S163)))</f>
        <v>0.99998043564803674</v>
      </c>
      <c r="Z167" s="1">
        <f t="shared" ref="Z167:Z172" si="11">1/(1+(0.2316419*Y167))</f>
        <v>0.81192729769304806</v>
      </c>
      <c r="AA167" s="1">
        <f t="shared" ref="AA167:AA172" si="12">0.398942281*((2.71828)^((-(Y167^2)/2)))</f>
        <v>0.24197554026217297</v>
      </c>
      <c r="AB167" s="1">
        <f t="shared" ref="AB167:AB172" si="13">AA167*(0.31938153*Z167-0.356563782*Z167^2+1.781477937*Z167^3-1.821255978*Z167^4+1.330274429*Z167^5)</f>
        <v>0.15866004719972926</v>
      </c>
      <c r="AC167" s="1" t="b">
        <f>+F114&gt;=Q163</f>
        <v>1</v>
      </c>
      <c r="AD167" s="1">
        <f>ABS((F114-Q165)/IF(AC167,S164,S165))</f>
        <v>0.50000000000000022</v>
      </c>
      <c r="AE167" s="1">
        <f>MIN(2.5,ABS((F114-(Q163+S159*ABS(F114-Q163)/ABS(IF(AC167,S164+S159,S165-S159))*MIN(1,AD167)))/(MIN(1.52,AD167)/1.52*IF(AC167,S160,S161)+(1.52-MIN(1.52,AD167))/3.04*S162+(1.52-MIN(1.52,AD167))/3.04*S163)))</f>
        <v>0.49543554756044467</v>
      </c>
      <c r="AF167" s="1">
        <f>1/(1+(0.2316419*AE167))</f>
        <v>0.89705115208738528</v>
      </c>
      <c r="AG167" s="1">
        <f>0.398942281*((2.71828)^((-(AE167^2)/2)))</f>
        <v>0.35286609085305176</v>
      </c>
      <c r="AH167" s="1">
        <f>AG167*(0.31938153*AF167-0.356563782*AF167^2+1.781477937*AF167^3-1.821255978*AF167^4+1.330274429*AF167^5)</f>
        <v>0.31014637574639298</v>
      </c>
    </row>
    <row r="168" spans="11:34" x14ac:dyDescent="0.25">
      <c r="S168" s="1">
        <f>MIN(2.5,ABS((D114-Q165)/(MIN(1.52,R167)/1.52*IF(Q167,S160,S161)+(1.52-MIN(1.52,R167))/3.04*S162+(1.52-MIN(1.52,R167))/3.04*S163)))</f>
        <v>1.5045700186906716</v>
      </c>
      <c r="T168" s="1">
        <f t="shared" si="8"/>
        <v>0.74155290166618126</v>
      </c>
      <c r="U168" s="1">
        <f t="shared" si="9"/>
        <v>0.12863153996348611</v>
      </c>
      <c r="V168" s="1">
        <f t="shared" si="10"/>
        <v>6.62174062663832E-2</v>
      </c>
      <c r="Y168" s="1">
        <f>MIN(2.5,ABS((E114-Q165)/(MIN(1.52,X167)/1.52*IF(W167,S160,S161)+(1.52-MIN(1.52,X167))/3.04*S162+(1.52-MIN(1.52,X167))/3.04*S163)))</f>
        <v>0.99998043564803674</v>
      </c>
      <c r="Z168" s="1">
        <f t="shared" si="11"/>
        <v>0.81192729769304806</v>
      </c>
      <c r="AA168" s="1">
        <f t="shared" si="12"/>
        <v>0.24197554026217297</v>
      </c>
      <c r="AB168" s="1">
        <f t="shared" si="13"/>
        <v>0.15866004719972926</v>
      </c>
      <c r="AE168" s="1">
        <f>MIN(2.5,ABS((F114-Q165)/(MIN(1.52,AD167)/1.52*IF(AC167,S160,S161)+(1.52-MIN(1.52,AD167))/3.04*S162+(1.52-MIN(1.52,AD167))/3.04*S163)))</f>
        <v>0.4984664408099691</v>
      </c>
      <c r="AF168" s="1">
        <f>1/(1+(0.2316419*AE168))</f>
        <v>0.89648654185896703</v>
      </c>
      <c r="AG168" s="1">
        <f>0.398942281*((2.71828)^((-(AE168^2)/2)))</f>
        <v>0.35233500245847615</v>
      </c>
      <c r="AH168" s="1">
        <f>AG168*(0.31938153*AF168-0.356563782*AF168^2+1.781477937*AF168^3-1.821255978*AF168^4+1.330274429*AF168^5)</f>
        <v>0.3090776791882151</v>
      </c>
    </row>
    <row r="169" spans="11:34" x14ac:dyDescent="0.25">
      <c r="Q169" s="1" t="b">
        <f>+G114&gt;=Q163</f>
        <v>0</v>
      </c>
      <c r="R169" s="1">
        <f>ABS((G114-Q165)/IF(Q169,S164,S165))</f>
        <v>0</v>
      </c>
      <c r="S169" s="1">
        <f>MIN(2.5,ABS((G114-(Q163+S159*ABS(G114-Q163)/ABS(IF(Q169,S164+S159,S165-S159))*MIN(1,R169)))/(MIN(1.52,R169)/1.52*IF(Q169,S160,S161)+(1.52-MIN(1.52,R169))/3.04*S162+(1.52-MIN(1.52,R169))/3.04*S163)))</f>
        <v>4.0234611863707278E-3</v>
      </c>
      <c r="T169" s="1">
        <f t="shared" si="8"/>
        <v>0.99906886562549269</v>
      </c>
      <c r="U169" s="1">
        <f t="shared" si="9"/>
        <v>0.39893905192856116</v>
      </c>
      <c r="V169" s="1">
        <f t="shared" si="10"/>
        <v>0.49839486593591342</v>
      </c>
      <c r="W169" s="1" t="b">
        <f>+H114&gt;=Q163</f>
        <v>0</v>
      </c>
      <c r="X169" s="1">
        <f>ABS((H114-Q165)/IF(W169,S164,S165))</f>
        <v>0.49999999999999989</v>
      </c>
      <c r="Y169" s="1">
        <f>MIN(2.5,ABS((H114-(Q163+S159*ABS(H114-Q163)/ABS(IF(W169,S164+S159,S165-S159))*MIN(1,X169)))/(MIN(1.52,X169)/1.52*IF(W169,S160,S161)+(1.52-MIN(1.52,X169))/3.04*S162+(1.52-MIN(1.52,X169))/3.04*S163)))</f>
        <v>0.50452872918654668</v>
      </c>
      <c r="Z169" s="1">
        <f t="shared" si="11"/>
        <v>0.89535935774038611</v>
      </c>
      <c r="AA169" s="1">
        <f t="shared" si="12"/>
        <v>0.35126545286507488</v>
      </c>
      <c r="AB169" s="1">
        <f t="shared" si="13"/>
        <v>0.30694495723496962</v>
      </c>
      <c r="AC169" s="1" t="b">
        <f>+I114&gt;=Q163</f>
        <v>0</v>
      </c>
      <c r="AD169" s="1">
        <f>ABS((I114-Q165)/IF(AC169,S164,S165))</f>
        <v>0.99999999999999978</v>
      </c>
      <c r="AE169" s="1">
        <f>MIN(2.5,ABS((I114-(Q163+S159*ABS(I114-Q163)/ABS(IF(AC169,S164+S159,S165-S159))*MIN(1,AD169)))/(MIN(1.52,AD169)/1.52*IF(AC169,S160,S161)+(1.52-MIN(1.52,AD169))/3.04*S162+(1.52-MIN(1.52,AD169))/3.04*S163)))</f>
        <v>1.0000193280144154</v>
      </c>
      <c r="AF169" s="1">
        <f>1/(1+(0.2316419*AE169))</f>
        <v>0.81192135870302018</v>
      </c>
      <c r="AG169" s="1">
        <f>0.398942281*((2.71828)^((-(AE169^2)/2)))</f>
        <v>0.24196612945125423</v>
      </c>
      <c r="AH169" s="1">
        <f>AG169*(0.31938153*AF169-0.356563782*AF169^2+1.781477937*AF169^3-1.821255978*AF169^4+1.330274429*AF169^5)</f>
        <v>0.15865063640070659</v>
      </c>
    </row>
    <row r="170" spans="11:34" x14ac:dyDescent="0.25">
      <c r="O170" s="1" t="s">
        <v>4</v>
      </c>
      <c r="S170" s="1">
        <f>MIN(2.5,ABS((G114-Q165)/(MIN(1.52,R169)/1.52*IF(Q169,S160,S161)+(1.52-MIN(1.52,R169))/3.04*S162+(1.52-MIN(1.52,R169))/3.04*S163)))</f>
        <v>0</v>
      </c>
      <c r="T170" s="1">
        <f t="shared" si="8"/>
        <v>1</v>
      </c>
      <c r="U170" s="1">
        <f t="shared" si="9"/>
        <v>0.39894228100000001</v>
      </c>
      <c r="V170" s="1">
        <f t="shared" si="10"/>
        <v>0.50000000022538427</v>
      </c>
      <c r="Y170" s="1">
        <f>MIN(2.5,ABS((H114-Q165)/(MIN(1.52,X169)/1.52*IF(W169,S160,S161)+(1.52-MIN(1.52,X169))/3.04*S162+(1.52-MIN(1.52,X169))/3.04*S163)))</f>
        <v>0.50152426842749132</v>
      </c>
      <c r="Z170" s="1">
        <f t="shared" si="11"/>
        <v>0.89591763394362012</v>
      </c>
      <c r="AA170" s="1">
        <f t="shared" si="12"/>
        <v>0.35179672956227942</v>
      </c>
      <c r="AB170" s="1">
        <f t="shared" si="13"/>
        <v>0.3080011204993226</v>
      </c>
      <c r="AE170" s="1">
        <f>MIN(2.5,ABS((I114-Q165)/(MIN(1.52,AD169)/1.52*IF(AC169,S160,S161)+(1.52-MIN(1.52,AD169))/3.04*S162+(1.52-MIN(1.52,AD169))/3.04*S163)))</f>
        <v>1.0000193280144154</v>
      </c>
      <c r="AF170" s="1">
        <f>1/(1+(0.2316419*AE170))</f>
        <v>0.81192135870302018</v>
      </c>
      <c r="AG170" s="1">
        <f>0.398942281*((2.71828)^((-(AE170^2)/2)))</f>
        <v>0.24196612945125423</v>
      </c>
      <c r="AH170" s="1">
        <f>AG170*(0.31938153*AF170-0.356563782*AF170^2+1.781477937*AF170^3-1.821255978*AF170^4+1.330274429*AF170^5)</f>
        <v>0.15865063640070659</v>
      </c>
    </row>
    <row r="171" spans="11:34" x14ac:dyDescent="0.25">
      <c r="Q171" s="1" t="b">
        <f>+J114&gt;=Q163</f>
        <v>0</v>
      </c>
      <c r="R171" s="1">
        <f>ABS((J114-Q165)/IF(Q171,S164,S165))</f>
        <v>1.5000000000000007</v>
      </c>
      <c r="S171" s="1">
        <f>MIN(2.5,ABS((J114-(Q163+S159*ABS(J114-Q163)/ABS(IF(Q171,S164+S159,S165-S159))*MIN(1,R171)))/(MIN(1.52,R171)/1.52*IF(Q171,S160,S161)+(1.52-MIN(1.52,R171))/3.04*S162+(1.52-MIN(1.52,R171))/3.04*S163)))</f>
        <v>1.4935269222534884</v>
      </c>
      <c r="T171" s="1">
        <f t="shared" si="8"/>
        <v>0.74296224519876874</v>
      </c>
      <c r="U171" s="1">
        <f t="shared" si="9"/>
        <v>0.13077864533728603</v>
      </c>
      <c r="V171" s="1">
        <f t="shared" si="10"/>
        <v>6.7649736325148577E-2</v>
      </c>
      <c r="W171" s="1" t="b">
        <f>0&gt;=Q163</f>
        <v>1</v>
      </c>
      <c r="X171" s="1">
        <f>ABS((0-Q165)/IF(W171,S164,S165))</f>
        <v>4.4994981627214905</v>
      </c>
      <c r="Y171" s="1">
        <f>MIN(2.5,ABS((0-(Q163+S159*ABS(0-Q163)/ABS(IF(W171,S164+S159,S165-S159))*MIN(1,X171)))/(MIN(1.52,X171)/1.52*IF(W171,S160,S161)+(1.52-MIN(1.52,X171))/3.04*S162+(1.52-MIN(1.52,X171))/3.04*S163)))</f>
        <v>2.5</v>
      </c>
      <c r="Z171" s="1">
        <f t="shared" si="11"/>
        <v>0.63327021212493984</v>
      </c>
      <c r="AA171" s="1">
        <f t="shared" si="12"/>
        <v>1.7528337365090806E-2</v>
      </c>
      <c r="AB171" s="1">
        <f t="shared" si="13"/>
        <v>6.2096929158193597E-3</v>
      </c>
    </row>
    <row r="172" spans="11:34" x14ac:dyDescent="0.25">
      <c r="S172" s="1">
        <f>MIN(2.5,ABS((J114-Q165)/(MIN(1.52,R171)/1.52*IF(Q171,S160,S161)+(1.52-MIN(1.52,R171))/3.04*S162+(1.52-MIN(1.52,R171))/3.04*S163)))</f>
        <v>1.4955125407799779</v>
      </c>
      <c r="T172" s="1">
        <f t="shared" si="8"/>
        <v>0.74270844144573989</v>
      </c>
      <c r="U172" s="1">
        <f t="shared" si="9"/>
        <v>0.13039112921367513</v>
      </c>
      <c r="V172" s="1">
        <f t="shared" si="10"/>
        <v>6.7390444239120245E-2</v>
      </c>
      <c r="Y172" s="1">
        <f>MIN(2.5,ABS((0-Q165)/(MIN(1.52,X171)/1.52*IF(W171,S160,S161)+(1.52-MIN(1.52,X171))/3.04*S162+(1.52-MIN(1.52,X171))/3.04*S163)))</f>
        <v>2.5</v>
      </c>
      <c r="Z172" s="1">
        <f t="shared" si="11"/>
        <v>0.63327021212493984</v>
      </c>
      <c r="AA172" s="1">
        <f t="shared" si="12"/>
        <v>1.7528337365090806E-2</v>
      </c>
      <c r="AB172" s="1">
        <f t="shared" si="13"/>
        <v>6.2096929158193597E-3</v>
      </c>
    </row>
    <row r="173" spans="11:34" x14ac:dyDescent="0.25">
      <c r="O173" s="8" t="s">
        <v>1</v>
      </c>
    </row>
    <row r="181" spans="52:52" x14ac:dyDescent="0.25">
      <c r="AZ181" s="25" t="s">
        <v>1</v>
      </c>
    </row>
    <row r="210" spans="11:11" x14ac:dyDescent="0.25">
      <c r="K210" s="8" t="s">
        <v>1</v>
      </c>
    </row>
    <row r="219" spans="11:11" x14ac:dyDescent="0.25">
      <c r="K219" s="8" t="s">
        <v>1</v>
      </c>
    </row>
    <row r="222" spans="11:11" x14ac:dyDescent="0.25">
      <c r="K222" s="8" t="s">
        <v>1</v>
      </c>
    </row>
    <row r="233" spans="11:11" x14ac:dyDescent="0.25">
      <c r="K233" s="1" t="s">
        <v>1</v>
      </c>
    </row>
    <row r="254" spans="11:11" x14ac:dyDescent="0.25">
      <c r="K254" s="1" t="s">
        <v>1</v>
      </c>
    </row>
    <row r="256" spans="11:11" x14ac:dyDescent="0.25">
      <c r="K256" s="1" t="s">
        <v>1</v>
      </c>
    </row>
    <row r="278" spans="11:11" x14ac:dyDescent="0.25">
      <c r="K278" s="1" t="s">
        <v>1</v>
      </c>
    </row>
    <row r="293" spans="9:9" x14ac:dyDescent="0.25">
      <c r="I293" s="2"/>
    </row>
    <row r="294" spans="9:9" x14ac:dyDescent="0.25">
      <c r="I294" s="2"/>
    </row>
    <row r="296" spans="9:9" x14ac:dyDescent="0.25">
      <c r="I296" s="2"/>
    </row>
    <row r="297" spans="9:9" x14ac:dyDescent="0.25">
      <c r="I297" s="2"/>
    </row>
    <row r="298" spans="9:9" x14ac:dyDescent="0.25">
      <c r="I298" s="2"/>
    </row>
    <row r="299" spans="9:9" x14ac:dyDescent="0.25">
      <c r="I299" s="2"/>
    </row>
    <row r="300" spans="9:9" x14ac:dyDescent="0.25">
      <c r="I300" s="2"/>
    </row>
    <row r="301" spans="9:9" x14ac:dyDescent="0.25">
      <c r="I301" s="2"/>
    </row>
    <row r="302" spans="9:9" x14ac:dyDescent="0.25">
      <c r="I302" s="2"/>
    </row>
    <row r="303" spans="9:9" x14ac:dyDescent="0.25">
      <c r="I303" s="2"/>
    </row>
    <row r="304" spans="9:9" x14ac:dyDescent="0.25">
      <c r="I304" s="2"/>
    </row>
    <row r="305" spans="9:9" x14ac:dyDescent="0.25">
      <c r="I305" s="2"/>
    </row>
    <row r="306" spans="9:9" x14ac:dyDescent="0.25">
      <c r="I306" s="2"/>
    </row>
    <row r="307" spans="9:9" x14ac:dyDescent="0.25">
      <c r="I307" s="2"/>
    </row>
    <row r="308" spans="9:9" x14ac:dyDescent="0.25">
      <c r="I308" s="2"/>
    </row>
    <row r="309" spans="9:9" x14ac:dyDescent="0.25">
      <c r="I309" s="2"/>
    </row>
    <row r="310" spans="9:9" x14ac:dyDescent="0.25">
      <c r="I310" s="2"/>
    </row>
    <row r="311" spans="9:9" x14ac:dyDescent="0.25">
      <c r="I311" s="2"/>
    </row>
    <row r="312" spans="9:9" x14ac:dyDescent="0.25">
      <c r="I312" s="2"/>
    </row>
    <row r="313" spans="9:9" x14ac:dyDescent="0.25">
      <c r="I313" s="2"/>
    </row>
    <row r="314" spans="9:9" x14ac:dyDescent="0.25">
      <c r="I314" s="2"/>
    </row>
    <row r="315" spans="9:9" x14ac:dyDescent="0.25">
      <c r="I315" s="2"/>
    </row>
    <row r="316" spans="9:9" x14ac:dyDescent="0.25">
      <c r="I316" s="2"/>
    </row>
    <row r="317" spans="9:9" x14ac:dyDescent="0.25">
      <c r="I317" s="2"/>
    </row>
    <row r="318" spans="9:9" x14ac:dyDescent="0.25">
      <c r="I318" s="2"/>
    </row>
    <row r="319" spans="9:9" x14ac:dyDescent="0.25">
      <c r="I319" s="2"/>
    </row>
    <row r="320" spans="9:9" x14ac:dyDescent="0.25">
      <c r="I320" s="2"/>
    </row>
    <row r="321" spans="9:9" x14ac:dyDescent="0.25">
      <c r="I321" s="2"/>
    </row>
    <row r="322" spans="9:9" x14ac:dyDescent="0.25">
      <c r="I322" s="2"/>
    </row>
    <row r="323" spans="9:9" x14ac:dyDescent="0.25">
      <c r="I323" s="2"/>
    </row>
    <row r="324" spans="9:9" x14ac:dyDescent="0.25">
      <c r="I324" s="2"/>
    </row>
    <row r="325" spans="9:9" x14ac:dyDescent="0.25">
      <c r="I325" s="2"/>
    </row>
    <row r="326" spans="9:9" x14ac:dyDescent="0.25">
      <c r="I326" s="2"/>
    </row>
    <row r="327" spans="9:9" x14ac:dyDescent="0.25">
      <c r="I327" s="2"/>
    </row>
    <row r="328" spans="9:9" x14ac:dyDescent="0.25">
      <c r="I328" s="2"/>
    </row>
    <row r="329" spans="9:9" x14ac:dyDescent="0.25">
      <c r="I329" s="2"/>
    </row>
    <row r="330" spans="9:9" x14ac:dyDescent="0.25">
      <c r="I330" s="2"/>
    </row>
    <row r="331" spans="9:9" x14ac:dyDescent="0.25">
      <c r="I331" s="2"/>
    </row>
    <row r="332" spans="9:9" x14ac:dyDescent="0.25">
      <c r="I332" s="2"/>
    </row>
    <row r="333" spans="9:9" x14ac:dyDescent="0.25">
      <c r="I333" s="2"/>
    </row>
    <row r="334" spans="9:9" x14ac:dyDescent="0.25">
      <c r="I334" s="2"/>
    </row>
    <row r="335" spans="9:9" x14ac:dyDescent="0.25">
      <c r="I335" s="2"/>
    </row>
    <row r="336" spans="9:9" x14ac:dyDescent="0.25">
      <c r="I336" s="2"/>
    </row>
    <row r="337" spans="9:9" x14ac:dyDescent="0.25">
      <c r="I337" s="2"/>
    </row>
    <row r="338" spans="9:9" x14ac:dyDescent="0.25">
      <c r="I338" s="2"/>
    </row>
    <row r="339" spans="9:9" x14ac:dyDescent="0.25">
      <c r="I339" s="2"/>
    </row>
    <row r="340" spans="9:9" x14ac:dyDescent="0.25">
      <c r="I340" s="2"/>
    </row>
    <row r="341" spans="9:9" x14ac:dyDescent="0.25">
      <c r="I341" s="2"/>
    </row>
    <row r="342" spans="9:9" x14ac:dyDescent="0.25">
      <c r="I342" s="2"/>
    </row>
  </sheetData>
  <mergeCells count="89">
    <mergeCell ref="B61:C61"/>
    <mergeCell ref="B52:C52"/>
    <mergeCell ref="B59:C59"/>
    <mergeCell ref="B24:C24"/>
    <mergeCell ref="B25:C25"/>
    <mergeCell ref="B26:C26"/>
    <mergeCell ref="B39:C39"/>
    <mergeCell ref="B40:C40"/>
    <mergeCell ref="B27:C27"/>
    <mergeCell ref="B28:C28"/>
    <mergeCell ref="B29:C29"/>
    <mergeCell ref="B30:C30"/>
    <mergeCell ref="B41:C41"/>
    <mergeCell ref="B60:C60"/>
    <mergeCell ref="B54:C54"/>
    <mergeCell ref="B56:C56"/>
    <mergeCell ref="B19:C19"/>
    <mergeCell ref="B20:C20"/>
    <mergeCell ref="B21:C21"/>
    <mergeCell ref="B22:C22"/>
    <mergeCell ref="B110:J110"/>
    <mergeCell ref="B108:J108"/>
    <mergeCell ref="B109:J109"/>
    <mergeCell ref="B107:J107"/>
    <mergeCell ref="B55:C55"/>
    <mergeCell ref="B23:C23"/>
    <mergeCell ref="B96:J96"/>
    <mergeCell ref="B47:C47"/>
    <mergeCell ref="B71:C71"/>
    <mergeCell ref="B65:C65"/>
    <mergeCell ref="B68:C68"/>
    <mergeCell ref="B66:C66"/>
    <mergeCell ref="B1:L1"/>
    <mergeCell ref="B2:L2"/>
    <mergeCell ref="B3:L3"/>
    <mergeCell ref="B4:L4"/>
    <mergeCell ref="J44:J45"/>
    <mergeCell ref="I44:I45"/>
    <mergeCell ref="B13:L13"/>
    <mergeCell ref="B15:J15"/>
    <mergeCell ref="B14:J14"/>
    <mergeCell ref="B18:C18"/>
    <mergeCell ref="B10:C11"/>
    <mergeCell ref="B31:C31"/>
    <mergeCell ref="B32:C32"/>
    <mergeCell ref="B36:C36"/>
    <mergeCell ref="B37:C37"/>
    <mergeCell ref="B38:C38"/>
    <mergeCell ref="B48:C48"/>
    <mergeCell ref="B49:C49"/>
    <mergeCell ref="B50:C50"/>
    <mergeCell ref="B51:C51"/>
    <mergeCell ref="B58:C58"/>
    <mergeCell ref="B53:C53"/>
    <mergeCell ref="B57:C57"/>
    <mergeCell ref="B93:C93"/>
    <mergeCell ref="B89:C89"/>
    <mergeCell ref="B90:C90"/>
    <mergeCell ref="B91:C91"/>
    <mergeCell ref="B73:C73"/>
    <mergeCell ref="B74:C74"/>
    <mergeCell ref="B75:C75"/>
    <mergeCell ref="B76:C76"/>
    <mergeCell ref="B84:C84"/>
    <mergeCell ref="B78:C78"/>
    <mergeCell ref="B79:C79"/>
    <mergeCell ref="B80:C80"/>
    <mergeCell ref="B77:C77"/>
    <mergeCell ref="B62:C62"/>
    <mergeCell ref="B63:C63"/>
    <mergeCell ref="B69:C69"/>
    <mergeCell ref="B64:C64"/>
    <mergeCell ref="D77:E77"/>
    <mergeCell ref="B67:C67"/>
    <mergeCell ref="D78:E78"/>
    <mergeCell ref="D79:E79"/>
    <mergeCell ref="B92:C92"/>
    <mergeCell ref="B88:C88"/>
    <mergeCell ref="B86:C86"/>
    <mergeCell ref="B85:C85"/>
    <mergeCell ref="B87:C87"/>
    <mergeCell ref="B127:C127"/>
    <mergeCell ref="B128:C128"/>
    <mergeCell ref="B129:C129"/>
    <mergeCell ref="F118:I118"/>
    <mergeCell ref="F119:I119"/>
    <mergeCell ref="F120:I120"/>
    <mergeCell ref="B126:C126"/>
    <mergeCell ref="B124:J124"/>
  </mergeCells>
  <phoneticPr fontId="0" type="noConversion"/>
  <conditionalFormatting sqref="D114:J114 J118">
    <cfRule type="cellIs" dxfId="0" priority="1" stopIfTrue="1" operator="lessThan">
      <formula>0</formula>
    </cfRule>
  </conditionalFormatting>
  <hyperlinks>
    <hyperlink ref="A70" location="Auction!G6" display="Marketing Detail"/>
    <hyperlink ref="A59" location="Vet!A1" display="Veterinary Detail"/>
    <hyperlink ref="A47" location="Bermuda!I1" display="Bermuda Pasture  Detail"/>
    <hyperlink ref="A48" location="Bahia!I1" display="Bahia Pasture  Detail"/>
    <hyperlink ref="A49:A51" location="Bermuda!I1" display="Bermuda Pasture  Detail"/>
    <hyperlink ref="A53" location="Feed!I1" display="Supplemental Feed  Detail"/>
    <hyperlink ref="A49" location="Winter_Grazing!I1" display="Winter Grazing Detail"/>
    <hyperlink ref="A51" location="Hay!I1" display="Bermuda Hay Detail"/>
    <hyperlink ref="A74" location="Lvstk_Facil!A5" display="Livestock  Detail"/>
    <hyperlink ref="A75" location="Lvstk_Facil!A5" display="Building &amp; Facilities Detail"/>
    <hyperlink ref="A77" location="Lvstk_Facil!A5" display="Land Detail"/>
    <hyperlink ref="A76" location="Equipment!A4" display="Equipment Detail"/>
    <hyperlink ref="B10:C11" location="Instructions!A3" display="Select Budget Types"/>
    <hyperlink ref="A50" location="Summer_Annual!I1" display="Summer Grazing Detail"/>
  </hyperlinks>
  <pageMargins left="0.75" right="0.75" top="1" bottom="1" header="0.5" footer="0.5"/>
  <pageSetup scale="57" fitToHeight="2" orientation="portrait" horizontalDpi="300" verticalDpi="300" r:id="rId1"/>
  <headerFooter alignWithMargins="0">
    <oddFooter>&amp;F</oddFooter>
  </headerFooter>
  <rowBreaks count="1" manualBreakCount="1">
    <brk id="81" min="1" max="9" man="1"/>
  </rowBreaks>
  <drawing r:id="rId2"/>
  <legacyDrawing r:id="rId3"/>
  <controls>
    <mc:AlternateContent xmlns:mc="http://schemas.openxmlformats.org/markup-compatibility/2006">
      <mc:Choice Requires="x14">
        <control shapeId="2071" r:id="rId4" name="CommandButton1">
          <controlPr defaultSize="0" autoLine="0" r:id="rId5">
            <anchor moveWithCells="1">
              <from>
                <xdr:col>4</xdr:col>
                <xdr:colOff>30480</xdr:colOff>
                <xdr:row>9</xdr:row>
                <xdr:rowOff>22860</xdr:rowOff>
              </from>
              <to>
                <xdr:col>7</xdr:col>
                <xdr:colOff>678180</xdr:colOff>
                <xdr:row>11</xdr:row>
                <xdr:rowOff>60960</xdr:rowOff>
              </to>
            </anchor>
          </controlPr>
        </control>
      </mc:Choice>
      <mc:Fallback>
        <control shapeId="2071" r:id="rId4" name="CommandButton1"/>
      </mc:Fallback>
    </mc:AlternateContent>
  </control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B2"/>
  <sheetViews>
    <sheetView workbookViewId="0"/>
  </sheetViews>
  <sheetFormatPr defaultRowHeight="13.2" x14ac:dyDescent="0.25"/>
  <sheetData>
    <row r="1" spans="1:2" x14ac:dyDescent="0.25">
      <c r="A1">
        <v>1</v>
      </c>
      <c r="B1">
        <v>1</v>
      </c>
    </row>
    <row r="2" spans="1:2" x14ac:dyDescent="0.25">
      <c r="A2"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16"/>
  <sheetViews>
    <sheetView zoomScaleNormal="100" workbookViewId="0">
      <selection activeCell="Q11" sqref="Q11"/>
    </sheetView>
  </sheetViews>
  <sheetFormatPr defaultColWidth="8.44140625" defaultRowHeight="13.2" x14ac:dyDescent="0.25"/>
  <cols>
    <col min="1" max="5" width="8.44140625" style="142" customWidth="1"/>
    <col min="6" max="6" width="10.6640625" style="142" customWidth="1"/>
    <col min="7" max="7" width="8.44140625" style="142" customWidth="1"/>
    <col min="8" max="8" width="9.88671875" style="142" customWidth="1"/>
    <col min="9" max="16384" width="8.44140625" style="142"/>
  </cols>
  <sheetData>
    <row r="1" spans="1:10" x14ac:dyDescent="0.25">
      <c r="A1" s="160"/>
      <c r="B1" s="160"/>
      <c r="C1" s="161"/>
      <c r="D1" s="160"/>
      <c r="E1" s="160"/>
      <c r="F1" s="160"/>
      <c r="G1" s="160"/>
      <c r="H1" s="160"/>
      <c r="I1" s="425" t="s">
        <v>343</v>
      </c>
      <c r="J1" s="425"/>
    </row>
    <row r="2" spans="1:10" x14ac:dyDescent="0.25">
      <c r="A2" s="160"/>
      <c r="B2" s="160"/>
      <c r="C2" s="160"/>
      <c r="D2" s="160"/>
      <c r="E2" s="160"/>
      <c r="F2" s="160"/>
      <c r="G2" s="160"/>
      <c r="H2" s="160"/>
    </row>
    <row r="3" spans="1:10" x14ac:dyDescent="0.25">
      <c r="A3" s="426" t="s">
        <v>347</v>
      </c>
      <c r="B3" s="426"/>
      <c r="C3" s="426"/>
      <c r="D3" s="426"/>
      <c r="E3" s="426"/>
      <c r="F3" s="426"/>
      <c r="G3" s="426"/>
      <c r="H3" s="426"/>
    </row>
    <row r="4" spans="1:10" x14ac:dyDescent="0.25">
      <c r="A4" s="160"/>
      <c r="B4" s="160"/>
      <c r="C4" s="160"/>
      <c r="D4" s="160"/>
      <c r="E4" s="160"/>
      <c r="F4" s="160"/>
      <c r="G4" s="160"/>
      <c r="H4" s="160"/>
    </row>
    <row r="5" spans="1:10" x14ac:dyDescent="0.25">
      <c r="A5" s="428" t="s">
        <v>173</v>
      </c>
      <c r="B5" s="428"/>
      <c r="C5" s="428"/>
      <c r="D5" s="428"/>
      <c r="E5" s="162" t="s">
        <v>174</v>
      </c>
      <c r="F5" s="162" t="s">
        <v>341</v>
      </c>
      <c r="G5" s="162" t="s">
        <v>342</v>
      </c>
      <c r="H5" s="162" t="s">
        <v>175</v>
      </c>
    </row>
    <row r="6" spans="1:10" x14ac:dyDescent="0.25">
      <c r="A6" s="427" t="s">
        <v>335</v>
      </c>
      <c r="B6" s="427"/>
      <c r="C6" s="427"/>
      <c r="D6" s="427"/>
      <c r="E6" s="160" t="s">
        <v>108</v>
      </c>
      <c r="F6" s="205">
        <v>10</v>
      </c>
      <c r="G6" s="206">
        <v>0</v>
      </c>
      <c r="H6" s="163">
        <f>+G6/F6</f>
        <v>0</v>
      </c>
    </row>
    <row r="7" spans="1:10" x14ac:dyDescent="0.25">
      <c r="A7" s="424" t="s">
        <v>336</v>
      </c>
      <c r="B7" s="424"/>
      <c r="C7" s="424"/>
      <c r="D7" s="424"/>
      <c r="E7" s="160"/>
      <c r="F7" s="207"/>
      <c r="G7" s="208"/>
      <c r="H7" s="160"/>
    </row>
    <row r="8" spans="1:10" x14ac:dyDescent="0.25">
      <c r="A8" s="424" t="s">
        <v>337</v>
      </c>
      <c r="B8" s="424"/>
      <c r="C8" s="424"/>
      <c r="D8" s="424"/>
      <c r="E8" s="160" t="s">
        <v>109</v>
      </c>
      <c r="F8" s="205">
        <v>150</v>
      </c>
      <c r="G8" s="206">
        <v>0.6</v>
      </c>
      <c r="H8" s="163">
        <f t="shared" ref="H8:H15" si="0">+G8*F8</f>
        <v>90</v>
      </c>
    </row>
    <row r="9" spans="1:10" x14ac:dyDescent="0.25">
      <c r="A9" s="424" t="s">
        <v>338</v>
      </c>
      <c r="B9" s="424"/>
      <c r="C9" s="424"/>
      <c r="D9" s="424"/>
      <c r="E9" s="160" t="s">
        <v>109</v>
      </c>
      <c r="F9" s="205">
        <v>30</v>
      </c>
      <c r="G9" s="206">
        <v>0.5</v>
      </c>
      <c r="H9" s="163">
        <f t="shared" si="0"/>
        <v>15</v>
      </c>
    </row>
    <row r="10" spans="1:10" x14ac:dyDescent="0.25">
      <c r="A10" s="424" t="s">
        <v>339</v>
      </c>
      <c r="B10" s="424"/>
      <c r="C10" s="424"/>
      <c r="D10" s="424"/>
      <c r="E10" s="160" t="s">
        <v>109</v>
      </c>
      <c r="F10" s="205">
        <v>65</v>
      </c>
      <c r="G10" s="206">
        <v>0.42</v>
      </c>
      <c r="H10" s="163">
        <f t="shared" si="0"/>
        <v>27.3</v>
      </c>
    </row>
    <row r="11" spans="1:10" x14ac:dyDescent="0.25">
      <c r="A11" s="424" t="s">
        <v>340</v>
      </c>
      <c r="B11" s="424"/>
      <c r="C11" s="424"/>
      <c r="D11" s="424"/>
      <c r="E11" s="160" t="s">
        <v>110</v>
      </c>
      <c r="F11" s="205">
        <v>0.4</v>
      </c>
      <c r="G11" s="206">
        <v>40</v>
      </c>
      <c r="H11" s="163">
        <f t="shared" si="0"/>
        <v>16</v>
      </c>
    </row>
    <row r="12" spans="1:10" x14ac:dyDescent="0.25">
      <c r="A12" s="424" t="s">
        <v>333</v>
      </c>
      <c r="B12" s="424"/>
      <c r="C12" s="424"/>
      <c r="D12" s="424"/>
      <c r="E12" s="160" t="s">
        <v>29</v>
      </c>
      <c r="F12" s="205">
        <v>1</v>
      </c>
      <c r="G12" s="206">
        <v>1.74</v>
      </c>
      <c r="H12" s="163">
        <f t="shared" si="0"/>
        <v>1.74</v>
      </c>
    </row>
    <row r="13" spans="1:10" x14ac:dyDescent="0.25">
      <c r="A13" s="424" t="s">
        <v>334</v>
      </c>
      <c r="B13" s="424"/>
      <c r="C13" s="424"/>
      <c r="D13" s="424"/>
      <c r="E13" s="160" t="s">
        <v>332</v>
      </c>
      <c r="F13" s="205">
        <v>1.45</v>
      </c>
      <c r="G13" s="206">
        <v>4</v>
      </c>
      <c r="H13" s="163">
        <f t="shared" si="0"/>
        <v>5.8</v>
      </c>
    </row>
    <row r="14" spans="1:10" x14ac:dyDescent="0.25">
      <c r="A14" s="424" t="s">
        <v>330</v>
      </c>
      <c r="B14" s="424"/>
      <c r="C14" s="424"/>
      <c r="D14" s="424"/>
      <c r="E14" s="160" t="s">
        <v>367</v>
      </c>
      <c r="F14" s="205">
        <v>0.33</v>
      </c>
      <c r="G14" s="206">
        <v>9</v>
      </c>
      <c r="H14" s="163">
        <f t="shared" si="0"/>
        <v>2.97</v>
      </c>
    </row>
    <row r="15" spans="1:10" ht="13.8" thickBot="1" x14ac:dyDescent="0.3">
      <c r="A15" s="424" t="s">
        <v>176</v>
      </c>
      <c r="B15" s="424"/>
      <c r="C15" s="424"/>
      <c r="D15" s="424"/>
      <c r="E15" s="160" t="s">
        <v>331</v>
      </c>
      <c r="F15" s="205">
        <v>0</v>
      </c>
      <c r="G15" s="206">
        <v>2</v>
      </c>
      <c r="H15" s="163">
        <f t="shared" si="0"/>
        <v>0</v>
      </c>
    </row>
    <row r="16" spans="1:10" ht="13.8" thickBot="1" x14ac:dyDescent="0.3">
      <c r="A16" s="164" t="s">
        <v>111</v>
      </c>
      <c r="B16" s="165"/>
      <c r="C16" s="165"/>
      <c r="D16" s="165"/>
      <c r="E16" s="165"/>
      <c r="F16" s="165"/>
      <c r="G16" s="165"/>
      <c r="H16" s="166">
        <f>+SUM(H6:H15)</f>
        <v>158.81000000000003</v>
      </c>
    </row>
  </sheetData>
  <mergeCells count="13">
    <mergeCell ref="I1:J1"/>
    <mergeCell ref="A3:H3"/>
    <mergeCell ref="A10:D10"/>
    <mergeCell ref="A6:D6"/>
    <mergeCell ref="A7:D7"/>
    <mergeCell ref="A8:D8"/>
    <mergeCell ref="A9:D9"/>
    <mergeCell ref="A5:D5"/>
    <mergeCell ref="A14:D14"/>
    <mergeCell ref="A15:D15"/>
    <mergeCell ref="A11:D11"/>
    <mergeCell ref="A13:D13"/>
    <mergeCell ref="A12:D12"/>
  </mergeCells>
  <phoneticPr fontId="0" type="noConversion"/>
  <hyperlinks>
    <hyperlink ref="I1:J1" location="Main!A47" display="Return To Main"/>
  </hyperlinks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16"/>
  <sheetViews>
    <sheetView zoomScaleNormal="100" workbookViewId="0">
      <selection activeCell="G12" sqref="G12"/>
    </sheetView>
  </sheetViews>
  <sheetFormatPr defaultColWidth="8.44140625" defaultRowHeight="13.2" x14ac:dyDescent="0.25"/>
  <cols>
    <col min="1" max="5" width="8.44140625" style="142" customWidth="1"/>
    <col min="6" max="6" width="10.6640625" style="142" customWidth="1"/>
    <col min="7" max="7" width="8.44140625" style="142" customWidth="1"/>
    <col min="8" max="8" width="9.88671875" style="142" customWidth="1"/>
    <col min="9" max="16384" width="8.44140625" style="142"/>
  </cols>
  <sheetData>
    <row r="1" spans="1:10" x14ac:dyDescent="0.25">
      <c r="C1" s="143"/>
      <c r="I1" s="425" t="s">
        <v>343</v>
      </c>
      <c r="J1" s="425"/>
    </row>
    <row r="3" spans="1:10" x14ac:dyDescent="0.25">
      <c r="A3" s="426" t="s">
        <v>348</v>
      </c>
      <c r="B3" s="426"/>
      <c r="C3" s="426"/>
      <c r="D3" s="426"/>
      <c r="E3" s="426"/>
      <c r="F3" s="426"/>
      <c r="G3" s="426"/>
      <c r="H3" s="426"/>
    </row>
    <row r="4" spans="1:10" x14ac:dyDescent="0.25">
      <c r="A4" s="160"/>
      <c r="B4" s="160"/>
      <c r="C4" s="160"/>
      <c r="D4" s="160"/>
      <c r="E4" s="160"/>
      <c r="F4" s="160"/>
      <c r="G4" s="160"/>
      <c r="H4" s="160"/>
    </row>
    <row r="5" spans="1:10" x14ac:dyDescent="0.25">
      <c r="A5" s="428" t="s">
        <v>173</v>
      </c>
      <c r="B5" s="428"/>
      <c r="C5" s="428"/>
      <c r="D5" s="428"/>
      <c r="E5" s="162" t="s">
        <v>174</v>
      </c>
      <c r="F5" s="162" t="s">
        <v>341</v>
      </c>
      <c r="G5" s="162" t="s">
        <v>342</v>
      </c>
      <c r="H5" s="162" t="s">
        <v>175</v>
      </c>
    </row>
    <row r="6" spans="1:10" x14ac:dyDescent="0.25">
      <c r="A6" s="427" t="s">
        <v>335</v>
      </c>
      <c r="B6" s="427"/>
      <c r="C6" s="427"/>
      <c r="D6" s="427"/>
      <c r="E6" s="160" t="s">
        <v>108</v>
      </c>
      <c r="F6" s="205">
        <v>10</v>
      </c>
      <c r="G6" s="206">
        <v>0</v>
      </c>
      <c r="H6" s="211">
        <f>+G6/F6</f>
        <v>0</v>
      </c>
    </row>
    <row r="7" spans="1:10" x14ac:dyDescent="0.25">
      <c r="A7" s="424" t="s">
        <v>336</v>
      </c>
      <c r="B7" s="424"/>
      <c r="C7" s="424"/>
      <c r="D7" s="424"/>
      <c r="E7" s="160"/>
      <c r="F7" s="209"/>
      <c r="G7" s="210"/>
      <c r="H7" s="212"/>
    </row>
    <row r="8" spans="1:10" x14ac:dyDescent="0.25">
      <c r="A8" s="424" t="s">
        <v>337</v>
      </c>
      <c r="B8" s="424"/>
      <c r="C8" s="424"/>
      <c r="D8" s="424"/>
      <c r="E8" s="160" t="s">
        <v>109</v>
      </c>
      <c r="F8" s="205">
        <v>75</v>
      </c>
      <c r="G8" s="206">
        <v>0.6</v>
      </c>
      <c r="H8" s="211">
        <f t="shared" ref="H8:H15" si="0">+G8*F8</f>
        <v>45</v>
      </c>
    </row>
    <row r="9" spans="1:10" x14ac:dyDescent="0.25">
      <c r="A9" s="424" t="s">
        <v>338</v>
      </c>
      <c r="B9" s="424"/>
      <c r="C9" s="424"/>
      <c r="D9" s="424"/>
      <c r="E9" s="160" t="s">
        <v>109</v>
      </c>
      <c r="F9" s="205">
        <v>40</v>
      </c>
      <c r="G9" s="206">
        <v>0.5</v>
      </c>
      <c r="H9" s="211">
        <f t="shared" si="0"/>
        <v>20</v>
      </c>
    </row>
    <row r="10" spans="1:10" x14ac:dyDescent="0.25">
      <c r="A10" s="424" t="s">
        <v>339</v>
      </c>
      <c r="B10" s="424"/>
      <c r="C10" s="424"/>
      <c r="D10" s="424"/>
      <c r="E10" s="160" t="s">
        <v>109</v>
      </c>
      <c r="F10" s="205">
        <v>40</v>
      </c>
      <c r="G10" s="206">
        <v>0.42</v>
      </c>
      <c r="H10" s="211">
        <f t="shared" si="0"/>
        <v>16.8</v>
      </c>
    </row>
    <row r="11" spans="1:10" x14ac:dyDescent="0.25">
      <c r="A11" s="424" t="s">
        <v>340</v>
      </c>
      <c r="B11" s="424"/>
      <c r="C11" s="424"/>
      <c r="D11" s="424"/>
      <c r="E11" s="160" t="s">
        <v>110</v>
      </c>
      <c r="F11" s="205">
        <v>0.33</v>
      </c>
      <c r="G11" s="206">
        <v>40</v>
      </c>
      <c r="H11" s="211">
        <f t="shared" si="0"/>
        <v>13.200000000000001</v>
      </c>
    </row>
    <row r="12" spans="1:10" x14ac:dyDescent="0.25">
      <c r="A12" s="424" t="s">
        <v>333</v>
      </c>
      <c r="B12" s="424"/>
      <c r="C12" s="424"/>
      <c r="D12" s="424"/>
      <c r="E12" s="160" t="s">
        <v>29</v>
      </c>
      <c r="F12" s="205">
        <v>1</v>
      </c>
      <c r="G12" s="206">
        <v>1.73</v>
      </c>
      <c r="H12" s="211">
        <f t="shared" si="0"/>
        <v>1.73</v>
      </c>
    </row>
    <row r="13" spans="1:10" x14ac:dyDescent="0.25">
      <c r="A13" s="424" t="s">
        <v>334</v>
      </c>
      <c r="B13" s="424"/>
      <c r="C13" s="424"/>
      <c r="D13" s="424"/>
      <c r="E13" s="160" t="s">
        <v>332</v>
      </c>
      <c r="F13" s="205">
        <v>1.45</v>
      </c>
      <c r="G13" s="206">
        <v>4</v>
      </c>
      <c r="H13" s="211">
        <f t="shared" si="0"/>
        <v>5.8</v>
      </c>
    </row>
    <row r="14" spans="1:10" x14ac:dyDescent="0.25">
      <c r="A14" s="424" t="s">
        <v>330</v>
      </c>
      <c r="B14" s="424"/>
      <c r="C14" s="424"/>
      <c r="D14" s="424"/>
      <c r="E14" s="160" t="s">
        <v>367</v>
      </c>
      <c r="F14" s="205">
        <v>0.33</v>
      </c>
      <c r="G14" s="206">
        <v>9</v>
      </c>
      <c r="H14" s="211">
        <f t="shared" si="0"/>
        <v>2.97</v>
      </c>
    </row>
    <row r="15" spans="1:10" ht="13.8" thickBot="1" x14ac:dyDescent="0.3">
      <c r="A15" s="424" t="s">
        <v>176</v>
      </c>
      <c r="B15" s="424"/>
      <c r="C15" s="424"/>
      <c r="D15" s="424"/>
      <c r="E15" s="160" t="s">
        <v>331</v>
      </c>
      <c r="F15" s="205">
        <v>0</v>
      </c>
      <c r="G15" s="206">
        <v>2</v>
      </c>
      <c r="H15" s="211">
        <f t="shared" si="0"/>
        <v>0</v>
      </c>
    </row>
    <row r="16" spans="1:10" ht="13.8" thickBot="1" x14ac:dyDescent="0.3">
      <c r="A16" s="164" t="s">
        <v>111</v>
      </c>
      <c r="B16" s="165"/>
      <c r="C16" s="165"/>
      <c r="D16" s="165"/>
      <c r="E16" s="165"/>
      <c r="F16" s="213"/>
      <c r="G16" s="213"/>
      <c r="H16" s="214">
        <f>+SUM(H6:H15)</f>
        <v>105.5</v>
      </c>
    </row>
  </sheetData>
  <mergeCells count="13">
    <mergeCell ref="A14:D14"/>
    <mergeCell ref="A15:D15"/>
    <mergeCell ref="A5:D5"/>
    <mergeCell ref="I1:J1"/>
    <mergeCell ref="A10:D10"/>
    <mergeCell ref="A11:D11"/>
    <mergeCell ref="A13:D13"/>
    <mergeCell ref="A12:D12"/>
    <mergeCell ref="A6:D6"/>
    <mergeCell ref="A7:D7"/>
    <mergeCell ref="A8:D8"/>
    <mergeCell ref="A9:D9"/>
    <mergeCell ref="A3:H3"/>
  </mergeCells>
  <phoneticPr fontId="0" type="noConversion"/>
  <hyperlinks>
    <hyperlink ref="I1:J1" location="Main!A48" display="Return To Main"/>
  </hyperlink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J20"/>
  <sheetViews>
    <sheetView zoomScaleNormal="100" workbookViewId="0">
      <selection activeCell="F9" sqref="F9"/>
    </sheetView>
  </sheetViews>
  <sheetFormatPr defaultColWidth="8.44140625" defaultRowHeight="13.2" x14ac:dyDescent="0.25"/>
  <cols>
    <col min="1" max="5" width="8.44140625" style="142" customWidth="1"/>
    <col min="6" max="6" width="10.6640625" style="142" customWidth="1"/>
    <col min="7" max="7" width="8.44140625" style="142" customWidth="1"/>
    <col min="8" max="8" width="9.88671875" style="142" customWidth="1"/>
    <col min="9" max="16384" width="8.44140625" style="142"/>
  </cols>
  <sheetData>
    <row r="1" spans="1:10" x14ac:dyDescent="0.25">
      <c r="C1" s="143"/>
      <c r="I1" s="425" t="s">
        <v>343</v>
      </c>
      <c r="J1" s="425"/>
    </row>
    <row r="3" spans="1:10" x14ac:dyDescent="0.25">
      <c r="A3" s="426" t="s">
        <v>356</v>
      </c>
      <c r="B3" s="426"/>
      <c r="C3" s="426"/>
      <c r="D3" s="426"/>
      <c r="E3" s="426"/>
      <c r="F3" s="426"/>
      <c r="G3" s="426"/>
      <c r="H3" s="426"/>
    </row>
    <row r="4" spans="1:10" x14ac:dyDescent="0.25">
      <c r="A4" s="160"/>
      <c r="B4" s="160"/>
      <c r="C4" s="160"/>
      <c r="D4" s="160"/>
      <c r="E4" s="160"/>
      <c r="F4" s="160"/>
      <c r="G4" s="160"/>
      <c r="H4" s="160"/>
    </row>
    <row r="5" spans="1:10" x14ac:dyDescent="0.25">
      <c r="A5" s="428" t="s">
        <v>173</v>
      </c>
      <c r="B5" s="428"/>
      <c r="C5" s="428"/>
      <c r="D5" s="428"/>
      <c r="E5" s="162" t="s">
        <v>174</v>
      </c>
      <c r="F5" s="162" t="s">
        <v>341</v>
      </c>
      <c r="G5" s="162" t="s">
        <v>342</v>
      </c>
      <c r="H5" s="162" t="s">
        <v>175</v>
      </c>
    </row>
    <row r="6" spans="1:10" x14ac:dyDescent="0.25">
      <c r="A6" s="427" t="s">
        <v>357</v>
      </c>
      <c r="B6" s="427"/>
      <c r="C6" s="427"/>
      <c r="D6" s="427"/>
      <c r="E6" s="160" t="s">
        <v>352</v>
      </c>
      <c r="F6" s="205">
        <v>1</v>
      </c>
      <c r="G6" s="206">
        <v>10.5</v>
      </c>
      <c r="H6" s="163">
        <f>+G6*F6</f>
        <v>10.5</v>
      </c>
    </row>
    <row r="7" spans="1:10" x14ac:dyDescent="0.25">
      <c r="A7" s="427" t="s">
        <v>351</v>
      </c>
      <c r="B7" s="427"/>
      <c r="C7" s="427"/>
      <c r="D7" s="427"/>
      <c r="E7" s="160" t="s">
        <v>352</v>
      </c>
      <c r="F7" s="205">
        <v>1</v>
      </c>
      <c r="G7" s="206">
        <v>13.5</v>
      </c>
      <c r="H7" s="163">
        <f t="shared" ref="H7:H18" si="0">+G7*F7</f>
        <v>13.5</v>
      </c>
    </row>
    <row r="8" spans="1:10" x14ac:dyDescent="0.25">
      <c r="A8" s="427" t="s">
        <v>353</v>
      </c>
      <c r="B8" s="427"/>
      <c r="C8" s="427"/>
      <c r="D8" s="427"/>
      <c r="E8" s="160" t="s">
        <v>354</v>
      </c>
      <c r="F8" s="205">
        <v>30</v>
      </c>
      <c r="G8" s="206">
        <v>0.5</v>
      </c>
      <c r="H8" s="163">
        <f>+G8*F8</f>
        <v>15</v>
      </c>
    </row>
    <row r="9" spans="1:10" x14ac:dyDescent="0.25">
      <c r="A9" s="427" t="s">
        <v>355</v>
      </c>
      <c r="B9" s="427"/>
      <c r="C9" s="427"/>
      <c r="D9" s="427"/>
      <c r="E9" s="160" t="s">
        <v>354</v>
      </c>
      <c r="F9" s="205">
        <v>0</v>
      </c>
      <c r="G9" s="206">
        <v>1.35</v>
      </c>
      <c r="H9" s="163">
        <f>+G9*F9</f>
        <v>0</v>
      </c>
    </row>
    <row r="10" spans="1:10" x14ac:dyDescent="0.25">
      <c r="A10" s="424" t="s">
        <v>336</v>
      </c>
      <c r="B10" s="424"/>
      <c r="C10" s="424"/>
      <c r="D10" s="424"/>
      <c r="E10" s="160"/>
      <c r="F10" s="209"/>
      <c r="G10" s="210"/>
      <c r="H10" s="160"/>
    </row>
    <row r="11" spans="1:10" x14ac:dyDescent="0.25">
      <c r="A11" s="424" t="s">
        <v>337</v>
      </c>
      <c r="B11" s="424"/>
      <c r="C11" s="424"/>
      <c r="D11" s="424"/>
      <c r="E11" s="160" t="s">
        <v>109</v>
      </c>
      <c r="F11" s="205">
        <v>150</v>
      </c>
      <c r="G11" s="206">
        <v>0.6</v>
      </c>
      <c r="H11" s="163">
        <f t="shared" si="0"/>
        <v>90</v>
      </c>
    </row>
    <row r="12" spans="1:10" x14ac:dyDescent="0.25">
      <c r="A12" s="424" t="s">
        <v>338</v>
      </c>
      <c r="B12" s="424"/>
      <c r="C12" s="424"/>
      <c r="D12" s="424"/>
      <c r="E12" s="160" t="s">
        <v>109</v>
      </c>
      <c r="F12" s="205">
        <v>50</v>
      </c>
      <c r="G12" s="206">
        <v>0.5</v>
      </c>
      <c r="H12" s="163">
        <f t="shared" si="0"/>
        <v>25</v>
      </c>
    </row>
    <row r="13" spans="1:10" x14ac:dyDescent="0.25">
      <c r="A13" s="424" t="s">
        <v>339</v>
      </c>
      <c r="B13" s="424"/>
      <c r="C13" s="424"/>
      <c r="D13" s="424"/>
      <c r="E13" s="160" t="s">
        <v>109</v>
      </c>
      <c r="F13" s="205">
        <v>50</v>
      </c>
      <c r="G13" s="206">
        <v>0.42</v>
      </c>
      <c r="H13" s="163">
        <f t="shared" si="0"/>
        <v>21</v>
      </c>
    </row>
    <row r="14" spans="1:10" x14ac:dyDescent="0.25">
      <c r="A14" s="424" t="s">
        <v>340</v>
      </c>
      <c r="B14" s="424"/>
      <c r="C14" s="424"/>
      <c r="D14" s="424"/>
      <c r="E14" s="160" t="s">
        <v>110</v>
      </c>
      <c r="F14" s="205">
        <v>0</v>
      </c>
      <c r="G14" s="206">
        <v>40</v>
      </c>
      <c r="H14" s="163">
        <f t="shared" si="0"/>
        <v>0</v>
      </c>
    </row>
    <row r="15" spans="1:10" x14ac:dyDescent="0.25">
      <c r="A15" s="424" t="s">
        <v>333</v>
      </c>
      <c r="B15" s="424"/>
      <c r="C15" s="424"/>
      <c r="D15" s="424"/>
      <c r="E15" s="160" t="s">
        <v>29</v>
      </c>
      <c r="F15" s="205">
        <v>1</v>
      </c>
      <c r="G15" s="206">
        <v>2.68</v>
      </c>
      <c r="H15" s="163">
        <f t="shared" si="0"/>
        <v>2.68</v>
      </c>
    </row>
    <row r="16" spans="1:10" x14ac:dyDescent="0.25">
      <c r="A16" s="424" t="s">
        <v>334</v>
      </c>
      <c r="B16" s="424"/>
      <c r="C16" s="424"/>
      <c r="D16" s="424"/>
      <c r="E16" s="160" t="s">
        <v>332</v>
      </c>
      <c r="F16" s="205">
        <v>1.45</v>
      </c>
      <c r="G16" s="206">
        <v>4</v>
      </c>
      <c r="H16" s="163">
        <f t="shared" si="0"/>
        <v>5.8</v>
      </c>
    </row>
    <row r="17" spans="1:8" x14ac:dyDescent="0.25">
      <c r="A17" s="424" t="s">
        <v>330</v>
      </c>
      <c r="B17" s="424"/>
      <c r="C17" s="424"/>
      <c r="D17" s="424"/>
      <c r="E17" s="160" t="s">
        <v>367</v>
      </c>
      <c r="F17" s="205">
        <v>0.6</v>
      </c>
      <c r="G17" s="206">
        <v>9</v>
      </c>
      <c r="H17" s="163">
        <f t="shared" si="0"/>
        <v>5.3999999999999995</v>
      </c>
    </row>
    <row r="18" spans="1:8" ht="13.8" thickBot="1" x14ac:dyDescent="0.3">
      <c r="A18" s="424" t="s">
        <v>176</v>
      </c>
      <c r="B18" s="424"/>
      <c r="C18" s="424"/>
      <c r="D18" s="424"/>
      <c r="E18" s="160" t="s">
        <v>331</v>
      </c>
      <c r="F18" s="205">
        <v>0</v>
      </c>
      <c r="G18" s="206">
        <v>2</v>
      </c>
      <c r="H18" s="163">
        <f t="shared" si="0"/>
        <v>0</v>
      </c>
    </row>
    <row r="19" spans="1:8" ht="13.8" thickBot="1" x14ac:dyDescent="0.3">
      <c r="A19" s="164" t="s">
        <v>111</v>
      </c>
      <c r="B19" s="165"/>
      <c r="C19" s="165"/>
      <c r="D19" s="165"/>
      <c r="E19" s="165"/>
      <c r="F19" s="165"/>
      <c r="G19" s="165"/>
      <c r="H19" s="166">
        <f>+SUM(H6:H18)</f>
        <v>188.88000000000002</v>
      </c>
    </row>
    <row r="20" spans="1:8" x14ac:dyDescent="0.25">
      <c r="A20" s="160"/>
      <c r="B20" s="160"/>
      <c r="C20" s="160"/>
      <c r="D20" s="160"/>
      <c r="E20" s="160"/>
      <c r="F20" s="160"/>
      <c r="G20" s="160"/>
      <c r="H20" s="160"/>
    </row>
  </sheetData>
  <mergeCells count="16">
    <mergeCell ref="A18:D18"/>
    <mergeCell ref="A5:D5"/>
    <mergeCell ref="I1:J1"/>
    <mergeCell ref="A13:D13"/>
    <mergeCell ref="A14:D14"/>
    <mergeCell ref="A16:D16"/>
    <mergeCell ref="A15:D15"/>
    <mergeCell ref="A7:D7"/>
    <mergeCell ref="A10:D10"/>
    <mergeCell ref="A8:D8"/>
    <mergeCell ref="A11:D11"/>
    <mergeCell ref="A12:D12"/>
    <mergeCell ref="A3:H3"/>
    <mergeCell ref="A17:D17"/>
    <mergeCell ref="A9:D9"/>
    <mergeCell ref="A6:D6"/>
  </mergeCells>
  <phoneticPr fontId="0" type="noConversion"/>
  <hyperlinks>
    <hyperlink ref="I1:J1" location="Main!A49" display="Return To Main"/>
  </hyperlinks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J17"/>
  <sheetViews>
    <sheetView zoomScaleNormal="100" workbookViewId="0">
      <selection activeCell="N35" sqref="N35"/>
    </sheetView>
  </sheetViews>
  <sheetFormatPr defaultColWidth="8.44140625" defaultRowHeight="13.2" x14ac:dyDescent="0.25"/>
  <cols>
    <col min="1" max="5" width="8.44140625" style="142" customWidth="1"/>
    <col min="6" max="6" width="10.6640625" style="142" customWidth="1"/>
    <col min="7" max="7" width="8.44140625" style="142" customWidth="1"/>
    <col min="8" max="8" width="9.88671875" style="142" customWidth="1"/>
    <col min="9" max="16384" width="8.44140625" style="142"/>
  </cols>
  <sheetData>
    <row r="1" spans="1:10" x14ac:dyDescent="0.25">
      <c r="C1" s="143"/>
      <c r="I1" s="425" t="s">
        <v>343</v>
      </c>
      <c r="J1" s="425"/>
    </row>
    <row r="3" spans="1:10" x14ac:dyDescent="0.25">
      <c r="A3" s="426" t="s">
        <v>361</v>
      </c>
      <c r="B3" s="426"/>
      <c r="C3" s="426"/>
      <c r="D3" s="426"/>
      <c r="E3" s="426"/>
      <c r="F3" s="426"/>
      <c r="G3" s="426"/>
      <c r="H3" s="426"/>
    </row>
    <row r="4" spans="1:10" x14ac:dyDescent="0.25">
      <c r="A4" s="160"/>
      <c r="B4" s="160"/>
      <c r="C4" s="160"/>
      <c r="D4" s="160"/>
      <c r="E4" s="160"/>
      <c r="F4" s="160"/>
      <c r="G4" s="160"/>
      <c r="H4" s="160"/>
    </row>
    <row r="5" spans="1:10" x14ac:dyDescent="0.25">
      <c r="A5" s="428" t="s">
        <v>173</v>
      </c>
      <c r="B5" s="428"/>
      <c r="C5" s="428"/>
      <c r="D5" s="428"/>
      <c r="E5" s="162" t="s">
        <v>174</v>
      </c>
      <c r="F5" s="162" t="s">
        <v>341</v>
      </c>
      <c r="G5" s="162" t="s">
        <v>342</v>
      </c>
      <c r="H5" s="162" t="s">
        <v>175</v>
      </c>
    </row>
    <row r="6" spans="1:10" x14ac:dyDescent="0.25">
      <c r="A6" s="427" t="s">
        <v>424</v>
      </c>
      <c r="B6" s="427"/>
      <c r="C6" s="427"/>
      <c r="D6" s="427"/>
      <c r="E6" s="160" t="s">
        <v>354</v>
      </c>
      <c r="F6" s="205">
        <v>20</v>
      </c>
      <c r="G6" s="206">
        <v>0.8</v>
      </c>
      <c r="H6" s="163">
        <f>+G6*F6</f>
        <v>16</v>
      </c>
    </row>
    <row r="7" spans="1:10" x14ac:dyDescent="0.25">
      <c r="A7" s="424" t="s">
        <v>336</v>
      </c>
      <c r="B7" s="424"/>
      <c r="C7" s="424"/>
      <c r="D7" s="424"/>
      <c r="E7" s="160"/>
      <c r="F7" s="209"/>
      <c r="G7" s="210"/>
      <c r="H7" s="160"/>
    </row>
    <row r="8" spans="1:10" x14ac:dyDescent="0.25">
      <c r="A8" s="424" t="s">
        <v>337</v>
      </c>
      <c r="B8" s="424"/>
      <c r="C8" s="424"/>
      <c r="D8" s="424"/>
      <c r="E8" s="160" t="s">
        <v>109</v>
      </c>
      <c r="F8" s="205">
        <v>180</v>
      </c>
      <c r="G8" s="206">
        <v>0.6</v>
      </c>
      <c r="H8" s="163">
        <f t="shared" ref="H8:H15" si="0">+G8*F8</f>
        <v>108</v>
      </c>
    </row>
    <row r="9" spans="1:10" x14ac:dyDescent="0.25">
      <c r="A9" s="424" t="s">
        <v>338</v>
      </c>
      <c r="B9" s="424"/>
      <c r="C9" s="424"/>
      <c r="D9" s="424"/>
      <c r="E9" s="160" t="s">
        <v>109</v>
      </c>
      <c r="F9" s="205">
        <v>40</v>
      </c>
      <c r="G9" s="206">
        <v>0.5</v>
      </c>
      <c r="H9" s="163">
        <f t="shared" si="0"/>
        <v>20</v>
      </c>
    </row>
    <row r="10" spans="1:10" x14ac:dyDescent="0.25">
      <c r="A10" s="424" t="s">
        <v>339</v>
      </c>
      <c r="B10" s="424"/>
      <c r="C10" s="424"/>
      <c r="D10" s="424"/>
      <c r="E10" s="160" t="s">
        <v>109</v>
      </c>
      <c r="F10" s="205">
        <v>80</v>
      </c>
      <c r="G10" s="206">
        <v>0.42</v>
      </c>
      <c r="H10" s="163">
        <f t="shared" si="0"/>
        <v>33.6</v>
      </c>
    </row>
    <row r="11" spans="1:10" x14ac:dyDescent="0.25">
      <c r="A11" s="424" t="s">
        <v>340</v>
      </c>
      <c r="B11" s="424"/>
      <c r="C11" s="424"/>
      <c r="D11" s="424"/>
      <c r="E11" s="160" t="s">
        <v>110</v>
      </c>
      <c r="F11" s="205">
        <v>0</v>
      </c>
      <c r="G11" s="206">
        <v>40</v>
      </c>
      <c r="H11" s="163">
        <f t="shared" si="0"/>
        <v>0</v>
      </c>
    </row>
    <row r="12" spans="1:10" x14ac:dyDescent="0.25">
      <c r="A12" s="424" t="s">
        <v>333</v>
      </c>
      <c r="B12" s="424"/>
      <c r="C12" s="424"/>
      <c r="D12" s="424"/>
      <c r="E12" s="160" t="s">
        <v>29</v>
      </c>
      <c r="F12" s="205">
        <v>2</v>
      </c>
      <c r="G12" s="206">
        <v>3.5</v>
      </c>
      <c r="H12" s="163">
        <f t="shared" si="0"/>
        <v>7</v>
      </c>
    </row>
    <row r="13" spans="1:10" x14ac:dyDescent="0.25">
      <c r="A13" s="424" t="s">
        <v>334</v>
      </c>
      <c r="B13" s="424"/>
      <c r="C13" s="424"/>
      <c r="D13" s="424"/>
      <c r="E13" s="160" t="s">
        <v>332</v>
      </c>
      <c r="F13" s="205">
        <v>3</v>
      </c>
      <c r="G13" s="206">
        <v>3</v>
      </c>
      <c r="H13" s="163">
        <f t="shared" si="0"/>
        <v>9</v>
      </c>
    </row>
    <row r="14" spans="1:10" x14ac:dyDescent="0.25">
      <c r="A14" s="424" t="s">
        <v>176</v>
      </c>
      <c r="B14" s="424"/>
      <c r="C14" s="424"/>
      <c r="D14" s="424"/>
      <c r="E14" s="160" t="s">
        <v>331</v>
      </c>
      <c r="F14" s="205">
        <v>0</v>
      </c>
      <c r="G14" s="206">
        <v>2</v>
      </c>
      <c r="H14" s="163">
        <f t="shared" si="0"/>
        <v>0</v>
      </c>
    </row>
    <row r="15" spans="1:10" ht="13.8" thickBot="1" x14ac:dyDescent="0.3">
      <c r="A15" s="424" t="s">
        <v>176</v>
      </c>
      <c r="B15" s="424"/>
      <c r="C15" s="424"/>
      <c r="D15" s="424"/>
      <c r="E15" s="160" t="s">
        <v>331</v>
      </c>
      <c r="F15" s="205">
        <v>0</v>
      </c>
      <c r="G15" s="206">
        <v>2</v>
      </c>
      <c r="H15" s="163">
        <f t="shared" si="0"/>
        <v>0</v>
      </c>
    </row>
    <row r="16" spans="1:10" ht="13.8" thickBot="1" x14ac:dyDescent="0.3">
      <c r="A16" s="164" t="s">
        <v>111</v>
      </c>
      <c r="B16" s="165"/>
      <c r="C16" s="165"/>
      <c r="D16" s="165"/>
      <c r="E16" s="165"/>
      <c r="F16" s="165"/>
      <c r="G16" s="165"/>
      <c r="H16" s="166">
        <f>+SUM(H6:H15)</f>
        <v>193.6</v>
      </c>
    </row>
    <row r="17" spans="1:8" x14ac:dyDescent="0.25">
      <c r="A17" s="160"/>
      <c r="B17" s="160"/>
      <c r="C17" s="160"/>
      <c r="D17" s="160"/>
      <c r="E17" s="160"/>
      <c r="F17" s="160"/>
      <c r="G17" s="160"/>
      <c r="H17" s="160"/>
    </row>
  </sheetData>
  <mergeCells count="13">
    <mergeCell ref="A14:D14"/>
    <mergeCell ref="A6:D6"/>
    <mergeCell ref="A15:D15"/>
    <mergeCell ref="A5:D5"/>
    <mergeCell ref="I1:J1"/>
    <mergeCell ref="A10:D10"/>
    <mergeCell ref="A11:D11"/>
    <mergeCell ref="A13:D13"/>
    <mergeCell ref="A12:D12"/>
    <mergeCell ref="A7:D7"/>
    <mergeCell ref="A8:D8"/>
    <mergeCell ref="A9:D9"/>
    <mergeCell ref="A3:H3"/>
  </mergeCells>
  <phoneticPr fontId="0" type="noConversion"/>
  <hyperlinks>
    <hyperlink ref="I1:J1" location="Main!A50" display="Return To Main"/>
  </hyperlinks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24"/>
  <sheetViews>
    <sheetView zoomScaleNormal="100" workbookViewId="0">
      <selection activeCell="G12" sqref="G12"/>
    </sheetView>
  </sheetViews>
  <sheetFormatPr defaultColWidth="8.44140625" defaultRowHeight="13.2" x14ac:dyDescent="0.25"/>
  <cols>
    <col min="1" max="5" width="8.44140625" style="142" customWidth="1"/>
    <col min="6" max="6" width="10.6640625" style="142" customWidth="1"/>
    <col min="7" max="7" width="8.44140625" style="142" customWidth="1"/>
    <col min="8" max="8" width="9.88671875" style="142" customWidth="1"/>
    <col min="9" max="16384" width="8.44140625" style="142"/>
  </cols>
  <sheetData>
    <row r="1" spans="1:10" x14ac:dyDescent="0.25">
      <c r="C1" s="143"/>
      <c r="I1" s="425" t="s">
        <v>343</v>
      </c>
      <c r="J1" s="425"/>
    </row>
    <row r="2" spans="1:10" x14ac:dyDescent="0.25">
      <c r="A2" s="429" t="s">
        <v>366</v>
      </c>
      <c r="B2" s="429"/>
      <c r="C2" s="142">
        <v>5</v>
      </c>
    </row>
    <row r="3" spans="1:10" x14ac:dyDescent="0.25">
      <c r="A3" s="426" t="s">
        <v>364</v>
      </c>
      <c r="B3" s="426"/>
      <c r="C3" s="426"/>
      <c r="D3" s="426"/>
      <c r="E3" s="426"/>
      <c r="F3" s="426"/>
      <c r="G3" s="426"/>
      <c r="H3" s="426"/>
    </row>
    <row r="4" spans="1:10" x14ac:dyDescent="0.25">
      <c r="A4" s="160"/>
      <c r="B4" s="160"/>
      <c r="C4" s="160"/>
      <c r="D4" s="160"/>
      <c r="E4" s="160"/>
      <c r="F4" s="160"/>
      <c r="G4" s="160"/>
      <c r="H4" s="160"/>
    </row>
    <row r="5" spans="1:10" x14ac:dyDescent="0.25">
      <c r="A5" s="428" t="s">
        <v>173</v>
      </c>
      <c r="B5" s="428"/>
      <c r="C5" s="428"/>
      <c r="D5" s="428"/>
      <c r="E5" s="162" t="s">
        <v>174</v>
      </c>
      <c r="F5" s="162" t="s">
        <v>341</v>
      </c>
      <c r="G5" s="162" t="s">
        <v>342</v>
      </c>
      <c r="H5" s="162" t="s">
        <v>175</v>
      </c>
    </row>
    <row r="6" spans="1:10" x14ac:dyDescent="0.25">
      <c r="A6" s="427" t="s">
        <v>335</v>
      </c>
      <c r="B6" s="427"/>
      <c r="C6" s="427"/>
      <c r="D6" s="427"/>
      <c r="E6" s="160" t="s">
        <v>108</v>
      </c>
      <c r="F6" s="205">
        <v>10</v>
      </c>
      <c r="G6" s="206">
        <v>0</v>
      </c>
      <c r="H6" s="163">
        <f>+G6/F6</f>
        <v>0</v>
      </c>
    </row>
    <row r="7" spans="1:10" x14ac:dyDescent="0.25">
      <c r="A7" s="424" t="s">
        <v>336</v>
      </c>
      <c r="B7" s="424"/>
      <c r="C7" s="424"/>
      <c r="D7" s="424"/>
      <c r="E7" s="160"/>
      <c r="F7" s="207"/>
      <c r="G7" s="208"/>
      <c r="H7" s="160"/>
    </row>
    <row r="8" spans="1:10" x14ac:dyDescent="0.25">
      <c r="A8" s="424" t="s">
        <v>337</v>
      </c>
      <c r="B8" s="424"/>
      <c r="C8" s="424"/>
      <c r="D8" s="424"/>
      <c r="E8" s="160" t="s">
        <v>109</v>
      </c>
      <c r="F8" s="205">
        <v>250</v>
      </c>
      <c r="G8" s="206">
        <v>0.6</v>
      </c>
      <c r="H8" s="163">
        <f t="shared" ref="H8:H16" si="0">+G8*F8</f>
        <v>150</v>
      </c>
    </row>
    <row r="9" spans="1:10" x14ac:dyDescent="0.25">
      <c r="A9" s="424" t="s">
        <v>338</v>
      </c>
      <c r="B9" s="424"/>
      <c r="C9" s="424"/>
      <c r="D9" s="424"/>
      <c r="E9" s="160" t="s">
        <v>109</v>
      </c>
      <c r="F9" s="205">
        <v>60</v>
      </c>
      <c r="G9" s="206">
        <v>0.5</v>
      </c>
      <c r="H9" s="163">
        <f t="shared" si="0"/>
        <v>30</v>
      </c>
    </row>
    <row r="10" spans="1:10" x14ac:dyDescent="0.25">
      <c r="A10" s="424" t="s">
        <v>339</v>
      </c>
      <c r="B10" s="424"/>
      <c r="C10" s="424"/>
      <c r="D10" s="424"/>
      <c r="E10" s="160" t="s">
        <v>109</v>
      </c>
      <c r="F10" s="205">
        <v>200</v>
      </c>
      <c r="G10" s="206">
        <v>0.42</v>
      </c>
      <c r="H10" s="163">
        <f t="shared" si="0"/>
        <v>84</v>
      </c>
    </row>
    <row r="11" spans="1:10" x14ac:dyDescent="0.25">
      <c r="A11" s="424" t="s">
        <v>340</v>
      </c>
      <c r="B11" s="424"/>
      <c r="C11" s="424"/>
      <c r="D11" s="424"/>
      <c r="E11" s="160" t="s">
        <v>110</v>
      </c>
      <c r="F11" s="205">
        <v>0.5</v>
      </c>
      <c r="G11" s="206">
        <v>40</v>
      </c>
      <c r="H11" s="163">
        <f t="shared" si="0"/>
        <v>20</v>
      </c>
    </row>
    <row r="12" spans="1:10" x14ac:dyDescent="0.25">
      <c r="A12" s="424" t="s">
        <v>365</v>
      </c>
      <c r="B12" s="424"/>
      <c r="C12" s="424"/>
      <c r="D12" s="424"/>
      <c r="E12" s="160" t="s">
        <v>331</v>
      </c>
      <c r="F12" s="205">
        <v>1</v>
      </c>
      <c r="G12" s="206">
        <v>4.5</v>
      </c>
      <c r="H12" s="163">
        <f>+G12*F12</f>
        <v>4.5</v>
      </c>
    </row>
    <row r="13" spans="1:10" x14ac:dyDescent="0.25">
      <c r="A13" s="424" t="s">
        <v>333</v>
      </c>
      <c r="B13" s="424"/>
      <c r="C13" s="424"/>
      <c r="D13" s="424"/>
      <c r="E13" s="160" t="s">
        <v>29</v>
      </c>
      <c r="F13" s="205">
        <v>1</v>
      </c>
      <c r="G13" s="206">
        <v>18.5</v>
      </c>
      <c r="H13" s="163">
        <f t="shared" si="0"/>
        <v>18.5</v>
      </c>
    </row>
    <row r="14" spans="1:10" x14ac:dyDescent="0.25">
      <c r="A14" s="424" t="s">
        <v>334</v>
      </c>
      <c r="B14" s="424"/>
      <c r="C14" s="424"/>
      <c r="D14" s="424"/>
      <c r="E14" s="160" t="s">
        <v>332</v>
      </c>
      <c r="F14" s="205">
        <v>12.5</v>
      </c>
      <c r="G14" s="206">
        <v>4</v>
      </c>
      <c r="H14" s="163">
        <f t="shared" si="0"/>
        <v>50</v>
      </c>
    </row>
    <row r="15" spans="1:10" x14ac:dyDescent="0.25">
      <c r="A15" s="424" t="s">
        <v>330</v>
      </c>
      <c r="B15" s="424"/>
      <c r="C15" s="424"/>
      <c r="D15" s="424"/>
      <c r="E15" s="160" t="s">
        <v>367</v>
      </c>
      <c r="F15" s="205">
        <v>2.67</v>
      </c>
      <c r="G15" s="206">
        <v>9</v>
      </c>
      <c r="H15" s="163">
        <f t="shared" si="0"/>
        <v>24.03</v>
      </c>
    </row>
    <row r="16" spans="1:10" ht="13.8" thickBot="1" x14ac:dyDescent="0.3">
      <c r="A16" s="424" t="s">
        <v>176</v>
      </c>
      <c r="B16" s="424"/>
      <c r="C16" s="424"/>
      <c r="D16" s="424"/>
      <c r="E16" s="160" t="s">
        <v>331</v>
      </c>
      <c r="F16" s="205">
        <v>0</v>
      </c>
      <c r="G16" s="206">
        <v>2</v>
      </c>
      <c r="H16" s="163">
        <f t="shared" si="0"/>
        <v>0</v>
      </c>
    </row>
    <row r="17" spans="1:8" ht="13.8" thickBot="1" x14ac:dyDescent="0.3">
      <c r="A17" s="432" t="s">
        <v>111</v>
      </c>
      <c r="B17" s="433"/>
      <c r="C17" s="433"/>
      <c r="D17" s="433"/>
      <c r="E17" s="165"/>
      <c r="F17" s="165"/>
      <c r="G17" s="165"/>
      <c r="H17" s="166">
        <f>+SUM(H6:H16)</f>
        <v>381.03</v>
      </c>
    </row>
    <row r="18" spans="1:8" ht="13.8" thickBot="1" x14ac:dyDescent="0.3">
      <c r="A18" s="432" t="s">
        <v>401</v>
      </c>
      <c r="B18" s="433"/>
      <c r="C18" s="433"/>
      <c r="D18" s="433"/>
      <c r="E18" s="165"/>
      <c r="F18" s="165"/>
      <c r="G18" s="165"/>
      <c r="H18" s="166">
        <f>+hay/hay_tons</f>
        <v>76.205999999999989</v>
      </c>
    </row>
    <row r="19" spans="1:8" ht="13.8" thickBot="1" x14ac:dyDescent="0.3">
      <c r="A19" s="160"/>
      <c r="B19" s="160"/>
      <c r="C19" s="160"/>
      <c r="D19" s="160"/>
      <c r="E19" s="160"/>
      <c r="F19" s="160"/>
      <c r="G19" s="160"/>
      <c r="H19" s="160"/>
    </row>
    <row r="20" spans="1:8" ht="13.8" thickBot="1" x14ac:dyDescent="0.3">
      <c r="A20" s="430" t="s">
        <v>402</v>
      </c>
      <c r="B20" s="431"/>
      <c r="C20" s="431"/>
      <c r="D20" s="431"/>
      <c r="E20" s="431"/>
      <c r="F20" s="431"/>
      <c r="G20" s="431"/>
      <c r="H20" s="167">
        <f>+equip_fc</f>
        <v>6874.2063999999991</v>
      </c>
    </row>
    <row r="21" spans="1:8" ht="13.8" thickBot="1" x14ac:dyDescent="0.3">
      <c r="A21" s="430" t="s">
        <v>403</v>
      </c>
      <c r="B21" s="431"/>
      <c r="C21" s="431"/>
      <c r="D21" s="431"/>
      <c r="E21" s="431"/>
      <c r="F21" s="431"/>
      <c r="G21" s="431"/>
      <c r="H21" s="167">
        <f>IF(Main!F51&gt;0,H20/(hay_tons*Main!F51),"N/A")</f>
        <v>54.993651199999995</v>
      </c>
    </row>
    <row r="22" spans="1:8" ht="13.8" thickBot="1" x14ac:dyDescent="0.3">
      <c r="A22" s="160"/>
      <c r="B22" s="160"/>
      <c r="C22" s="160"/>
      <c r="D22" s="160"/>
      <c r="E22" s="160"/>
      <c r="F22" s="160"/>
      <c r="G22" s="160"/>
      <c r="H22" s="160"/>
    </row>
    <row r="23" spans="1:8" ht="13.8" thickBot="1" x14ac:dyDescent="0.3">
      <c r="A23" s="430" t="s">
        <v>404</v>
      </c>
      <c r="B23" s="431"/>
      <c r="C23" s="431"/>
      <c r="D23" s="431"/>
      <c r="E23" s="431"/>
      <c r="F23" s="431"/>
      <c r="G23" s="431"/>
      <c r="H23" s="167">
        <f>+IF(H21&lt;&gt;"N/A",H21+H18,"N/A")</f>
        <v>131.19965119999998</v>
      </c>
    </row>
    <row r="24" spans="1:8" x14ac:dyDescent="0.25">
      <c r="A24" s="160"/>
      <c r="B24" s="160"/>
      <c r="C24" s="160"/>
      <c r="D24" s="160"/>
      <c r="E24" s="160"/>
      <c r="F24" s="160"/>
      <c r="G24" s="160"/>
      <c r="H24" s="160"/>
    </row>
  </sheetData>
  <mergeCells count="20">
    <mergeCell ref="A13:D13"/>
    <mergeCell ref="A17:D17"/>
    <mergeCell ref="A15:D15"/>
    <mergeCell ref="A16:D16"/>
    <mergeCell ref="A12:D12"/>
    <mergeCell ref="A20:G20"/>
    <mergeCell ref="A21:G21"/>
    <mergeCell ref="A23:G23"/>
    <mergeCell ref="A18:D18"/>
    <mergeCell ref="A14:D14"/>
    <mergeCell ref="I1:J1"/>
    <mergeCell ref="A3:H3"/>
    <mergeCell ref="A10:D10"/>
    <mergeCell ref="A11:D11"/>
    <mergeCell ref="A2:B2"/>
    <mergeCell ref="A5:D5"/>
    <mergeCell ref="A6:D6"/>
    <mergeCell ref="A7:D7"/>
    <mergeCell ref="A8:D8"/>
    <mergeCell ref="A9:D9"/>
  </mergeCells>
  <phoneticPr fontId="0" type="noConversion"/>
  <hyperlinks>
    <hyperlink ref="I1:J1" location="Main!A51" display="Return To Main"/>
  </hyperlinks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I48"/>
  <sheetViews>
    <sheetView zoomScaleNormal="75" workbookViewId="0">
      <selection activeCell="J19" sqref="J19"/>
    </sheetView>
  </sheetViews>
  <sheetFormatPr defaultColWidth="8.88671875" defaultRowHeight="12.75" customHeight="1" x14ac:dyDescent="0.25"/>
  <cols>
    <col min="1" max="1" width="28.33203125" style="49" customWidth="1"/>
    <col min="2" max="2" width="18.5546875" style="49" customWidth="1"/>
    <col min="3" max="3" width="30.5546875" style="49" customWidth="1"/>
    <col min="4" max="4" width="12.88671875" style="49" customWidth="1"/>
    <col min="5" max="5" width="14.33203125" style="49" customWidth="1"/>
    <col min="6" max="6" width="11.44140625" style="49" customWidth="1"/>
    <col min="7" max="7" width="11.6640625" style="49" customWidth="1"/>
    <col min="8" max="16384" width="8.88671875" style="49"/>
  </cols>
  <sheetData>
    <row r="1" spans="1:9" ht="12.75" customHeight="1" x14ac:dyDescent="0.25">
      <c r="H1" s="425" t="s">
        <v>343</v>
      </c>
      <c r="I1" s="425"/>
    </row>
    <row r="2" spans="1:9" ht="12.75" customHeight="1" thickBot="1" x14ac:dyDescent="0.3">
      <c r="A2" s="434" t="s">
        <v>235</v>
      </c>
      <c r="B2" s="434"/>
      <c r="C2" s="434"/>
      <c r="D2" s="434"/>
      <c r="E2" s="434"/>
      <c r="F2" s="434"/>
      <c r="G2" s="434"/>
    </row>
    <row r="3" spans="1:9" ht="25.5" customHeight="1" thickBot="1" x14ac:dyDescent="0.3">
      <c r="A3" s="228" t="s">
        <v>412</v>
      </c>
      <c r="B3" s="229" t="s">
        <v>174</v>
      </c>
      <c r="C3" s="232" t="s">
        <v>195</v>
      </c>
      <c r="D3" s="230" t="s">
        <v>196</v>
      </c>
      <c r="E3" s="230" t="s">
        <v>425</v>
      </c>
      <c r="F3" s="229" t="s">
        <v>194</v>
      </c>
      <c r="G3" s="231" t="s">
        <v>199</v>
      </c>
    </row>
    <row r="4" spans="1:9" ht="12.75" customHeight="1" x14ac:dyDescent="0.25">
      <c r="A4" s="218" t="s">
        <v>426</v>
      </c>
      <c r="B4" s="169" t="s">
        <v>198</v>
      </c>
      <c r="C4" s="218">
        <v>100</v>
      </c>
      <c r="D4" s="219">
        <v>6</v>
      </c>
      <c r="E4" s="220">
        <f>+D4*C4/2000</f>
        <v>0.3</v>
      </c>
      <c r="F4" s="221">
        <v>300</v>
      </c>
      <c r="G4" s="171">
        <f>+F4*E4</f>
        <v>90</v>
      </c>
    </row>
    <row r="5" spans="1:9" ht="12.75" customHeight="1" x14ac:dyDescent="0.25">
      <c r="A5" s="218"/>
      <c r="B5" s="169" t="s">
        <v>198</v>
      </c>
      <c r="C5" s="218">
        <v>0</v>
      </c>
      <c r="D5" s="219">
        <v>22</v>
      </c>
      <c r="E5" s="220">
        <f t="shared" ref="E5:E10" si="0">+D5*C5/2000</f>
        <v>0</v>
      </c>
      <c r="F5" s="221">
        <v>90</v>
      </c>
      <c r="G5" s="171">
        <f t="shared" ref="G5:G10" si="1">+F5*E5</f>
        <v>0</v>
      </c>
    </row>
    <row r="6" spans="1:9" ht="12.75" customHeight="1" x14ac:dyDescent="0.25">
      <c r="A6" s="218"/>
      <c r="B6" s="169" t="s">
        <v>198</v>
      </c>
      <c r="C6" s="218"/>
      <c r="D6" s="219">
        <v>0</v>
      </c>
      <c r="E6" s="220">
        <f t="shared" si="0"/>
        <v>0</v>
      </c>
      <c r="F6" s="221">
        <v>0</v>
      </c>
      <c r="G6" s="171">
        <f t="shared" si="1"/>
        <v>0</v>
      </c>
    </row>
    <row r="7" spans="1:9" ht="12.75" customHeight="1" x14ac:dyDescent="0.25">
      <c r="A7" s="218"/>
      <c r="B7" s="169" t="s">
        <v>198</v>
      </c>
      <c r="C7" s="218"/>
      <c r="D7" s="219">
        <v>0</v>
      </c>
      <c r="E7" s="220">
        <f t="shared" si="0"/>
        <v>0</v>
      </c>
      <c r="F7" s="221">
        <v>0</v>
      </c>
      <c r="G7" s="171">
        <f t="shared" si="1"/>
        <v>0</v>
      </c>
    </row>
    <row r="8" spans="1:9" ht="12.75" customHeight="1" x14ac:dyDescent="0.25">
      <c r="A8" s="218"/>
      <c r="B8" s="169" t="s">
        <v>198</v>
      </c>
      <c r="C8" s="218"/>
      <c r="D8" s="219">
        <v>0</v>
      </c>
      <c r="E8" s="220">
        <f t="shared" si="0"/>
        <v>0</v>
      </c>
      <c r="F8" s="221">
        <v>0</v>
      </c>
      <c r="G8" s="171">
        <f t="shared" si="1"/>
        <v>0</v>
      </c>
    </row>
    <row r="9" spans="1:9" ht="12.75" customHeight="1" x14ac:dyDescent="0.25">
      <c r="A9" s="218"/>
      <c r="B9" s="169" t="s">
        <v>198</v>
      </c>
      <c r="C9" s="219"/>
      <c r="D9" s="219">
        <v>0</v>
      </c>
      <c r="E9" s="220">
        <f t="shared" si="0"/>
        <v>0</v>
      </c>
      <c r="F9" s="221">
        <v>0</v>
      </c>
      <c r="G9" s="171">
        <f t="shared" si="1"/>
        <v>0</v>
      </c>
    </row>
    <row r="10" spans="1:9" ht="12.75" customHeight="1" thickBot="1" x14ac:dyDescent="0.3">
      <c r="A10" s="218"/>
      <c r="B10" s="169" t="s">
        <v>198</v>
      </c>
      <c r="C10" s="219"/>
      <c r="D10" s="219">
        <v>0</v>
      </c>
      <c r="E10" s="220">
        <f t="shared" si="0"/>
        <v>0</v>
      </c>
      <c r="F10" s="221">
        <v>0</v>
      </c>
      <c r="G10" s="171">
        <f t="shared" si="1"/>
        <v>0</v>
      </c>
    </row>
    <row r="11" spans="1:9" ht="12.75" customHeight="1" thickBot="1" x14ac:dyDescent="0.3">
      <c r="A11" s="222" t="s">
        <v>236</v>
      </c>
      <c r="B11" s="223"/>
      <c r="C11" s="224"/>
      <c r="D11" s="224"/>
      <c r="E11" s="225">
        <f>SUM(E4:E10)</f>
        <v>0.3</v>
      </c>
      <c r="F11" s="226">
        <f>+IF(cowfeed_lbs&gt;0,cowfeed_cost/cowfeed_lbs,0)</f>
        <v>300</v>
      </c>
      <c r="G11" s="227">
        <f>SUM(G4:G10)</f>
        <v>90</v>
      </c>
    </row>
    <row r="12" spans="1:9" ht="12.75" customHeight="1" x14ac:dyDescent="0.25">
      <c r="A12" s="169"/>
      <c r="B12" s="168"/>
      <c r="C12" s="169"/>
      <c r="D12" s="168"/>
      <c r="E12" s="170"/>
      <c r="F12" s="170"/>
      <c r="G12" s="171"/>
    </row>
    <row r="13" spans="1:9" ht="12.75" customHeight="1" x14ac:dyDescent="0.25">
      <c r="A13" s="169"/>
      <c r="B13" s="168"/>
      <c r="C13" s="169"/>
      <c r="D13" s="168"/>
      <c r="E13" s="170"/>
      <c r="F13" s="170"/>
      <c r="G13" s="171"/>
    </row>
    <row r="14" spans="1:9" ht="12.75" customHeight="1" x14ac:dyDescent="0.25">
      <c r="A14" s="168"/>
      <c r="B14" s="168"/>
      <c r="C14" s="169"/>
      <c r="D14" s="168"/>
      <c r="E14" s="170"/>
      <c r="F14" s="170"/>
      <c r="G14" s="171"/>
    </row>
    <row r="15" spans="1:9" ht="12.75" customHeight="1" thickBot="1" x14ac:dyDescent="0.3">
      <c r="A15" s="434" t="s">
        <v>203</v>
      </c>
      <c r="B15" s="434"/>
      <c r="C15" s="434"/>
      <c r="D15" s="434"/>
      <c r="E15" s="434"/>
      <c r="F15" s="434"/>
      <c r="G15" s="434"/>
    </row>
    <row r="16" spans="1:9" ht="26.25" customHeight="1" thickBot="1" x14ac:dyDescent="0.3">
      <c r="A16" s="228" t="s">
        <v>412</v>
      </c>
      <c r="B16" s="229" t="s">
        <v>174</v>
      </c>
      <c r="C16" s="229" t="s">
        <v>195</v>
      </c>
      <c r="D16" s="230" t="s">
        <v>196</v>
      </c>
      <c r="E16" s="230" t="s">
        <v>425</v>
      </c>
      <c r="F16" s="229" t="s">
        <v>194</v>
      </c>
      <c r="G16" s="231" t="s">
        <v>199</v>
      </c>
    </row>
    <row r="17" spans="1:7" ht="12.75" customHeight="1" x14ac:dyDescent="0.25">
      <c r="A17" s="218" t="s">
        <v>426</v>
      </c>
      <c r="B17" s="169" t="s">
        <v>198</v>
      </c>
      <c r="C17" s="218">
        <v>0</v>
      </c>
      <c r="D17" s="219">
        <v>6</v>
      </c>
      <c r="E17" s="169">
        <f>+D17*C17/2000</f>
        <v>0</v>
      </c>
      <c r="F17" s="221">
        <v>300</v>
      </c>
      <c r="G17" s="171">
        <f>+(E17*F17)</f>
        <v>0</v>
      </c>
    </row>
    <row r="18" spans="1:7" ht="12.75" customHeight="1" x14ac:dyDescent="0.25">
      <c r="A18" s="218"/>
      <c r="B18" s="169" t="s">
        <v>198</v>
      </c>
      <c r="C18" s="218">
        <v>0</v>
      </c>
      <c r="D18" s="219">
        <v>22</v>
      </c>
      <c r="E18" s="169">
        <f t="shared" ref="E18:E23" si="2">+D18*C18/2000</f>
        <v>0</v>
      </c>
      <c r="F18" s="221">
        <v>90</v>
      </c>
      <c r="G18" s="171">
        <f t="shared" ref="G18:G23" si="3">+(E18*F18)</f>
        <v>0</v>
      </c>
    </row>
    <row r="19" spans="1:7" ht="12.75" customHeight="1" x14ac:dyDescent="0.25">
      <c r="A19" s="218"/>
      <c r="B19" s="169" t="s">
        <v>198</v>
      </c>
      <c r="C19" s="218"/>
      <c r="D19" s="219">
        <v>0</v>
      </c>
      <c r="E19" s="169">
        <f t="shared" si="2"/>
        <v>0</v>
      </c>
      <c r="F19" s="221">
        <v>0</v>
      </c>
      <c r="G19" s="171">
        <f t="shared" si="3"/>
        <v>0</v>
      </c>
    </row>
    <row r="20" spans="1:7" ht="12.75" customHeight="1" x14ac:dyDescent="0.25">
      <c r="A20" s="218"/>
      <c r="B20" s="169" t="s">
        <v>198</v>
      </c>
      <c r="C20" s="218"/>
      <c r="D20" s="219">
        <v>0</v>
      </c>
      <c r="E20" s="169">
        <f t="shared" si="2"/>
        <v>0</v>
      </c>
      <c r="F20" s="221">
        <v>0</v>
      </c>
      <c r="G20" s="171">
        <f t="shared" si="3"/>
        <v>0</v>
      </c>
    </row>
    <row r="21" spans="1:7" ht="12.75" customHeight="1" x14ac:dyDescent="0.25">
      <c r="A21" s="218"/>
      <c r="B21" s="169" t="s">
        <v>198</v>
      </c>
      <c r="C21" s="218"/>
      <c r="D21" s="219">
        <v>0</v>
      </c>
      <c r="E21" s="169">
        <f t="shared" si="2"/>
        <v>0</v>
      </c>
      <c r="F21" s="221">
        <v>0</v>
      </c>
      <c r="G21" s="171">
        <f t="shared" si="3"/>
        <v>0</v>
      </c>
    </row>
    <row r="22" spans="1:7" ht="12.75" customHeight="1" x14ac:dyDescent="0.25">
      <c r="A22" s="218"/>
      <c r="B22" s="169" t="s">
        <v>198</v>
      </c>
      <c r="C22" s="219"/>
      <c r="D22" s="219">
        <v>0</v>
      </c>
      <c r="E22" s="169">
        <f t="shared" si="2"/>
        <v>0</v>
      </c>
      <c r="F22" s="221">
        <v>0</v>
      </c>
      <c r="G22" s="171">
        <f t="shared" si="3"/>
        <v>0</v>
      </c>
    </row>
    <row r="23" spans="1:7" ht="12.75" customHeight="1" thickBot="1" x14ac:dyDescent="0.3">
      <c r="A23" s="218"/>
      <c r="B23" s="169" t="s">
        <v>198</v>
      </c>
      <c r="C23" s="219"/>
      <c r="D23" s="219">
        <v>0</v>
      </c>
      <c r="E23" s="169">
        <f t="shared" si="2"/>
        <v>0</v>
      </c>
      <c r="F23" s="221">
        <v>0</v>
      </c>
      <c r="G23" s="171">
        <f t="shared" si="3"/>
        <v>0</v>
      </c>
    </row>
    <row r="24" spans="1:7" ht="12.75" customHeight="1" thickBot="1" x14ac:dyDescent="0.3">
      <c r="A24" s="222" t="s">
        <v>237</v>
      </c>
      <c r="B24" s="223"/>
      <c r="C24" s="224"/>
      <c r="D24" s="224"/>
      <c r="E24" s="225">
        <f>SUM(E17:E23)</f>
        <v>0</v>
      </c>
      <c r="F24" s="226">
        <f>+IF(hfrfeed_lbs&gt;0,hfrfeed_cost/hfrfeed_lbs,0)</f>
        <v>0</v>
      </c>
      <c r="G24" s="227">
        <f>SUM(G17:G23)</f>
        <v>0</v>
      </c>
    </row>
    <row r="25" spans="1:7" ht="12.75" customHeight="1" x14ac:dyDescent="0.25">
      <c r="A25" s="168"/>
      <c r="B25" s="168"/>
      <c r="C25" s="169"/>
      <c r="D25" s="168"/>
      <c r="E25" s="170"/>
      <c r="F25" s="170"/>
      <c r="G25" s="171"/>
    </row>
    <row r="26" spans="1:7" ht="12.75" customHeight="1" x14ac:dyDescent="0.25">
      <c r="A26" s="168"/>
      <c r="B26" s="168"/>
      <c r="C26" s="168"/>
      <c r="D26" s="168"/>
      <c r="E26" s="168"/>
      <c r="F26" s="168"/>
      <c r="G26" s="168"/>
    </row>
    <row r="27" spans="1:7" ht="12.75" customHeight="1" thickBot="1" x14ac:dyDescent="0.3">
      <c r="A27" s="434" t="s">
        <v>209</v>
      </c>
      <c r="B27" s="434"/>
      <c r="C27" s="434"/>
      <c r="D27" s="434"/>
      <c r="E27" s="434"/>
      <c r="F27" s="434"/>
      <c r="G27" s="434"/>
    </row>
    <row r="28" spans="1:7" ht="28.5" customHeight="1" thickBot="1" x14ac:dyDescent="0.3">
      <c r="A28" s="228" t="s">
        <v>412</v>
      </c>
      <c r="B28" s="229" t="s">
        <v>174</v>
      </c>
      <c r="C28" s="229" t="s">
        <v>195</v>
      </c>
      <c r="D28" s="230" t="s">
        <v>196</v>
      </c>
      <c r="E28" s="230" t="s">
        <v>425</v>
      </c>
      <c r="F28" s="229" t="s">
        <v>194</v>
      </c>
      <c r="G28" s="231" t="s">
        <v>413</v>
      </c>
    </row>
    <row r="29" spans="1:7" ht="12.75" customHeight="1" x14ac:dyDescent="0.25">
      <c r="A29" s="218" t="s">
        <v>427</v>
      </c>
      <c r="B29" s="169" t="s">
        <v>198</v>
      </c>
      <c r="C29" s="218">
        <v>120</v>
      </c>
      <c r="D29" s="219">
        <v>4</v>
      </c>
      <c r="E29" s="169">
        <f>+D29*C29/2000</f>
        <v>0.24</v>
      </c>
      <c r="F29" s="221">
        <v>300</v>
      </c>
      <c r="G29" s="171">
        <f>+(E29*F29)</f>
        <v>72</v>
      </c>
    </row>
    <row r="30" spans="1:7" ht="12.75" customHeight="1" x14ac:dyDescent="0.25">
      <c r="A30" s="218"/>
      <c r="B30" s="169" t="s">
        <v>198</v>
      </c>
      <c r="C30" s="218">
        <v>0</v>
      </c>
      <c r="D30" s="219">
        <v>22</v>
      </c>
      <c r="E30" s="169">
        <f t="shared" ref="E30:E35" si="4">+D30*C30</f>
        <v>0</v>
      </c>
      <c r="F30" s="221">
        <v>90</v>
      </c>
      <c r="G30" s="171">
        <f t="shared" ref="G30:G35" si="5">+(E30/2000)*F30</f>
        <v>0</v>
      </c>
    </row>
    <row r="31" spans="1:7" ht="12.75" customHeight="1" x14ac:dyDescent="0.25">
      <c r="A31" s="218"/>
      <c r="B31" s="169" t="s">
        <v>198</v>
      </c>
      <c r="C31" s="218"/>
      <c r="D31" s="219">
        <v>0</v>
      </c>
      <c r="E31" s="169">
        <f t="shared" si="4"/>
        <v>0</v>
      </c>
      <c r="F31" s="221">
        <v>0</v>
      </c>
      <c r="G31" s="171">
        <f t="shared" si="5"/>
        <v>0</v>
      </c>
    </row>
    <row r="32" spans="1:7" ht="12.75" customHeight="1" x14ac:dyDescent="0.25">
      <c r="A32" s="218"/>
      <c r="B32" s="169" t="s">
        <v>198</v>
      </c>
      <c r="C32" s="218"/>
      <c r="D32" s="219">
        <v>0</v>
      </c>
      <c r="E32" s="169">
        <f t="shared" si="4"/>
        <v>0</v>
      </c>
      <c r="F32" s="221">
        <v>0</v>
      </c>
      <c r="G32" s="171">
        <f t="shared" si="5"/>
        <v>0</v>
      </c>
    </row>
    <row r="33" spans="1:7" ht="12.75" customHeight="1" x14ac:dyDescent="0.25">
      <c r="A33" s="218"/>
      <c r="B33" s="169" t="s">
        <v>198</v>
      </c>
      <c r="C33" s="218"/>
      <c r="D33" s="219">
        <v>0</v>
      </c>
      <c r="E33" s="169">
        <f t="shared" si="4"/>
        <v>0</v>
      </c>
      <c r="F33" s="221">
        <v>0</v>
      </c>
      <c r="G33" s="171">
        <f t="shared" si="5"/>
        <v>0</v>
      </c>
    </row>
    <row r="34" spans="1:7" ht="12.75" customHeight="1" x14ac:dyDescent="0.25">
      <c r="A34" s="218"/>
      <c r="B34" s="169" t="s">
        <v>198</v>
      </c>
      <c r="C34" s="219"/>
      <c r="D34" s="219">
        <v>0</v>
      </c>
      <c r="E34" s="169">
        <f t="shared" si="4"/>
        <v>0</v>
      </c>
      <c r="F34" s="221">
        <v>0</v>
      </c>
      <c r="G34" s="171">
        <f t="shared" si="5"/>
        <v>0</v>
      </c>
    </row>
    <row r="35" spans="1:7" ht="12.75" customHeight="1" thickBot="1" x14ac:dyDescent="0.3">
      <c r="A35" s="218"/>
      <c r="B35" s="169" t="s">
        <v>198</v>
      </c>
      <c r="C35" s="219"/>
      <c r="D35" s="219">
        <v>0</v>
      </c>
      <c r="E35" s="169">
        <f t="shared" si="4"/>
        <v>0</v>
      </c>
      <c r="F35" s="221">
        <v>0</v>
      </c>
      <c r="G35" s="171">
        <f t="shared" si="5"/>
        <v>0</v>
      </c>
    </row>
    <row r="36" spans="1:7" ht="12.75" customHeight="1" thickBot="1" x14ac:dyDescent="0.3">
      <c r="A36" s="222" t="s">
        <v>238</v>
      </c>
      <c r="B36" s="223"/>
      <c r="C36" s="224"/>
      <c r="D36" s="224"/>
      <c r="E36" s="225">
        <f>SUM(E29:E35)</f>
        <v>0.24</v>
      </c>
      <c r="F36" s="226">
        <f>+G36/E36</f>
        <v>300</v>
      </c>
      <c r="G36" s="227">
        <f>SUM(G29:G35)</f>
        <v>72</v>
      </c>
    </row>
    <row r="37" spans="1:7" ht="12.75" customHeight="1" x14ac:dyDescent="0.25">
      <c r="A37" s="168"/>
      <c r="B37" s="168"/>
      <c r="C37" s="168"/>
      <c r="D37" s="168"/>
      <c r="E37" s="168"/>
      <c r="F37" s="168"/>
      <c r="G37" s="168"/>
    </row>
    <row r="38" spans="1:7" ht="12.75" customHeight="1" x14ac:dyDescent="0.25">
      <c r="A38" s="168"/>
      <c r="B38" s="168"/>
      <c r="C38" s="168"/>
      <c r="D38" s="168"/>
      <c r="E38" s="168"/>
      <c r="F38" s="168"/>
      <c r="G38" s="168"/>
    </row>
    <row r="39" spans="1:7" ht="12.75" customHeight="1" thickBot="1" x14ac:dyDescent="0.3">
      <c r="A39" s="434" t="s">
        <v>239</v>
      </c>
      <c r="B39" s="434"/>
      <c r="C39" s="434"/>
      <c r="D39" s="434"/>
      <c r="E39" s="434"/>
      <c r="F39" s="434"/>
      <c r="G39" s="434"/>
    </row>
    <row r="40" spans="1:7" ht="29.25" customHeight="1" thickBot="1" x14ac:dyDescent="0.3">
      <c r="A40" s="228" t="s">
        <v>412</v>
      </c>
      <c r="B40" s="229" t="s">
        <v>174</v>
      </c>
      <c r="C40" s="229" t="s">
        <v>195</v>
      </c>
      <c r="D40" s="230" t="s">
        <v>196</v>
      </c>
      <c r="E40" s="230" t="s">
        <v>197</v>
      </c>
      <c r="F40" s="229" t="s">
        <v>194</v>
      </c>
      <c r="G40" s="231" t="s">
        <v>414</v>
      </c>
    </row>
    <row r="41" spans="1:7" ht="12.75" customHeight="1" x14ac:dyDescent="0.25">
      <c r="A41" s="218"/>
      <c r="B41" s="234" t="s">
        <v>198</v>
      </c>
      <c r="C41" s="238">
        <v>0</v>
      </c>
      <c r="D41" s="239">
        <v>2</v>
      </c>
      <c r="E41" s="234">
        <f>+D41*C41/2000</f>
        <v>0</v>
      </c>
      <c r="F41" s="240">
        <v>200</v>
      </c>
      <c r="G41" s="199">
        <f>+(E41*F41)</f>
        <v>0</v>
      </c>
    </row>
    <row r="42" spans="1:7" ht="12.75" customHeight="1" x14ac:dyDescent="0.25">
      <c r="A42" s="238"/>
      <c r="B42" s="234" t="s">
        <v>198</v>
      </c>
      <c r="C42" s="238">
        <v>0</v>
      </c>
      <c r="D42" s="239">
        <v>22</v>
      </c>
      <c r="E42" s="234">
        <f t="shared" ref="E42:E47" si="6">+D42*C42/2000</f>
        <v>0</v>
      </c>
      <c r="F42" s="240">
        <v>90</v>
      </c>
      <c r="G42" s="199">
        <f t="shared" ref="G42:G47" si="7">+(E42*F42)</f>
        <v>0</v>
      </c>
    </row>
    <row r="43" spans="1:7" ht="12.75" customHeight="1" x14ac:dyDescent="0.25">
      <c r="A43" s="238"/>
      <c r="B43" s="234" t="s">
        <v>198</v>
      </c>
      <c r="C43" s="238"/>
      <c r="D43" s="239">
        <v>0</v>
      </c>
      <c r="E43" s="234">
        <f t="shared" si="6"/>
        <v>0</v>
      </c>
      <c r="F43" s="240">
        <v>0</v>
      </c>
      <c r="G43" s="199">
        <f t="shared" si="7"/>
        <v>0</v>
      </c>
    </row>
    <row r="44" spans="1:7" ht="12.75" customHeight="1" x14ac:dyDescent="0.25">
      <c r="A44" s="238"/>
      <c r="B44" s="234" t="s">
        <v>198</v>
      </c>
      <c r="C44" s="238"/>
      <c r="D44" s="239">
        <v>0</v>
      </c>
      <c r="E44" s="234">
        <f t="shared" si="6"/>
        <v>0</v>
      </c>
      <c r="F44" s="240">
        <v>0</v>
      </c>
      <c r="G44" s="199">
        <f t="shared" si="7"/>
        <v>0</v>
      </c>
    </row>
    <row r="45" spans="1:7" ht="12.75" customHeight="1" x14ac:dyDescent="0.25">
      <c r="A45" s="238"/>
      <c r="B45" s="234" t="s">
        <v>198</v>
      </c>
      <c r="C45" s="238"/>
      <c r="D45" s="239">
        <v>0</v>
      </c>
      <c r="E45" s="234">
        <f t="shared" si="6"/>
        <v>0</v>
      </c>
      <c r="F45" s="240">
        <v>0</v>
      </c>
      <c r="G45" s="199">
        <f t="shared" si="7"/>
        <v>0</v>
      </c>
    </row>
    <row r="46" spans="1:7" ht="12.75" customHeight="1" x14ac:dyDescent="0.25">
      <c r="A46" s="238"/>
      <c r="B46" s="234" t="s">
        <v>198</v>
      </c>
      <c r="C46" s="239"/>
      <c r="D46" s="239">
        <v>0</v>
      </c>
      <c r="E46" s="234">
        <f t="shared" si="6"/>
        <v>0</v>
      </c>
      <c r="F46" s="240">
        <v>0</v>
      </c>
      <c r="G46" s="199">
        <f t="shared" si="7"/>
        <v>0</v>
      </c>
    </row>
    <row r="47" spans="1:7" ht="12.75" customHeight="1" thickBot="1" x14ac:dyDescent="0.3">
      <c r="A47" s="238"/>
      <c r="B47" s="234" t="s">
        <v>198</v>
      </c>
      <c r="C47" s="239"/>
      <c r="D47" s="239">
        <v>0</v>
      </c>
      <c r="E47" s="234">
        <f t="shared" si="6"/>
        <v>0</v>
      </c>
      <c r="F47" s="240">
        <v>0</v>
      </c>
      <c r="G47" s="199">
        <f t="shared" si="7"/>
        <v>0</v>
      </c>
    </row>
    <row r="48" spans="1:7" ht="12.75" customHeight="1" thickBot="1" x14ac:dyDescent="0.3">
      <c r="A48" s="215" t="s">
        <v>240</v>
      </c>
      <c r="B48" s="216"/>
      <c r="C48" s="217"/>
      <c r="D48" s="217"/>
      <c r="E48" s="235">
        <f>SUM(E41:E47)</f>
        <v>0</v>
      </c>
      <c r="F48" s="236" t="e">
        <f>+G48/E48</f>
        <v>#DIV/0!</v>
      </c>
      <c r="G48" s="237">
        <f>SUM(G41:G47)</f>
        <v>0</v>
      </c>
    </row>
  </sheetData>
  <sheetProtection sheet="1" objects="1" scenarios="1"/>
  <mergeCells count="5">
    <mergeCell ref="A39:G39"/>
    <mergeCell ref="H1:I1"/>
    <mergeCell ref="A2:G2"/>
    <mergeCell ref="A15:G15"/>
    <mergeCell ref="A27:G27"/>
  </mergeCells>
  <phoneticPr fontId="0" type="noConversion"/>
  <hyperlinks>
    <hyperlink ref="H1:I1" location="Main!A53" display="Return To Main"/>
  </hyperlinks>
  <pageMargins left="0.75" right="0.75" top="1" bottom="1" header="0.5" footer="0.5"/>
  <pageSetup scale="6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2:K61"/>
  <sheetViews>
    <sheetView zoomScaleNormal="100" workbookViewId="0">
      <selection activeCell="I14" sqref="I14"/>
    </sheetView>
  </sheetViews>
  <sheetFormatPr defaultColWidth="8.88671875" defaultRowHeight="12.75" customHeight="1" x14ac:dyDescent="0.25"/>
  <cols>
    <col min="1" max="1" width="28.33203125" style="49" customWidth="1"/>
    <col min="2" max="2" width="0" style="49" hidden="1" customWidth="1"/>
    <col min="3" max="3" width="30.5546875" style="49" hidden="1" customWidth="1"/>
    <col min="4" max="4" width="8.88671875" style="49" customWidth="1"/>
    <col min="5" max="5" width="11.44140625" style="49" customWidth="1"/>
    <col min="6" max="6" width="8.88671875" style="49" customWidth="1"/>
    <col min="7" max="7" width="13.88671875" style="49" customWidth="1"/>
    <col min="8" max="16384" width="8.88671875" style="49"/>
  </cols>
  <sheetData>
    <row r="2" spans="1:11" ht="12.75" customHeight="1" x14ac:dyDescent="0.25">
      <c r="H2" s="436" t="s">
        <v>262</v>
      </c>
      <c r="I2" s="436"/>
      <c r="J2" s="436"/>
      <c r="K2" s="436"/>
    </row>
    <row r="3" spans="1:11" ht="12.75" customHeight="1" thickBot="1" x14ac:dyDescent="0.3">
      <c r="A3" s="435" t="s">
        <v>210</v>
      </c>
      <c r="B3" s="435"/>
      <c r="C3" s="435"/>
      <c r="D3" s="435"/>
      <c r="E3" s="435"/>
      <c r="F3" s="435"/>
      <c r="G3" s="435"/>
    </row>
    <row r="4" spans="1:11" ht="12.75" customHeight="1" thickBot="1" x14ac:dyDescent="0.3">
      <c r="A4" s="172" t="s">
        <v>173</v>
      </c>
      <c r="B4" s="173"/>
      <c r="C4" s="173" t="s">
        <v>173</v>
      </c>
      <c r="D4" s="173" t="s">
        <v>174</v>
      </c>
      <c r="E4" s="174" t="s">
        <v>179</v>
      </c>
      <c r="F4" s="173" t="s">
        <v>180</v>
      </c>
      <c r="G4" s="204" t="s">
        <v>241</v>
      </c>
    </row>
    <row r="5" spans="1:11" ht="12.75" customHeight="1" x14ac:dyDescent="0.25">
      <c r="A5" s="233" t="s">
        <v>254</v>
      </c>
      <c r="B5" s="233">
        <v>2</v>
      </c>
      <c r="C5" s="233" t="e">
        <f>+IF(B5=1,#REF!,IF(B5=2,#REF!,IF(B5=3,#REF!,IF(B5=4,#REF!,IF(B5=5,#REF!)))))</f>
        <v>#REF!</v>
      </c>
      <c r="D5" s="233" t="s">
        <v>178</v>
      </c>
      <c r="E5" s="239">
        <v>1</v>
      </c>
      <c r="F5" s="240">
        <v>4</v>
      </c>
      <c r="G5" s="199">
        <f t="shared" ref="G5:G10" si="0">+F5*E5</f>
        <v>4</v>
      </c>
      <c r="H5" s="50"/>
    </row>
    <row r="6" spans="1:11" ht="12.75" customHeight="1" x14ac:dyDescent="0.25">
      <c r="A6" s="233" t="s">
        <v>255</v>
      </c>
      <c r="B6" s="233">
        <v>1</v>
      </c>
      <c r="C6" s="233" t="e">
        <f>+IF(B6=1,#REF!,IF(B6=2,#REF!,IF(B6=3,#REF!,IF(B6=4,#REF!,IF(B6=5,#REF!)))))</f>
        <v>#REF!</v>
      </c>
      <c r="D6" s="233" t="s">
        <v>178</v>
      </c>
      <c r="E6" s="239">
        <v>1</v>
      </c>
      <c r="F6" s="240">
        <v>3</v>
      </c>
      <c r="G6" s="199">
        <f t="shared" si="0"/>
        <v>3</v>
      </c>
      <c r="H6" s="50"/>
    </row>
    <row r="7" spans="1:11" ht="12.75" customHeight="1" x14ac:dyDescent="0.25">
      <c r="A7" s="233" t="s">
        <v>256</v>
      </c>
      <c r="B7" s="233">
        <v>3</v>
      </c>
      <c r="C7" s="233" t="e">
        <f>+IF(B7=1,#REF!,IF(B7=2,#REF!,IF(B7=3,#REF!,IF(B7=4,#REF!,IF(B7=5,#REF!)))))</f>
        <v>#REF!</v>
      </c>
      <c r="D7" s="233" t="s">
        <v>178</v>
      </c>
      <c r="E7" s="239">
        <v>2</v>
      </c>
      <c r="F7" s="240">
        <v>2</v>
      </c>
      <c r="G7" s="199">
        <f t="shared" si="0"/>
        <v>4</v>
      </c>
      <c r="H7" s="50"/>
    </row>
    <row r="8" spans="1:11" ht="12.75" customHeight="1" x14ac:dyDescent="0.25">
      <c r="A8" s="233" t="s">
        <v>257</v>
      </c>
      <c r="B8" s="233">
        <v>4</v>
      </c>
      <c r="C8" s="233" t="e">
        <f>+IF(B8=1,#REF!,IF(B8=2,#REF!,IF(B8=3,#REF!,IF(B8=4,#REF!,IF(B8=5,#REF!)))))</f>
        <v>#REF!</v>
      </c>
      <c r="D8" s="233" t="s">
        <v>178</v>
      </c>
      <c r="E8" s="239">
        <v>2</v>
      </c>
      <c r="F8" s="240">
        <v>0.5</v>
      </c>
      <c r="G8" s="199">
        <f t="shared" si="0"/>
        <v>1</v>
      </c>
      <c r="H8" s="50"/>
    </row>
    <row r="9" spans="1:11" ht="12.75" customHeight="1" x14ac:dyDescent="0.25">
      <c r="A9" s="233" t="s">
        <v>190</v>
      </c>
      <c r="B9" s="233">
        <v>5</v>
      </c>
      <c r="C9" s="233" t="e">
        <f>+IF(B9=1,#REF!,IF(B9=2,#REF!,IF(B9=3,#REF!,IF(B9=4,#REF!,IF(B9=5,#REF!)))))</f>
        <v>#REF!</v>
      </c>
      <c r="D9" s="233" t="s">
        <v>178</v>
      </c>
      <c r="E9" s="239">
        <v>1</v>
      </c>
      <c r="F9" s="240">
        <v>2</v>
      </c>
      <c r="G9" s="199">
        <f t="shared" si="0"/>
        <v>2</v>
      </c>
      <c r="H9" s="50"/>
    </row>
    <row r="10" spans="1:11" ht="12.75" customHeight="1" thickBot="1" x14ac:dyDescent="0.3">
      <c r="A10" s="233" t="s">
        <v>176</v>
      </c>
      <c r="B10" s="233">
        <v>5</v>
      </c>
      <c r="C10" s="233" t="e">
        <f>+IF(B10=1,#REF!,IF(B10=2,#REF!,IF(B10=3,#REF!,IF(B10=4,#REF!,IF(B10=5,#REF!)))))</f>
        <v>#REF!</v>
      </c>
      <c r="D10" s="233" t="s">
        <v>178</v>
      </c>
      <c r="E10" s="239">
        <v>1</v>
      </c>
      <c r="F10" s="240">
        <v>0</v>
      </c>
      <c r="G10" s="199">
        <f t="shared" si="0"/>
        <v>0</v>
      </c>
      <c r="H10" s="50"/>
    </row>
    <row r="11" spans="1:11" ht="12.75" customHeight="1" thickBot="1" x14ac:dyDescent="0.3">
      <c r="A11" s="175" t="s">
        <v>242</v>
      </c>
      <c r="B11" s="176"/>
      <c r="C11" s="176"/>
      <c r="D11" s="176"/>
      <c r="E11" s="176"/>
      <c r="F11" s="176"/>
      <c r="G11" s="177">
        <f>+SUM(G5:G9)</f>
        <v>14</v>
      </c>
    </row>
    <row r="12" spans="1:11" ht="12.75" customHeight="1" x14ac:dyDescent="0.25">
      <c r="A12" s="233"/>
      <c r="B12" s="233"/>
      <c r="C12" s="233"/>
      <c r="D12" s="233"/>
      <c r="E12" s="233"/>
      <c r="F12" s="233"/>
      <c r="G12" s="233"/>
    </row>
    <row r="13" spans="1:11" ht="12.75" customHeight="1" x14ac:dyDescent="0.25">
      <c r="A13" s="435"/>
      <c r="B13" s="435"/>
      <c r="C13" s="435"/>
      <c r="D13" s="435"/>
      <c r="E13" s="435"/>
      <c r="F13" s="435"/>
      <c r="G13" s="435"/>
    </row>
    <row r="14" spans="1:11" ht="12.75" customHeight="1" thickBot="1" x14ac:dyDescent="0.3">
      <c r="A14" s="435" t="s">
        <v>243</v>
      </c>
      <c r="B14" s="435"/>
      <c r="C14" s="435"/>
      <c r="D14" s="435"/>
      <c r="E14" s="435"/>
      <c r="F14" s="435"/>
      <c r="G14" s="435"/>
    </row>
    <row r="15" spans="1:11" ht="12.75" customHeight="1" thickBot="1" x14ac:dyDescent="0.3">
      <c r="A15" s="172" t="s">
        <v>173</v>
      </c>
      <c r="B15" s="173"/>
      <c r="C15" s="173" t="s">
        <v>173</v>
      </c>
      <c r="D15" s="173" t="s">
        <v>174</v>
      </c>
      <c r="E15" s="174" t="s">
        <v>179</v>
      </c>
      <c r="F15" s="173" t="s">
        <v>180</v>
      </c>
      <c r="G15" s="204" t="s">
        <v>241</v>
      </c>
    </row>
    <row r="16" spans="1:11" ht="12.75" customHeight="1" x14ac:dyDescent="0.25">
      <c r="A16" s="233" t="s">
        <v>259</v>
      </c>
      <c r="B16" s="233">
        <v>2</v>
      </c>
      <c r="C16" s="233" t="e">
        <f>+IF(B16=1,#REF!,IF(B16=2,#REF!,IF(B16=3,#REF!,IF(B16=4,#REF!,IF(B16=5,#REF!)))))</f>
        <v>#REF!</v>
      </c>
      <c r="D16" s="233" t="s">
        <v>208</v>
      </c>
      <c r="E16" s="239">
        <v>2</v>
      </c>
      <c r="F16" s="240">
        <v>2</v>
      </c>
      <c r="G16" s="199">
        <f>+F16*E16</f>
        <v>4</v>
      </c>
    </row>
    <row r="17" spans="1:7" ht="12.75" customHeight="1" x14ac:dyDescent="0.25">
      <c r="A17" s="233" t="s">
        <v>260</v>
      </c>
      <c r="B17" s="233">
        <v>1</v>
      </c>
      <c r="C17" s="233" t="e">
        <f>+IF(B17=1,#REF!,IF(B17=2,#REF!,IF(B17=3,#REF!,IF(B17=4,#REF!,IF(B17=5,#REF!)))))</f>
        <v>#REF!</v>
      </c>
      <c r="D17" s="233" t="s">
        <v>208</v>
      </c>
      <c r="E17" s="239">
        <v>0</v>
      </c>
      <c r="F17" s="240">
        <v>8</v>
      </c>
      <c r="G17" s="199">
        <f>+F17*E17</f>
        <v>0</v>
      </c>
    </row>
    <row r="18" spans="1:7" ht="12.75" customHeight="1" x14ac:dyDescent="0.25">
      <c r="A18" s="233"/>
      <c r="B18" s="233">
        <v>3</v>
      </c>
      <c r="C18" s="233" t="e">
        <f>+IF(B18=1,#REF!,IF(B18=2,#REF!,IF(B18=3,#REF!,IF(B18=4,#REF!,IF(B18=5,#REF!)))))</f>
        <v>#REF!</v>
      </c>
      <c r="D18" s="233" t="s">
        <v>208</v>
      </c>
      <c r="E18" s="239">
        <v>0</v>
      </c>
      <c r="F18" s="240">
        <v>1</v>
      </c>
      <c r="G18" s="199">
        <f>+F18*E18</f>
        <v>0</v>
      </c>
    </row>
    <row r="19" spans="1:7" ht="12.75" customHeight="1" x14ac:dyDescent="0.25">
      <c r="A19" s="233"/>
      <c r="B19" s="233">
        <v>4</v>
      </c>
      <c r="C19" s="233" t="e">
        <f>+IF(B19=1,#REF!,IF(B19=2,#REF!,IF(B19=3,#REF!,IF(B19=4,#REF!,IF(B19=5,#REF!)))))</f>
        <v>#REF!</v>
      </c>
      <c r="D19" s="233" t="s">
        <v>208</v>
      </c>
      <c r="E19" s="239">
        <v>1</v>
      </c>
      <c r="F19" s="240">
        <v>4</v>
      </c>
      <c r="G19" s="199">
        <f>+F19*E19</f>
        <v>4</v>
      </c>
    </row>
    <row r="20" spans="1:7" ht="12.75" customHeight="1" thickBot="1" x14ac:dyDescent="0.3">
      <c r="A20" s="233"/>
      <c r="B20" s="233">
        <v>5</v>
      </c>
      <c r="C20" s="233" t="e">
        <f>+IF(B20=1,#REF!,IF(B20=2,#REF!,IF(B20=3,#REF!,IF(B20=4,#REF!,IF(B20=5,#REF!)))))</f>
        <v>#REF!</v>
      </c>
      <c r="D20" s="233" t="s">
        <v>208</v>
      </c>
      <c r="E20" s="239"/>
      <c r="F20" s="240"/>
      <c r="G20" s="199">
        <f>+F20*E20</f>
        <v>0</v>
      </c>
    </row>
    <row r="21" spans="1:7" ht="12.75" customHeight="1" thickBot="1" x14ac:dyDescent="0.3">
      <c r="A21" s="175" t="s">
        <v>246</v>
      </c>
      <c r="B21" s="176"/>
      <c r="C21" s="176"/>
      <c r="D21" s="176"/>
      <c r="E21" s="176"/>
      <c r="F21" s="176"/>
      <c r="G21" s="177">
        <f>+SUM(G16:G20)</f>
        <v>8</v>
      </c>
    </row>
    <row r="22" spans="1:7" ht="12.75" customHeight="1" x14ac:dyDescent="0.25">
      <c r="A22" s="233"/>
      <c r="B22" s="233"/>
      <c r="C22" s="233"/>
      <c r="D22" s="233"/>
      <c r="E22" s="233"/>
      <c r="F22" s="233"/>
      <c r="G22" s="233"/>
    </row>
    <row r="23" spans="1:7" ht="12.75" customHeight="1" x14ac:dyDescent="0.25">
      <c r="A23" s="233"/>
      <c r="B23" s="233"/>
      <c r="C23" s="233"/>
      <c r="D23" s="233"/>
      <c r="E23" s="233"/>
      <c r="F23" s="233"/>
      <c r="G23" s="233"/>
    </row>
    <row r="24" spans="1:7" ht="12.75" customHeight="1" thickBot="1" x14ac:dyDescent="0.3">
      <c r="A24" s="435" t="s">
        <v>244</v>
      </c>
      <c r="B24" s="435"/>
      <c r="C24" s="435"/>
      <c r="D24" s="435"/>
      <c r="E24" s="435"/>
      <c r="F24" s="435"/>
      <c r="G24" s="435"/>
    </row>
    <row r="25" spans="1:7" ht="12.75" customHeight="1" thickBot="1" x14ac:dyDescent="0.3">
      <c r="A25" s="172" t="s">
        <v>173</v>
      </c>
      <c r="B25" s="173"/>
      <c r="C25" s="173" t="s">
        <v>173</v>
      </c>
      <c r="D25" s="173" t="s">
        <v>174</v>
      </c>
      <c r="E25" s="174" t="s">
        <v>179</v>
      </c>
      <c r="F25" s="173" t="s">
        <v>180</v>
      </c>
      <c r="G25" s="204" t="s">
        <v>241</v>
      </c>
    </row>
    <row r="26" spans="1:7" ht="12.75" customHeight="1" x14ac:dyDescent="0.25">
      <c r="A26" s="233" t="s">
        <v>254</v>
      </c>
      <c r="B26" s="233">
        <v>2</v>
      </c>
      <c r="C26" s="233" t="e">
        <f>+IF(B26=1,#REF!,IF(B26=2,#REF!,IF(B26=3,#REF!,IF(B26=4,#REF!,IF(B26=5,#REF!)))))</f>
        <v>#REF!</v>
      </c>
      <c r="D26" s="233" t="s">
        <v>192</v>
      </c>
      <c r="E26" s="239">
        <v>1</v>
      </c>
      <c r="F26" s="240">
        <v>4</v>
      </c>
      <c r="G26" s="199">
        <f>(+F26*E26*bulls)/cows</f>
        <v>0.12</v>
      </c>
    </row>
    <row r="27" spans="1:7" ht="12.75" customHeight="1" x14ac:dyDescent="0.25">
      <c r="A27" s="233" t="s">
        <v>250</v>
      </c>
      <c r="B27" s="233">
        <v>1</v>
      </c>
      <c r="C27" s="233" t="e">
        <f>+IF(B27=1,#REF!,IF(B27=2,#REF!,IF(B27=3,#REF!,IF(B27=4,#REF!,IF(B27=5,#REF!)))))</f>
        <v>#REF!</v>
      </c>
      <c r="D27" s="233" t="s">
        <v>192</v>
      </c>
      <c r="E27" s="239">
        <v>1</v>
      </c>
      <c r="F27" s="240">
        <v>35</v>
      </c>
      <c r="G27" s="199">
        <f>(+F27*E27*bulls)/cows</f>
        <v>1.05</v>
      </c>
    </row>
    <row r="28" spans="1:7" ht="12.75" customHeight="1" x14ac:dyDescent="0.25">
      <c r="A28" s="233" t="s">
        <v>255</v>
      </c>
      <c r="B28" s="233">
        <v>3</v>
      </c>
      <c r="C28" s="233" t="e">
        <f>+IF(B28=1,#REF!,IF(B28=2,#REF!,IF(B28=3,#REF!,IF(B28=4,#REF!,IF(B28=5,#REF!)))))</f>
        <v>#REF!</v>
      </c>
      <c r="D28" s="233" t="s">
        <v>192</v>
      </c>
      <c r="E28" s="239">
        <v>2</v>
      </c>
      <c r="F28" s="240">
        <v>3</v>
      </c>
      <c r="G28" s="199">
        <f>(+F28*E28*bulls)/cows</f>
        <v>0.18</v>
      </c>
    </row>
    <row r="29" spans="1:7" ht="12.75" customHeight="1" x14ac:dyDescent="0.25">
      <c r="A29" s="233" t="s">
        <v>256</v>
      </c>
      <c r="B29" s="233">
        <v>4</v>
      </c>
      <c r="C29" s="233" t="e">
        <f>+IF(B29=1,#REF!,IF(B29=2,#REF!,IF(B29=3,#REF!,IF(B29=4,#REF!,IF(B29=5,#REF!)))))</f>
        <v>#REF!</v>
      </c>
      <c r="D29" s="233" t="s">
        <v>192</v>
      </c>
      <c r="E29" s="239">
        <v>1</v>
      </c>
      <c r="F29" s="240">
        <v>2</v>
      </c>
      <c r="G29" s="199">
        <f>(+F29*E29*bulls)/cows</f>
        <v>0.06</v>
      </c>
    </row>
    <row r="30" spans="1:7" ht="12.75" customHeight="1" thickBot="1" x14ac:dyDescent="0.3">
      <c r="A30" s="233"/>
      <c r="B30" s="233">
        <v>5</v>
      </c>
      <c r="C30" s="233" t="e">
        <f>+IF(B30=1,#REF!,IF(B30=2,#REF!,IF(B30=3,#REF!,IF(B30=4,#REF!,IF(B30=5,#REF!)))))</f>
        <v>#REF!</v>
      </c>
      <c r="D30" s="233" t="s">
        <v>192</v>
      </c>
      <c r="E30" s="239"/>
      <c r="F30" s="240"/>
      <c r="G30" s="199">
        <f>(+F30*E30*bulls)/cows</f>
        <v>0</v>
      </c>
    </row>
    <row r="31" spans="1:7" ht="12.75" customHeight="1" thickBot="1" x14ac:dyDescent="0.3">
      <c r="A31" s="175" t="s">
        <v>247</v>
      </c>
      <c r="B31" s="176"/>
      <c r="C31" s="176"/>
      <c r="D31" s="176"/>
      <c r="E31" s="176"/>
      <c r="F31" s="176"/>
      <c r="G31" s="177">
        <f>+SUM(G26:G30)</f>
        <v>1.41</v>
      </c>
    </row>
    <row r="32" spans="1:7" ht="12.75" customHeight="1" x14ac:dyDescent="0.25">
      <c r="A32" s="233"/>
      <c r="B32" s="233"/>
      <c r="C32" s="233"/>
      <c r="D32" s="233"/>
      <c r="E32" s="233"/>
      <c r="F32" s="233"/>
      <c r="G32" s="233"/>
    </row>
    <row r="33" spans="1:7" ht="12.75" customHeight="1" thickBot="1" x14ac:dyDescent="0.3">
      <c r="A33" s="435" t="s">
        <v>245</v>
      </c>
      <c r="B33" s="435"/>
      <c r="C33" s="435"/>
      <c r="D33" s="435"/>
      <c r="E33" s="435"/>
      <c r="F33" s="435"/>
      <c r="G33" s="435"/>
    </row>
    <row r="34" spans="1:7" ht="12.75" customHeight="1" thickBot="1" x14ac:dyDescent="0.3">
      <c r="A34" s="172" t="s">
        <v>173</v>
      </c>
      <c r="B34" s="173"/>
      <c r="C34" s="173" t="s">
        <v>173</v>
      </c>
      <c r="D34" s="173" t="s">
        <v>174</v>
      </c>
      <c r="E34" s="174" t="s">
        <v>179</v>
      </c>
      <c r="F34" s="173" t="s">
        <v>180</v>
      </c>
      <c r="G34" s="204" t="s">
        <v>241</v>
      </c>
    </row>
    <row r="35" spans="1:7" ht="12.75" customHeight="1" x14ac:dyDescent="0.25">
      <c r="A35" s="233" t="s">
        <v>253</v>
      </c>
      <c r="B35" s="233">
        <v>2</v>
      </c>
      <c r="C35" s="233" t="e">
        <f>+IF(B35=1,#REF!,IF(B35=2,#REF!,IF(B35=3,#REF!,IF(B35=4,#REF!,IF(B35=5,#REF!)))))</f>
        <v>#REF!</v>
      </c>
      <c r="D35" s="233" t="s">
        <v>177</v>
      </c>
      <c r="E35" s="239">
        <v>0</v>
      </c>
      <c r="F35" s="240">
        <v>1</v>
      </c>
      <c r="G35" s="199">
        <f>+F35*E35</f>
        <v>0</v>
      </c>
    </row>
    <row r="36" spans="1:7" ht="12.75" customHeight="1" x14ac:dyDescent="0.25">
      <c r="A36" s="233" t="s">
        <v>258</v>
      </c>
      <c r="B36" s="233">
        <v>1</v>
      </c>
      <c r="C36" s="233" t="e">
        <f>+IF(B36=1,#REF!,IF(B36=2,#REF!,IF(B36=3,#REF!,IF(B36=4,#REF!,IF(B36=5,#REF!)))))</f>
        <v>#REF!</v>
      </c>
      <c r="D36" s="233" t="s">
        <v>177</v>
      </c>
      <c r="E36" s="239">
        <v>2</v>
      </c>
      <c r="F36" s="240">
        <v>3</v>
      </c>
      <c r="G36" s="199">
        <f>+F36*E36</f>
        <v>6</v>
      </c>
    </row>
    <row r="37" spans="1:7" ht="12.75" customHeight="1" x14ac:dyDescent="0.25">
      <c r="A37" s="233"/>
      <c r="B37" s="233">
        <v>3</v>
      </c>
      <c r="C37" s="233" t="e">
        <f>+IF(B37=1,#REF!,IF(B37=2,#REF!,IF(B37=3,#REF!,IF(B37=4,#REF!,IF(B37=5,#REF!)))))</f>
        <v>#REF!</v>
      </c>
      <c r="D37" s="233" t="s">
        <v>177</v>
      </c>
      <c r="E37" s="239">
        <v>0</v>
      </c>
      <c r="F37" s="240">
        <v>1</v>
      </c>
      <c r="G37" s="199">
        <f>+F37*E37</f>
        <v>0</v>
      </c>
    </row>
    <row r="38" spans="1:7" ht="12.75" customHeight="1" x14ac:dyDescent="0.25">
      <c r="A38" s="233"/>
      <c r="B38" s="233">
        <v>4</v>
      </c>
      <c r="C38" s="233" t="e">
        <f>+IF(B38=1,#REF!,IF(B38=2,#REF!,IF(B38=3,#REF!,IF(B38=4,#REF!,IF(B38=5,#REF!)))))</f>
        <v>#REF!</v>
      </c>
      <c r="D38" s="233" t="s">
        <v>177</v>
      </c>
      <c r="E38" s="239">
        <v>0</v>
      </c>
      <c r="F38" s="240">
        <v>4</v>
      </c>
      <c r="G38" s="199">
        <f>+F38*E38</f>
        <v>0</v>
      </c>
    </row>
    <row r="39" spans="1:7" ht="12.75" customHeight="1" thickBot="1" x14ac:dyDescent="0.3">
      <c r="A39" s="233"/>
      <c r="B39" s="233">
        <v>5</v>
      </c>
      <c r="C39" s="233" t="e">
        <f>+IF(B39=1,#REF!,IF(B39=2,#REF!,IF(B39=3,#REF!,IF(B39=4,#REF!,IF(B39=5,#REF!)))))</f>
        <v>#REF!</v>
      </c>
      <c r="D39" s="233" t="s">
        <v>177</v>
      </c>
      <c r="E39" s="239"/>
      <c r="F39" s="240"/>
      <c r="G39" s="199">
        <f>+F39*E39</f>
        <v>0</v>
      </c>
    </row>
    <row r="40" spans="1:7" ht="12.75" customHeight="1" thickBot="1" x14ac:dyDescent="0.3">
      <c r="A40" s="175" t="s">
        <v>248</v>
      </c>
      <c r="B40" s="176"/>
      <c r="C40" s="176"/>
      <c r="D40" s="176"/>
      <c r="E40" s="176"/>
      <c r="F40" s="176"/>
      <c r="G40" s="177">
        <f>+SUM(G35:G39)</f>
        <v>6</v>
      </c>
    </row>
    <row r="41" spans="1:7" ht="12.75" customHeight="1" x14ac:dyDescent="0.25">
      <c r="A41" s="241"/>
      <c r="B41" s="241"/>
      <c r="C41" s="241"/>
      <c r="D41" s="241"/>
      <c r="E41" s="241"/>
      <c r="F41" s="241"/>
      <c r="G41" s="241"/>
    </row>
    <row r="42" spans="1:7" ht="12.75" customHeight="1" x14ac:dyDescent="0.25">
      <c r="A42" s="241"/>
      <c r="B42" s="241"/>
      <c r="C42" s="241"/>
      <c r="D42" s="241"/>
      <c r="E42" s="241"/>
      <c r="F42" s="241"/>
      <c r="G42" s="241"/>
    </row>
    <row r="43" spans="1:7" ht="12.75" customHeight="1" x14ac:dyDescent="0.25">
      <c r="A43" s="241"/>
      <c r="B43" s="241"/>
      <c r="C43" s="241"/>
      <c r="D43" s="241"/>
      <c r="E43" s="241"/>
      <c r="F43" s="241"/>
      <c r="G43" s="241"/>
    </row>
    <row r="44" spans="1:7" ht="12.75" customHeight="1" x14ac:dyDescent="0.25">
      <c r="A44" s="241"/>
      <c r="B44" s="241"/>
      <c r="C44" s="241"/>
      <c r="D44" s="241"/>
      <c r="E44" s="241"/>
      <c r="F44" s="241"/>
      <c r="G44" s="241"/>
    </row>
    <row r="45" spans="1:7" ht="12.75" customHeight="1" x14ac:dyDescent="0.25">
      <c r="A45" s="241"/>
      <c r="B45" s="241"/>
      <c r="C45" s="241"/>
      <c r="D45" s="241"/>
      <c r="E45" s="241"/>
      <c r="F45" s="241"/>
      <c r="G45" s="241"/>
    </row>
    <row r="46" spans="1:7" ht="12.75" customHeight="1" x14ac:dyDescent="0.25">
      <c r="A46" s="241"/>
      <c r="B46" s="241"/>
      <c r="C46" s="241"/>
      <c r="D46" s="241"/>
      <c r="E46" s="241"/>
      <c r="F46" s="241"/>
      <c r="G46" s="241"/>
    </row>
    <row r="47" spans="1:7" ht="12.75" customHeight="1" x14ac:dyDescent="0.25">
      <c r="A47" s="241"/>
      <c r="B47" s="241"/>
      <c r="C47" s="241"/>
      <c r="D47" s="241"/>
      <c r="E47" s="241"/>
      <c r="F47" s="241"/>
      <c r="G47" s="241"/>
    </row>
    <row r="48" spans="1:7" ht="12.75" customHeight="1" x14ac:dyDescent="0.25">
      <c r="A48" s="241"/>
      <c r="B48" s="241"/>
      <c r="C48" s="241"/>
      <c r="D48" s="241"/>
      <c r="E48" s="241"/>
      <c r="F48" s="241"/>
      <c r="G48" s="241"/>
    </row>
    <row r="49" spans="1:7" ht="12.75" customHeight="1" x14ac:dyDescent="0.25">
      <c r="A49" s="241"/>
      <c r="B49" s="241"/>
      <c r="C49" s="241"/>
      <c r="D49" s="241"/>
      <c r="E49" s="241"/>
      <c r="F49" s="241"/>
      <c r="G49" s="241"/>
    </row>
    <row r="50" spans="1:7" ht="12.75" customHeight="1" x14ac:dyDescent="0.25">
      <c r="A50" s="241"/>
      <c r="B50" s="241"/>
      <c r="C50" s="241"/>
      <c r="D50" s="241"/>
      <c r="E50" s="241"/>
      <c r="F50" s="241"/>
      <c r="G50" s="241"/>
    </row>
    <row r="51" spans="1:7" ht="12.75" customHeight="1" x14ac:dyDescent="0.25">
      <c r="A51" s="241"/>
      <c r="B51" s="241"/>
      <c r="C51" s="241"/>
      <c r="D51" s="241"/>
      <c r="E51" s="241"/>
      <c r="F51" s="241"/>
      <c r="G51" s="241"/>
    </row>
    <row r="52" spans="1:7" ht="12.75" customHeight="1" x14ac:dyDescent="0.25">
      <c r="A52" s="241"/>
      <c r="B52" s="241"/>
      <c r="C52" s="241"/>
      <c r="D52" s="241"/>
      <c r="E52" s="241"/>
      <c r="F52" s="241"/>
      <c r="G52" s="241"/>
    </row>
    <row r="53" spans="1:7" ht="12.75" customHeight="1" x14ac:dyDescent="0.25">
      <c r="A53" s="241"/>
      <c r="B53" s="241"/>
      <c r="C53" s="241"/>
      <c r="D53" s="241"/>
      <c r="E53" s="241"/>
      <c r="F53" s="241"/>
      <c r="G53" s="241"/>
    </row>
    <row r="54" spans="1:7" ht="12.75" customHeight="1" x14ac:dyDescent="0.25">
      <c r="A54" s="241"/>
      <c r="B54" s="241"/>
      <c r="C54" s="241"/>
      <c r="D54" s="241"/>
      <c r="E54" s="241"/>
      <c r="F54" s="241"/>
      <c r="G54" s="241"/>
    </row>
    <row r="55" spans="1:7" ht="12.75" customHeight="1" x14ac:dyDescent="0.25">
      <c r="A55" s="241"/>
      <c r="B55" s="241"/>
      <c r="C55" s="241"/>
      <c r="D55" s="241"/>
      <c r="E55" s="241"/>
      <c r="F55" s="241"/>
      <c r="G55" s="241"/>
    </row>
    <row r="56" spans="1:7" ht="12.75" customHeight="1" x14ac:dyDescent="0.25">
      <c r="A56" s="241"/>
      <c r="B56" s="241"/>
      <c r="C56" s="241"/>
      <c r="D56" s="241"/>
      <c r="E56" s="241"/>
      <c r="F56" s="241"/>
      <c r="G56" s="241"/>
    </row>
    <row r="57" spans="1:7" ht="12.75" customHeight="1" x14ac:dyDescent="0.25">
      <c r="A57" s="241"/>
      <c r="B57" s="241"/>
      <c r="C57" s="241"/>
      <c r="D57" s="241"/>
      <c r="E57" s="241"/>
      <c r="F57" s="241"/>
      <c r="G57" s="241"/>
    </row>
    <row r="58" spans="1:7" ht="12.75" customHeight="1" x14ac:dyDescent="0.25">
      <c r="A58" s="241"/>
      <c r="B58" s="241"/>
      <c r="C58" s="241"/>
      <c r="D58" s="241"/>
      <c r="E58" s="241"/>
      <c r="F58" s="241"/>
      <c r="G58" s="241"/>
    </row>
    <row r="59" spans="1:7" ht="12.75" customHeight="1" x14ac:dyDescent="0.25">
      <c r="A59" s="241"/>
      <c r="B59" s="241"/>
      <c r="C59" s="241"/>
      <c r="D59" s="241"/>
      <c r="E59" s="241"/>
      <c r="F59" s="241"/>
      <c r="G59" s="241"/>
    </row>
    <row r="60" spans="1:7" ht="12.75" customHeight="1" x14ac:dyDescent="0.25">
      <c r="A60" s="241"/>
      <c r="B60" s="241"/>
      <c r="C60" s="241"/>
      <c r="D60" s="241"/>
      <c r="E60" s="241"/>
      <c r="F60" s="241"/>
      <c r="G60" s="241"/>
    </row>
    <row r="61" spans="1:7" ht="12.75" customHeight="1" x14ac:dyDescent="0.25">
      <c r="A61" s="241"/>
      <c r="B61" s="241"/>
      <c r="C61" s="241"/>
      <c r="D61" s="241"/>
      <c r="E61" s="241"/>
      <c r="F61" s="241"/>
      <c r="G61" s="241"/>
    </row>
  </sheetData>
  <sheetProtection sheet="1" objects="1" scenarios="1"/>
  <mergeCells count="6">
    <mergeCell ref="A33:G33"/>
    <mergeCell ref="H2:K2"/>
    <mergeCell ref="A3:G3"/>
    <mergeCell ref="A13:G13"/>
    <mergeCell ref="A14:G14"/>
    <mergeCell ref="A24:G24"/>
  </mergeCells>
  <phoneticPr fontId="0" type="noConversion"/>
  <hyperlinks>
    <hyperlink ref="H2:K2" location="Main!A59" display="Return to Main Page"/>
  </hyperlink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103</vt:i4>
      </vt:variant>
    </vt:vector>
  </HeadingPairs>
  <TitlesOfParts>
    <vt:vector size="123" baseType="lpstr">
      <vt:lpstr>Instructions</vt:lpstr>
      <vt:lpstr>Main</vt:lpstr>
      <vt:lpstr>Bermuda</vt:lpstr>
      <vt:lpstr>Bahia</vt:lpstr>
      <vt:lpstr>Winter_Grazing</vt:lpstr>
      <vt:lpstr>Summer_Annual</vt:lpstr>
      <vt:lpstr>Hay</vt:lpstr>
      <vt:lpstr>Feed</vt:lpstr>
      <vt:lpstr>Vet</vt:lpstr>
      <vt:lpstr>Auction</vt:lpstr>
      <vt:lpstr>Lvstk_Facil</vt:lpstr>
      <vt:lpstr>Equipment</vt:lpstr>
      <vt:lpstr>Fixed_Cost</vt:lpstr>
      <vt:lpstr>Fixed_Payment</vt:lpstr>
      <vt:lpstr>J</vt:lpstr>
      <vt:lpstr>K</vt:lpstr>
      <vt:lpstr>L</vt:lpstr>
      <vt:lpstr>M</vt:lpstr>
      <vt:lpstr>N</vt:lpstr>
      <vt:lpstr>O</vt:lpstr>
      <vt:lpstr>_GPH7</vt:lpstr>
      <vt:lpstr>_GPH72</vt:lpstr>
      <vt:lpstr>_OUT4</vt:lpstr>
      <vt:lpstr>_OUT5</vt:lpstr>
      <vt:lpstr>ADP</vt:lpstr>
      <vt:lpstr>AFC</vt:lpstr>
      <vt:lpstr>ALLDATA</vt:lpstr>
      <vt:lpstr>auction_print</vt:lpstr>
      <vt:lpstr>Lvstk_Facil!AVG_INV</vt:lpstr>
      <vt:lpstr>Summer_Annual!bahia</vt:lpstr>
      <vt:lpstr>bahia</vt:lpstr>
      <vt:lpstr>bahiapasture_print</vt:lpstr>
      <vt:lpstr>Bahia!bermuda</vt:lpstr>
      <vt:lpstr>bermuda</vt:lpstr>
      <vt:lpstr>bermudapasture_print</vt:lpstr>
      <vt:lpstr>breakeven_returns</vt:lpstr>
      <vt:lpstr>bud_type</vt:lpstr>
      <vt:lpstr>budgetnumbers</vt:lpstr>
      <vt:lpstr>Lvstk_Facil!build_dep</vt:lpstr>
      <vt:lpstr>bull_cull</vt:lpstr>
      <vt:lpstr>bull_price</vt:lpstr>
      <vt:lpstr>bull_vet</vt:lpstr>
      <vt:lpstr>bull_wt</vt:lpstr>
      <vt:lpstr>bullfeed_cost</vt:lpstr>
      <vt:lpstr>bullfeed_lbs</vt:lpstr>
      <vt:lpstr>bulls</vt:lpstr>
      <vt:lpstr>calf_vet</vt:lpstr>
      <vt:lpstr>calfcrop_pcnt</vt:lpstr>
      <vt:lpstr>calffeed_cost</vt:lpstr>
      <vt:lpstr>calffeed_lbs</vt:lpstr>
      <vt:lpstr>calves_sold</vt:lpstr>
      <vt:lpstr>cow_cull</vt:lpstr>
      <vt:lpstr>cow_death</vt:lpstr>
      <vt:lpstr>cow_dep</vt:lpstr>
      <vt:lpstr>cow_fc</vt:lpstr>
      <vt:lpstr>cow_inv</vt:lpstr>
      <vt:lpstr>cow_price</vt:lpstr>
      <vt:lpstr>cow_vet</vt:lpstr>
      <vt:lpstr>cow_wt</vt:lpstr>
      <vt:lpstr>cowfeed_cost</vt:lpstr>
      <vt:lpstr>cowfeed_lbs</vt:lpstr>
      <vt:lpstr>cows</vt:lpstr>
      <vt:lpstr>CUMPGPH</vt:lpstr>
      <vt:lpstr>CUMPGPH2</vt:lpstr>
      <vt:lpstr>equip_fc</vt:lpstr>
      <vt:lpstr>equip_pmt</vt:lpstr>
      <vt:lpstr>equipment_print</vt:lpstr>
      <vt:lpstr>ETR</vt:lpstr>
      <vt:lpstr>exp_wt</vt:lpstr>
      <vt:lpstr>Lvstk_Facil!facil_avginv</vt:lpstr>
      <vt:lpstr>Lvstk_Facil!facil_fc</vt:lpstr>
      <vt:lpstr>Lvstk_Facil!facil_int</vt:lpstr>
      <vt:lpstr>facil_inv</vt:lpstr>
      <vt:lpstr>Lvstk_Facil!facil_pmt</vt:lpstr>
      <vt:lpstr>feed_print</vt:lpstr>
      <vt:lpstr>GPHDATA3</vt:lpstr>
      <vt:lpstr>hay</vt:lpstr>
      <vt:lpstr>Hay_dep</vt:lpstr>
      <vt:lpstr>hay_inv</vt:lpstr>
      <vt:lpstr>hay_print</vt:lpstr>
      <vt:lpstr>hay_tons</vt:lpstr>
      <vt:lpstr>hfr_cullprice</vt:lpstr>
      <vt:lpstr>hfr_culls</vt:lpstr>
      <vt:lpstr>hfr_cullwt</vt:lpstr>
      <vt:lpstr>hfr_vet</vt:lpstr>
      <vt:lpstr>hfrfeed_cost</vt:lpstr>
      <vt:lpstr>hfrfeed_lbs</vt:lpstr>
      <vt:lpstr>hfrs</vt:lpstr>
      <vt:lpstr>Lvstk_Facil!land_fc</vt:lpstr>
      <vt:lpstr>land_int</vt:lpstr>
      <vt:lpstr>Lvstk_Facil!land_inv</vt:lpstr>
      <vt:lpstr>Lvstk_Facil!LAND_PMT</vt:lpstr>
      <vt:lpstr>livestock_facil_print</vt:lpstr>
      <vt:lpstr>Lvstk_Facil!lvst_int</vt:lpstr>
      <vt:lpstr>Lvstk_Facil!lvstk_dep</vt:lpstr>
      <vt:lpstr>Lvstk_Facil!lvstk_fc</vt:lpstr>
      <vt:lpstr>Lvstk_Facil!lvstk_inv</vt:lpstr>
      <vt:lpstr>Lvstk_Facil!lvstk_pmt</vt:lpstr>
      <vt:lpstr>lvtsk</vt:lpstr>
      <vt:lpstr>lvtsk_inv</vt:lpstr>
      <vt:lpstr>mktng_cst</vt:lpstr>
      <vt:lpstr>page1_print</vt:lpstr>
      <vt:lpstr>Auction!Print_Area</vt:lpstr>
      <vt:lpstr>Bahia!Print_Area</vt:lpstr>
      <vt:lpstr>Bermuda!Print_Area</vt:lpstr>
      <vt:lpstr>Equipment!Print_Area</vt:lpstr>
      <vt:lpstr>Feed!Print_Area</vt:lpstr>
      <vt:lpstr>Fixed_Cost!Print_Area</vt:lpstr>
      <vt:lpstr>Fixed_Payment!Print_Area</vt:lpstr>
      <vt:lpstr>Hay!Print_Area</vt:lpstr>
      <vt:lpstr>Lvstk_Facil!Print_Area</vt:lpstr>
      <vt:lpstr>Main!Print_Area</vt:lpstr>
      <vt:lpstr>Summer_Annual!Print_Area</vt:lpstr>
      <vt:lpstr>Vet!Print_Area</vt:lpstr>
      <vt:lpstr>Winter_Grazing!Print_Area</vt:lpstr>
      <vt:lpstr>summer</vt:lpstr>
      <vt:lpstr>summergrazing_print</vt:lpstr>
      <vt:lpstr>title</vt:lpstr>
      <vt:lpstr>total_fixed</vt:lpstr>
      <vt:lpstr>vet_print</vt:lpstr>
      <vt:lpstr>Summer_Annual!winter</vt:lpstr>
      <vt:lpstr>winter</vt:lpstr>
      <vt:lpstr>wintergrazing_print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Curt Lacy</dc:creator>
  <cp:lastModifiedBy>Levi</cp:lastModifiedBy>
  <cp:lastPrinted>2012-09-26T17:01:24Z</cp:lastPrinted>
  <dcterms:created xsi:type="dcterms:W3CDTF">2000-05-11T19:07:00Z</dcterms:created>
  <dcterms:modified xsi:type="dcterms:W3CDTF">2016-10-10T03:40:23Z</dcterms:modified>
</cp:coreProperties>
</file>