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smith/Desktop/2020 Mtngs &amp; Budgets/"/>
    </mc:Choice>
  </mc:AlternateContent>
  <xr:revisionPtr revIDLastSave="0" documentId="13_ncr:1_{A2D2780E-2C1E-5B4B-A8FD-33A0E0CC68EF}" xr6:coauthVersionLast="45" xr6:coauthVersionMax="45" xr10:uidLastSave="{00000000-0000-0000-0000-000000000000}"/>
  <bookViews>
    <workbookView xWindow="760" yWindow="460" windowWidth="24840" windowHeight="1554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 iterateDelta="9.999999999999445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L16" i="2" l="1"/>
  <c r="B16" i="2"/>
  <c r="L36" i="2"/>
  <c r="B36" i="2"/>
  <c r="L21" i="2"/>
  <c r="B21" i="2"/>
  <c r="L11" i="2"/>
  <c r="B11" i="2"/>
  <c r="L35" i="1"/>
  <c r="B35" i="1"/>
  <c r="L20" i="1"/>
  <c r="B20" i="1"/>
  <c r="L27" i="1"/>
  <c r="B27" i="1"/>
  <c r="B28" i="2"/>
  <c r="L28" i="2"/>
  <c r="B19" i="1"/>
  <c r="L19" i="1"/>
  <c r="L15" i="1"/>
  <c r="B15" i="1"/>
  <c r="L11" i="1"/>
  <c r="B11" i="1"/>
  <c r="B12" i="1"/>
  <c r="R36" i="2" l="1"/>
  <c r="H36" i="2"/>
  <c r="R21" i="2"/>
  <c r="H21" i="2"/>
  <c r="H16" i="2"/>
  <c r="R16" i="2"/>
  <c r="H35" i="1"/>
  <c r="R35" i="1"/>
  <c r="R20" i="1"/>
  <c r="H20" i="1"/>
  <c r="R15" i="1"/>
  <c r="H15" i="1"/>
  <c r="R11" i="2"/>
  <c r="H11" i="2"/>
  <c r="R11" i="1"/>
  <c r="H11" i="1"/>
  <c r="T36" i="2" l="1"/>
  <c r="J36" i="2"/>
  <c r="T21" i="2"/>
  <c r="J21" i="2"/>
  <c r="J16" i="2"/>
  <c r="T16" i="2"/>
  <c r="J35" i="1"/>
  <c r="T35" i="1"/>
  <c r="T20" i="1"/>
  <c r="J20" i="1"/>
  <c r="J15" i="1"/>
  <c r="T15" i="1"/>
  <c r="P36" i="2" l="1"/>
  <c r="F36" i="2"/>
  <c r="P21" i="2"/>
  <c r="F21" i="2"/>
  <c r="P16" i="2"/>
  <c r="F16" i="2"/>
  <c r="P35" i="1"/>
  <c r="F35" i="1"/>
  <c r="P20" i="1"/>
  <c r="F20" i="1"/>
  <c r="P15" i="1"/>
  <c r="F15" i="1"/>
  <c r="X35" i="1" l="1"/>
  <c r="V35" i="1"/>
  <c r="X15" i="1"/>
  <c r="X20" i="1"/>
  <c r="V20" i="1"/>
  <c r="V15" i="1"/>
  <c r="N36" i="2" l="1"/>
  <c r="D36" i="2"/>
  <c r="N21" i="2"/>
  <c r="D21" i="2"/>
  <c r="N16" i="2"/>
  <c r="D16" i="2"/>
  <c r="N35" i="1"/>
  <c r="D35" i="1"/>
  <c r="J21" i="1"/>
  <c r="H21" i="1"/>
  <c r="F21" i="1"/>
  <c r="B21" i="1"/>
  <c r="D21" i="1"/>
  <c r="N20" i="1"/>
  <c r="D20" i="1"/>
  <c r="N15" i="1"/>
  <c r="D15" i="1"/>
  <c r="L13" i="1" l="1"/>
  <c r="B13" i="1"/>
  <c r="B26" i="1" s="1"/>
  <c r="J8" i="2" l="1"/>
  <c r="H8" i="2"/>
  <c r="F8" i="2"/>
  <c r="T19" i="1" l="1"/>
  <c r="J13" i="1"/>
  <c r="T13" i="1"/>
  <c r="T26" i="1" l="1"/>
  <c r="P13" i="1"/>
  <c r="F13" i="1"/>
  <c r="H24" i="2"/>
  <c r="N13" i="1" l="1"/>
  <c r="H19" i="1" l="1"/>
  <c r="H13" i="1"/>
  <c r="R19" i="1"/>
  <c r="R13" i="1"/>
  <c r="R26" i="1" l="1"/>
  <c r="H26" i="1"/>
  <c r="D19" i="1"/>
  <c r="D13" i="1"/>
  <c r="N14" i="2"/>
  <c r="D14" i="2"/>
  <c r="D26" i="1" l="1"/>
  <c r="D48" i="2"/>
  <c r="N24" i="2" l="1"/>
  <c r="P24" i="2"/>
  <c r="D24" i="2"/>
  <c r="F24" i="2"/>
  <c r="D4" i="9"/>
  <c r="T24" i="2"/>
  <c r="L24" i="2"/>
  <c r="J24" i="2"/>
  <c r="B24" i="2"/>
  <c r="P19" i="1"/>
  <c r="P26" i="1" s="1"/>
  <c r="F19" i="1"/>
  <c r="F26" i="1" s="1"/>
  <c r="X19" i="1"/>
  <c r="V19" i="1"/>
  <c r="V13" i="1"/>
  <c r="V26" i="1" s="1"/>
  <c r="X13" i="1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19" i="1"/>
  <c r="N26" i="1" s="1"/>
  <c r="N7" i="1"/>
  <c r="N28" i="1" s="1"/>
  <c r="L12" i="1"/>
  <c r="L26" i="1" s="1"/>
  <c r="L8" i="1"/>
  <c r="L9" i="1" s="1"/>
  <c r="J19" i="1"/>
  <c r="J26" i="1" s="1"/>
  <c r="J28" i="1"/>
  <c r="F28" i="1"/>
  <c r="D7" i="1"/>
  <c r="B269" i="11" s="1"/>
  <c r="D28" i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68" i="16"/>
  <c r="B269" i="16"/>
  <c r="B134" i="11"/>
  <c r="C3" i="9"/>
  <c r="K23" i="9" s="1"/>
  <c r="B167" i="16"/>
  <c r="B31" i="16"/>
  <c r="C46" i="10"/>
  <c r="B133" i="16"/>
  <c r="F4" i="7"/>
  <c r="A26" i="7" s="1"/>
  <c r="J9" i="1"/>
  <c r="B371" i="11"/>
  <c r="B202" i="11"/>
  <c r="B167" i="11"/>
  <c r="C4" i="10"/>
  <c r="B201" i="11"/>
  <c r="B31" i="11"/>
  <c r="F9" i="2"/>
  <c r="C3" i="7"/>
  <c r="K23" i="7" s="1"/>
  <c r="K13" i="3"/>
  <c r="I13" i="3" s="1"/>
  <c r="C25" i="10"/>
  <c r="B32" i="11"/>
  <c r="L20" i="2" l="1"/>
  <c r="B20" i="2"/>
  <c r="F22" i="2"/>
  <c r="H22" i="2"/>
  <c r="D22" i="2"/>
  <c r="J22" i="2"/>
  <c r="B22" i="2"/>
  <c r="X26" i="1"/>
  <c r="X30" i="1" s="1"/>
  <c r="B14" i="2"/>
  <c r="L14" i="2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L30" i="1"/>
  <c r="D29" i="1"/>
  <c r="D30" i="1" s="1"/>
  <c r="C3" i="10" s="1"/>
  <c r="R14" i="2"/>
  <c r="H14" i="2"/>
  <c r="J14" i="2"/>
  <c r="T14" i="2"/>
  <c r="P14" i="2"/>
  <c r="F14" i="2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B40" i="10" s="1"/>
  <c r="D4" i="8"/>
  <c r="D5" i="8" s="1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E5" i="8"/>
  <c r="N55" i="10"/>
  <c r="N54" i="10" s="1"/>
  <c r="N53" i="10" s="1"/>
  <c r="E5" i="9"/>
  <c r="D5" i="9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J23" i="7"/>
  <c r="I23" i="7"/>
  <c r="M23" i="7"/>
  <c r="L2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I23" i="9"/>
  <c r="L23" i="9"/>
  <c r="J23" i="9"/>
  <c r="M23" i="9"/>
  <c r="T38" i="10"/>
  <c r="D20" i="2"/>
  <c r="D27" i="2" s="1"/>
  <c r="R20" i="2"/>
  <c r="P20" i="2"/>
  <c r="J30" i="1"/>
  <c r="H20" i="2"/>
  <c r="N20" i="2"/>
  <c r="N27" i="2" s="1"/>
  <c r="V30" i="1"/>
  <c r="F20" i="2"/>
  <c r="J20" i="2"/>
  <c r="D30" i="2"/>
  <c r="B28" i="17"/>
  <c r="R30" i="1"/>
  <c r="T20" i="2"/>
  <c r="L27" i="2" l="1"/>
  <c r="L31" i="2" s="1"/>
  <c r="F27" i="2"/>
  <c r="H27" i="2"/>
  <c r="H31" i="2" s="1"/>
  <c r="P27" i="2"/>
  <c r="P31" i="2" s="1"/>
  <c r="B27" i="2"/>
  <c r="B31" i="2" s="1"/>
  <c r="J27" i="2"/>
  <c r="J31" i="2" s="1"/>
  <c r="R27" i="2"/>
  <c r="T27" i="2"/>
  <c r="T31" i="2" s="1"/>
  <c r="B6" i="3"/>
  <c r="I16" i="3" s="1"/>
  <c r="L33" i="1"/>
  <c r="L31" i="1"/>
  <c r="B24" i="10"/>
  <c r="L32" i="1"/>
  <c r="L38" i="1"/>
  <c r="L39" i="1" s="1"/>
  <c r="L41" i="1" s="1"/>
  <c r="L45" i="1" s="1"/>
  <c r="A37" i="3"/>
  <c r="A37" i="8"/>
  <c r="L23" i="8"/>
  <c r="M23" i="8"/>
  <c r="I23" i="8"/>
  <c r="E6" i="7"/>
  <c r="B38" i="7" s="1"/>
  <c r="D33" i="1"/>
  <c r="C6" i="7"/>
  <c r="E3" i="10"/>
  <c r="R12" i="10" s="1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D38" i="1"/>
  <c r="D39" i="1" s="1"/>
  <c r="D41" i="1" s="1"/>
  <c r="D45" i="1" s="1"/>
  <c r="C17" i="10"/>
  <c r="C13" i="10"/>
  <c r="C14" i="10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F31" i="2"/>
  <c r="B31" i="1"/>
  <c r="D32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10"/>
  <c r="B41" i="10"/>
  <c r="D31" i="2"/>
  <c r="C12" i="10"/>
  <c r="B11" i="10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T61" i="10"/>
  <c r="C18" i="10"/>
  <c r="B19" i="10"/>
  <c r="N10" i="10"/>
  <c r="H45" i="1"/>
  <c r="H42" i="1"/>
  <c r="H44" i="1"/>
  <c r="D9" i="2"/>
  <c r="C4" i="9"/>
  <c r="C5" i="9" s="1"/>
  <c r="R31" i="2"/>
  <c r="T31" i="10"/>
  <c r="F32" i="1"/>
  <c r="F33" i="1"/>
  <c r="D6" i="7"/>
  <c r="B15" i="7" s="1"/>
  <c r="F31" i="1"/>
  <c r="F38" i="1"/>
  <c r="F39" i="1" s="1"/>
  <c r="F41" i="1" s="1"/>
  <c r="D3" i="10"/>
  <c r="N52" i="10"/>
  <c r="C16" i="10"/>
  <c r="C15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J16" i="3" l="1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D44" i="1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42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R39" i="10" l="1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<sst xmlns="http://schemas.openxmlformats.org/spreadsheetml/2006/main" count="791" uniqueCount="194">
  <si>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</si>
  <si>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</si>
  <si>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</si>
  <si>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</si>
  <si>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</si>
  <si>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</si>
  <si>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</si>
  <si>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</si>
  <si>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</si>
  <si>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</si>
  <si>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</si>
  <si>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</si>
  <si>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</si>
  <si>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</si>
  <si>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</si>
  <si>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</si>
  <si>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</si>
  <si>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</si>
  <si>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</si>
  <si>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</si>
  <si>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</si>
  <si>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</si>
  <si>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</si>
  <si>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</si>
  <si>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</si>
  <si>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</si>
  <si>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</si>
  <si>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</si>
  <si>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</si>
  <si>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</si>
  <si>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</si>
  <si>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</si>
  <si>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</si>
  <si>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</si>
  <si>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</si>
  <si>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</si>
  <si>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</si>
  <si>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</si>
  <si>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</si>
  <si>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</si>
  <si>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</si>
  <si>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</si>
  <si>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</si>
  <si>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</si>
  <si>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</si>
  <si>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</si>
  <si>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</si>
  <si>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</si>
  <si>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</si>
  <si>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</si>
  <si>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</si>
  <si>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</si>
  <si>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</si>
  <si>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</si>
  <si>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</si>
  <si>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</si>
  <si>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</si>
  <si>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</si>
  <si>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</si>
  <si>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</si>
  <si>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</si>
  <si>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</si>
  <si>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</si>
  <si>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</si>
  <si>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</si>
  <si>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</si>
  <si>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</si>
  <si>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</si>
  <si>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</si>
  <si>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</si>
  <si>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</si>
  <si>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</si>
  <si>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</si>
  <si>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</si>
  <si>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</si>
  <si>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</si>
  <si>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</si>
  <si>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</si>
  <si>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</si>
  <si>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</si>
  <si>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</si>
  <si>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</si>
  <si>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</si>
  <si>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</si>
  <si>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</si>
  <si>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</si>
  <si>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</si>
  <si>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</si>
  <si>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</si>
  <si>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</si>
  <si>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</si>
  <si>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</si>
  <si>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</si>
  <si>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</si>
  <si>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</si>
  <si>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</si>
  <si>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</si>
  <si>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</si>
  <si>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</si>
  <si>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</si>
  <si>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</si>
  <si>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</si>
  <si>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</si>
  <si>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</si>
  <si>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</si>
  <si>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</si>
  <si>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</si>
  <si>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</si>
  <si>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</si>
  <si>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</si>
  <si>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</si>
  <si>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</si>
  <si>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</si>
  <si>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</si>
  <si>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</si>
  <si>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</si>
  <si>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</si>
  <si>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</si>
  <si>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</si>
  <si>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</si>
  <si>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</si>
  <si>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</si>
  <si>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</si>
  <si>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</si>
  <si>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</si>
  <si>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</si>
  <si>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</si>
  <si>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</si>
  <si>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</si>
  <si>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</si>
  <si>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</si>
  <si>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</si>
  <si>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</si>
  <si>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</si>
  <si>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</si>
  <si>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</si>
  <si>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</si>
  <si>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</si>
  <si>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</si>
  <si>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</si>
  <si>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</si>
  <si>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</si>
  <si>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</si>
  <si>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</si>
  <si>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</si>
  <si>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</si>
  <si>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</si>
  <si>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</si>
  <si>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</si>
  <si>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</si>
  <si>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</si>
  <si>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</si>
  <si>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</si>
  <si>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</si>
  <si>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</si>
  <si>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</si>
  <si>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</si>
  <si>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</si>
  <si>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</si>
  <si>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</si>
  <si>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</si>
  <si>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</si>
  <si>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</si>
  <si>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</si>
  <si>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</si>
  <si>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</si>
  <si>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</si>
  <si>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</si>
  <si>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</si>
  <si>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</si>
  <si>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</si>
  <si>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</si>
  <si>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</si>
  <si>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</si>
  <si>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</si>
  <si>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</si>
  <si>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</si>
  <si>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</si>
  <si>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</si>
  <si>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</si>
  <si>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</si>
  <si>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</si>
  <si>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</si>
  <si>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</si>
  <si>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</si>
  <si>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</si>
  <si>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</si>
  <si>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</si>
  <si>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</si>
  <si>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</si>
  <si>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Smith, A.N. Rabinowitz and Yangxuan Liu, UGA Extension Economists, Department of Agricultural &amp; Applied Economics</t>
  </si>
  <si>
    <t>Estimate of 2020 Relative Row Crop Costs and Net Returns</t>
  </si>
  <si>
    <t>*** Weighted average of diesel and electric irrigation application costs.  Electric is estimated at $7/appl and diesel is estimated at $9.60/appl when diesel cost $2.00/gal.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</si>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</sst>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66" fontId="13" fillId="8" borderId="69" xfId="0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255.6857211605415</c:v>
                </c:pt>
                <c:pt idx="1">
                  <c:v>268.45167860735</c:v>
                </c:pt>
                <c:pt idx="2">
                  <c:v>281.21763605415856</c:v>
                </c:pt>
                <c:pt idx="3">
                  <c:v>293.98359350096706</c:v>
                </c:pt>
                <c:pt idx="4">
                  <c:v>306.74955094777562</c:v>
                </c:pt>
                <c:pt idx="5">
                  <c:v>319.51550839458412</c:v>
                </c:pt>
                <c:pt idx="6">
                  <c:v>332.28146584139262</c:v>
                </c:pt>
                <c:pt idx="7">
                  <c:v>345.04742328820117</c:v>
                </c:pt>
                <c:pt idx="8">
                  <c:v>357.81338073500967</c:v>
                </c:pt>
                <c:pt idx="9">
                  <c:v>370.57933818181823</c:v>
                </c:pt>
                <c:pt idx="10">
                  <c:v>383.34529562862673</c:v>
                </c:pt>
                <c:pt idx="11">
                  <c:v>396.11125307543523</c:v>
                </c:pt>
                <c:pt idx="12">
                  <c:v>408.87721052224379</c:v>
                </c:pt>
                <c:pt idx="13">
                  <c:v>421.64316796905234</c:v>
                </c:pt>
                <c:pt idx="14">
                  <c:v>434.40912541586079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254.14568409090904</c:v>
                </c:pt>
                <c:pt idx="1">
                  <c:v>265.17509585561493</c:v>
                </c:pt>
                <c:pt idx="2">
                  <c:v>276.20450762032084</c:v>
                </c:pt>
                <c:pt idx="3">
                  <c:v>287.2339193850267</c:v>
                </c:pt>
                <c:pt idx="4">
                  <c:v>298.26333114973261</c:v>
                </c:pt>
                <c:pt idx="5">
                  <c:v>309.29274291443846</c:v>
                </c:pt>
                <c:pt idx="6">
                  <c:v>320.32215467914438</c:v>
                </c:pt>
                <c:pt idx="7">
                  <c:v>331.35156644385029</c:v>
                </c:pt>
                <c:pt idx="8">
                  <c:v>342.38097820855626</c:v>
                </c:pt>
                <c:pt idx="9">
                  <c:v>353.41038997326206</c:v>
                </c:pt>
                <c:pt idx="10">
                  <c:v>364.43980173796797</c:v>
                </c:pt>
                <c:pt idx="11">
                  <c:v>375.46921350267388</c:v>
                </c:pt>
                <c:pt idx="12">
                  <c:v>386.49862526737974</c:v>
                </c:pt>
                <c:pt idx="13">
                  <c:v>397.52803703208559</c:v>
                </c:pt>
                <c:pt idx="14">
                  <c:v>408.5574487967915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0.52053034206060622</c:v>
                </c:pt>
                <c:pt idx="1">
                  <c:v>0.53803034206060607</c:v>
                </c:pt>
                <c:pt idx="2">
                  <c:v>0.55553034206060614</c:v>
                </c:pt>
                <c:pt idx="3">
                  <c:v>0.5730303420606061</c:v>
                </c:pt>
                <c:pt idx="4">
                  <c:v>0.59053034206060606</c:v>
                </c:pt>
                <c:pt idx="5">
                  <c:v>0.60803034206060602</c:v>
                </c:pt>
                <c:pt idx="6">
                  <c:v>0.62553034206060598</c:v>
                </c:pt>
                <c:pt idx="7">
                  <c:v>0.64303034206060605</c:v>
                </c:pt>
                <c:pt idx="8">
                  <c:v>0.66053034206060601</c:v>
                </c:pt>
                <c:pt idx="9">
                  <c:v>0.67803034206060597</c:v>
                </c:pt>
                <c:pt idx="10">
                  <c:v>0.69553034206060593</c:v>
                </c:pt>
                <c:pt idx="11">
                  <c:v>0.71303034206060589</c:v>
                </c:pt>
                <c:pt idx="12">
                  <c:v>0.73053034206060596</c:v>
                </c:pt>
                <c:pt idx="13">
                  <c:v>0.74803034206060592</c:v>
                </c:pt>
                <c:pt idx="14">
                  <c:v>0.76553034206060588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0.54765558472727272</c:v>
                </c:pt>
                <c:pt idx="1">
                  <c:v>0.56165558472727273</c:v>
                </c:pt>
                <c:pt idx="2">
                  <c:v>0.57565558472727263</c:v>
                </c:pt>
                <c:pt idx="3">
                  <c:v>0.58965558472727264</c:v>
                </c:pt>
                <c:pt idx="4">
                  <c:v>0.60365558472727265</c:v>
                </c:pt>
                <c:pt idx="5">
                  <c:v>0.61765558472727267</c:v>
                </c:pt>
                <c:pt idx="6">
                  <c:v>0.63165558472727268</c:v>
                </c:pt>
                <c:pt idx="7">
                  <c:v>0.64565558472727269</c:v>
                </c:pt>
                <c:pt idx="8">
                  <c:v>0.6596555847272727</c:v>
                </c:pt>
                <c:pt idx="9">
                  <c:v>0.67365558472727272</c:v>
                </c:pt>
                <c:pt idx="10">
                  <c:v>0.68765558472727251</c:v>
                </c:pt>
                <c:pt idx="11">
                  <c:v>0.70165558472727252</c:v>
                </c:pt>
                <c:pt idx="12">
                  <c:v>0.71565558472727253</c:v>
                </c:pt>
                <c:pt idx="13">
                  <c:v>0.72965558472727254</c:v>
                </c:pt>
                <c:pt idx="14">
                  <c:v>0.74365558472727256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319.78632136170222</c:v>
                </c:pt>
                <c:pt idx="1">
                  <c:v>328.72249157446817</c:v>
                </c:pt>
                <c:pt idx="2">
                  <c:v>337.65866178723411</c:v>
                </c:pt>
                <c:pt idx="3">
                  <c:v>346.59483200000005</c:v>
                </c:pt>
                <c:pt idx="4">
                  <c:v>355.53100221276594</c:v>
                </c:pt>
                <c:pt idx="5">
                  <c:v>364.46717242553188</c:v>
                </c:pt>
                <c:pt idx="6">
                  <c:v>373.40334263829789</c:v>
                </c:pt>
                <c:pt idx="7">
                  <c:v>382.33951285106383</c:v>
                </c:pt>
                <c:pt idx="8">
                  <c:v>391.27568306382983</c:v>
                </c:pt>
                <c:pt idx="9">
                  <c:v>400.21185327659578</c:v>
                </c:pt>
                <c:pt idx="10">
                  <c:v>409.14802348936166</c:v>
                </c:pt>
                <c:pt idx="11">
                  <c:v>418.08419370212761</c:v>
                </c:pt>
                <c:pt idx="12">
                  <c:v>427.02036391489355</c:v>
                </c:pt>
                <c:pt idx="13">
                  <c:v>435.95653412765949</c:v>
                </c:pt>
                <c:pt idx="14">
                  <c:v>444.89270434042544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321.49373617647063</c:v>
                </c:pt>
                <c:pt idx="1">
                  <c:v>327.67020676470594</c:v>
                </c:pt>
                <c:pt idx="2">
                  <c:v>333.84667735294119</c:v>
                </c:pt>
                <c:pt idx="3">
                  <c:v>340.02314794117649</c:v>
                </c:pt>
                <c:pt idx="4">
                  <c:v>346.19961852941179</c:v>
                </c:pt>
                <c:pt idx="5">
                  <c:v>352.3760891176471</c:v>
                </c:pt>
                <c:pt idx="6">
                  <c:v>358.55255970588235</c:v>
                </c:pt>
                <c:pt idx="7">
                  <c:v>364.72903029411765</c:v>
                </c:pt>
                <c:pt idx="8">
                  <c:v>370.9055008823529</c:v>
                </c:pt>
                <c:pt idx="9">
                  <c:v>377.0819714705882</c:v>
                </c:pt>
                <c:pt idx="10">
                  <c:v>383.2584420588235</c:v>
                </c:pt>
                <c:pt idx="11">
                  <c:v>389.43491264705881</c:v>
                </c:pt>
                <c:pt idx="12">
                  <c:v>395.61138323529411</c:v>
                </c:pt>
                <c:pt idx="13">
                  <c:v>401.78785382352936</c:v>
                </c:pt>
                <c:pt idx="14">
                  <c:v>407.96432441176466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3.3296491760000015</c:v>
                </c:pt>
                <c:pt idx="1">
                  <c:v>3.4346491760000011</c:v>
                </c:pt>
                <c:pt idx="2">
                  <c:v>3.5396491760000011</c:v>
                </c:pt>
                <c:pt idx="3">
                  <c:v>3.644649176000001</c:v>
                </c:pt>
                <c:pt idx="4">
                  <c:v>3.7496491760000001</c:v>
                </c:pt>
                <c:pt idx="5">
                  <c:v>3.8546491760000006</c:v>
                </c:pt>
                <c:pt idx="6">
                  <c:v>3.9596491760000005</c:v>
                </c:pt>
                <c:pt idx="7">
                  <c:v>4.0646491760000005</c:v>
                </c:pt>
                <c:pt idx="8">
                  <c:v>4.1696491760000001</c:v>
                </c:pt>
                <c:pt idx="9">
                  <c:v>4.2746491760000005</c:v>
                </c:pt>
                <c:pt idx="10">
                  <c:v>4.379649176</c:v>
                </c:pt>
                <c:pt idx="11">
                  <c:v>4.4846491759999996</c:v>
                </c:pt>
                <c:pt idx="12">
                  <c:v>4.589649176</c:v>
                </c:pt>
                <c:pt idx="13">
                  <c:v>4.6946491759999995</c:v>
                </c:pt>
                <c:pt idx="14">
                  <c:v>4.799649176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3.1943789588235298</c:v>
                </c:pt>
                <c:pt idx="1">
                  <c:v>3.3179083705882357</c:v>
                </c:pt>
                <c:pt idx="2">
                  <c:v>3.4414377823529416</c:v>
                </c:pt>
                <c:pt idx="3">
                  <c:v>3.5649671941176475</c:v>
                </c:pt>
                <c:pt idx="4">
                  <c:v>3.6884966058823525</c:v>
                </c:pt>
                <c:pt idx="5">
                  <c:v>3.8120260176470584</c:v>
                </c:pt>
                <c:pt idx="6">
                  <c:v>3.9355554294117638</c:v>
                </c:pt>
                <c:pt idx="7">
                  <c:v>4.0590848411764693</c:v>
                </c:pt>
                <c:pt idx="8">
                  <c:v>4.1826142529411756</c:v>
                </c:pt>
                <c:pt idx="9">
                  <c:v>4.3061436647058811</c:v>
                </c:pt>
                <c:pt idx="10">
                  <c:v>4.4296730764705874</c:v>
                </c:pt>
                <c:pt idx="11">
                  <c:v>4.5532024882352928</c:v>
                </c:pt>
                <c:pt idx="12">
                  <c:v>4.6767318999999992</c:v>
                </c:pt>
                <c:pt idx="13">
                  <c:v>4.8002613117647046</c:v>
                </c:pt>
                <c:pt idx="14">
                  <c:v>4.9237907235294109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243.85606158607342</c:v>
                </c:pt>
                <c:pt idx="1">
                  <c:v>256.62201903288189</c:v>
                </c:pt>
                <c:pt idx="2">
                  <c:v>269.38797647969045</c:v>
                </c:pt>
                <c:pt idx="3">
                  <c:v>282.15393392649901</c:v>
                </c:pt>
                <c:pt idx="4">
                  <c:v>294.91989137330751</c:v>
                </c:pt>
                <c:pt idx="5">
                  <c:v>307.68584882011601</c:v>
                </c:pt>
                <c:pt idx="6">
                  <c:v>320.45180626692456</c:v>
                </c:pt>
                <c:pt idx="7">
                  <c:v>333.21776371373301</c:v>
                </c:pt>
                <c:pt idx="8">
                  <c:v>345.98372116054162</c:v>
                </c:pt>
                <c:pt idx="9">
                  <c:v>358.74967860735012</c:v>
                </c:pt>
                <c:pt idx="10">
                  <c:v>371.51563605415862</c:v>
                </c:pt>
                <c:pt idx="11">
                  <c:v>384.28159350096712</c:v>
                </c:pt>
                <c:pt idx="12">
                  <c:v>397.04755094777568</c:v>
                </c:pt>
                <c:pt idx="13">
                  <c:v>409.81350839458418</c:v>
                </c:pt>
                <c:pt idx="14">
                  <c:v>422.57946584139273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237.48391938502658</c:v>
                </c:pt>
                <c:pt idx="1">
                  <c:v>248.51333114973249</c:v>
                </c:pt>
                <c:pt idx="2">
                  <c:v>259.54274291443835</c:v>
                </c:pt>
                <c:pt idx="3">
                  <c:v>270.57215467914426</c:v>
                </c:pt>
                <c:pt idx="4">
                  <c:v>281.60156644385017</c:v>
                </c:pt>
                <c:pt idx="5">
                  <c:v>292.63097820855603</c:v>
                </c:pt>
                <c:pt idx="6">
                  <c:v>303.66038997326194</c:v>
                </c:pt>
                <c:pt idx="7">
                  <c:v>314.6898017379678</c:v>
                </c:pt>
                <c:pt idx="8">
                  <c:v>325.71921350267371</c:v>
                </c:pt>
                <c:pt idx="9">
                  <c:v>336.74862526737957</c:v>
                </c:pt>
                <c:pt idx="10">
                  <c:v>347.77803703208548</c:v>
                </c:pt>
                <c:pt idx="11">
                  <c:v>358.80744879679139</c:v>
                </c:pt>
                <c:pt idx="12">
                  <c:v>369.83686056149725</c:v>
                </c:pt>
                <c:pt idx="13">
                  <c:v>380.86627232620322</c:v>
                </c:pt>
                <c:pt idx="14">
                  <c:v>391.89568409090913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1.590039093582885</c:v>
                </c:pt>
                <c:pt idx="1">
                  <c:v>1.8106273288770032</c:v>
                </c:pt>
                <c:pt idx="2">
                  <c:v>2.0312155641711209</c:v>
                </c:pt>
                <c:pt idx="3">
                  <c:v>2.2518037994652387</c:v>
                </c:pt>
                <c:pt idx="4">
                  <c:v>2.472392034759356</c:v>
                </c:pt>
                <c:pt idx="5">
                  <c:v>2.6929802700534746</c:v>
                </c:pt>
                <c:pt idx="6">
                  <c:v>2.9135685053475919</c:v>
                </c:pt>
                <c:pt idx="7">
                  <c:v>3.1341567406417097</c:v>
                </c:pt>
                <c:pt idx="8">
                  <c:v>3.3547449759358279</c:v>
                </c:pt>
                <c:pt idx="9">
                  <c:v>3.5753332112299456</c:v>
                </c:pt>
                <c:pt idx="10">
                  <c:v>3.7959214465240634</c:v>
                </c:pt>
                <c:pt idx="11">
                  <c:v>4.0165096818181816</c:v>
                </c:pt>
                <c:pt idx="12">
                  <c:v>4.2370979171122984</c:v>
                </c:pt>
                <c:pt idx="13">
                  <c:v>4.457686152406418</c:v>
                </c:pt>
                <c:pt idx="14">
                  <c:v>4.6782743877005357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2.4928826236363624</c:v>
                </c:pt>
                <c:pt idx="1">
                  <c:v>2.6428826236363623</c:v>
                </c:pt>
                <c:pt idx="2">
                  <c:v>2.7928826236363626</c:v>
                </c:pt>
                <c:pt idx="3">
                  <c:v>2.942882623636363</c:v>
                </c:pt>
                <c:pt idx="4">
                  <c:v>3.0928826236363629</c:v>
                </c:pt>
                <c:pt idx="5">
                  <c:v>3.2428826236363633</c:v>
                </c:pt>
                <c:pt idx="6">
                  <c:v>3.3928826236363632</c:v>
                </c:pt>
                <c:pt idx="7">
                  <c:v>3.5428826236363631</c:v>
                </c:pt>
                <c:pt idx="8">
                  <c:v>3.6928826236363634</c:v>
                </c:pt>
                <c:pt idx="9">
                  <c:v>3.8428826236363638</c:v>
                </c:pt>
                <c:pt idx="10">
                  <c:v>3.9928826236363637</c:v>
                </c:pt>
                <c:pt idx="11">
                  <c:v>4.1428826236363641</c:v>
                </c:pt>
                <c:pt idx="12">
                  <c:v>4.2928826236363644</c:v>
                </c:pt>
                <c:pt idx="13">
                  <c:v>4.4428826236363639</c:v>
                </c:pt>
                <c:pt idx="14">
                  <c:v>4.5928826236363642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1.5125570484848405</c:v>
                </c:pt>
                <c:pt idx="1">
                  <c:v>2.1375570484848425</c:v>
                </c:pt>
                <c:pt idx="2">
                  <c:v>2.7625570484848425</c:v>
                </c:pt>
                <c:pt idx="3">
                  <c:v>3.3875570484848425</c:v>
                </c:pt>
                <c:pt idx="4">
                  <c:v>4.0125570484848421</c:v>
                </c:pt>
                <c:pt idx="5">
                  <c:v>4.6375570484848447</c:v>
                </c:pt>
                <c:pt idx="6">
                  <c:v>5.2625570484848447</c:v>
                </c:pt>
                <c:pt idx="7">
                  <c:v>5.8875570484848447</c:v>
                </c:pt>
                <c:pt idx="8">
                  <c:v>6.5125570484848465</c:v>
                </c:pt>
                <c:pt idx="9">
                  <c:v>7.1375570484848465</c:v>
                </c:pt>
                <c:pt idx="10">
                  <c:v>7.7625570484848465</c:v>
                </c:pt>
                <c:pt idx="11">
                  <c:v>8.3875570484848474</c:v>
                </c:pt>
                <c:pt idx="12">
                  <c:v>9.0125570484848456</c:v>
                </c:pt>
                <c:pt idx="13">
                  <c:v>9.6375570484848492</c:v>
                </c:pt>
                <c:pt idx="14">
                  <c:v>10.262557048484849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3.0626214921212069</c:v>
                </c:pt>
                <c:pt idx="1">
                  <c:v>3.5626214921212069</c:v>
                </c:pt>
                <c:pt idx="2">
                  <c:v>4.0626214921212069</c:v>
                </c:pt>
                <c:pt idx="3">
                  <c:v>4.5626214921212087</c:v>
                </c:pt>
                <c:pt idx="4">
                  <c:v>5.0626214921212087</c:v>
                </c:pt>
                <c:pt idx="5">
                  <c:v>5.5626214921212087</c:v>
                </c:pt>
                <c:pt idx="6">
                  <c:v>6.0626214921212087</c:v>
                </c:pt>
                <c:pt idx="7">
                  <c:v>6.5626214921212087</c:v>
                </c:pt>
                <c:pt idx="8">
                  <c:v>7.0626214921212105</c:v>
                </c:pt>
                <c:pt idx="9">
                  <c:v>7.5626214921212105</c:v>
                </c:pt>
                <c:pt idx="10">
                  <c:v>8.0626214921212114</c:v>
                </c:pt>
                <c:pt idx="11">
                  <c:v>8.5626214921212114</c:v>
                </c:pt>
                <c:pt idx="12">
                  <c:v>9.0626214921212132</c:v>
                </c:pt>
                <c:pt idx="13">
                  <c:v>9.5626214921212132</c:v>
                </c:pt>
                <c:pt idx="14">
                  <c:v>10.062621492121213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0.60470311606060623</c:v>
                </c:pt>
                <c:pt idx="1">
                  <c:v>0.62736978272727284</c:v>
                </c:pt>
                <c:pt idx="2">
                  <c:v>0.65003644939393956</c:v>
                </c:pt>
                <c:pt idx="3">
                  <c:v>0.67270311606060618</c:v>
                </c:pt>
                <c:pt idx="4">
                  <c:v>0.6953697827272729</c:v>
                </c:pt>
                <c:pt idx="5">
                  <c:v>0.71803644939393962</c:v>
                </c:pt>
                <c:pt idx="6">
                  <c:v>0.74070311606060624</c:v>
                </c:pt>
                <c:pt idx="7">
                  <c:v>0.76336978272727296</c:v>
                </c:pt>
                <c:pt idx="8">
                  <c:v>0.78603644939393957</c:v>
                </c:pt>
                <c:pt idx="9">
                  <c:v>0.8087031160606063</c:v>
                </c:pt>
                <c:pt idx="10">
                  <c:v>0.83136978272727291</c:v>
                </c:pt>
                <c:pt idx="11">
                  <c:v>0.85403644939393963</c:v>
                </c:pt>
                <c:pt idx="12">
                  <c:v>0.87670311606060625</c:v>
                </c:pt>
                <c:pt idx="13">
                  <c:v>0.89936978272727297</c:v>
                </c:pt>
                <c:pt idx="14">
                  <c:v>0.92203644939393958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0.56369854606060599</c:v>
                </c:pt>
                <c:pt idx="1">
                  <c:v>0.58328187939393938</c:v>
                </c:pt>
                <c:pt idx="2">
                  <c:v>0.60286521272727267</c:v>
                </c:pt>
                <c:pt idx="3">
                  <c:v>0.62244854606060607</c:v>
                </c:pt>
                <c:pt idx="4">
                  <c:v>0.64203187939393935</c:v>
                </c:pt>
                <c:pt idx="5">
                  <c:v>0.66161521272727275</c:v>
                </c:pt>
                <c:pt idx="6">
                  <c:v>0.68119854606060604</c:v>
                </c:pt>
                <c:pt idx="7">
                  <c:v>0.70078187939393932</c:v>
                </c:pt>
                <c:pt idx="8">
                  <c:v>0.72036521272727272</c:v>
                </c:pt>
                <c:pt idx="9">
                  <c:v>0.739948546060606</c:v>
                </c:pt>
                <c:pt idx="10">
                  <c:v>0.7595318793939394</c:v>
                </c:pt>
                <c:pt idx="11">
                  <c:v>0.77911521272727269</c:v>
                </c:pt>
                <c:pt idx="12">
                  <c:v>0.79869854606060608</c:v>
                </c:pt>
                <c:pt idx="13">
                  <c:v>0.81828187939393937</c:v>
                </c:pt>
                <c:pt idx="14">
                  <c:v>0.83786521272727266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3.4403607058823535</c:v>
                </c:pt>
                <c:pt idx="1">
                  <c:v>3.6403607058823533</c:v>
                </c:pt>
                <c:pt idx="2">
                  <c:v>3.8403607058823535</c:v>
                </c:pt>
                <c:pt idx="3">
                  <c:v>4.0403607058823532</c:v>
                </c:pt>
                <c:pt idx="4">
                  <c:v>4.2403607058823534</c:v>
                </c:pt>
                <c:pt idx="5">
                  <c:v>4.4403607058823535</c:v>
                </c:pt>
                <c:pt idx="6">
                  <c:v>4.6403607058823537</c:v>
                </c:pt>
                <c:pt idx="7">
                  <c:v>4.8403607058823539</c:v>
                </c:pt>
                <c:pt idx="8">
                  <c:v>5.0403607058823532</c:v>
                </c:pt>
                <c:pt idx="9">
                  <c:v>5.2403607058823534</c:v>
                </c:pt>
                <c:pt idx="10">
                  <c:v>5.4403607058823535</c:v>
                </c:pt>
                <c:pt idx="11">
                  <c:v>5.6403607058823537</c:v>
                </c:pt>
                <c:pt idx="12">
                  <c:v>5.8403607058823539</c:v>
                </c:pt>
                <c:pt idx="13">
                  <c:v>6.0403607058823532</c:v>
                </c:pt>
                <c:pt idx="14">
                  <c:v>6.2403607058823525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3.5050738999999997</c:v>
                </c:pt>
                <c:pt idx="1">
                  <c:v>3.6225738999999999</c:v>
                </c:pt>
                <c:pt idx="2">
                  <c:v>3.7400739000000001</c:v>
                </c:pt>
                <c:pt idx="3">
                  <c:v>3.8575738999999998</c:v>
                </c:pt>
                <c:pt idx="4">
                  <c:v>3.9750738999999999</c:v>
                </c:pt>
                <c:pt idx="5">
                  <c:v>4.0925738999999997</c:v>
                </c:pt>
                <c:pt idx="6">
                  <c:v>4.2100739000000003</c:v>
                </c:pt>
                <c:pt idx="7">
                  <c:v>4.3275739</c:v>
                </c:pt>
                <c:pt idx="8">
                  <c:v>4.4450738999999997</c:v>
                </c:pt>
                <c:pt idx="9">
                  <c:v>4.5625739000000003</c:v>
                </c:pt>
                <c:pt idx="10">
                  <c:v>4.6800739</c:v>
                </c:pt>
                <c:pt idx="11">
                  <c:v>4.7975738999999997</c:v>
                </c:pt>
                <c:pt idx="12">
                  <c:v>4.9150738999999994</c:v>
                </c:pt>
                <c:pt idx="13">
                  <c:v>5.0325739</c:v>
                </c:pt>
                <c:pt idx="14">
                  <c:v>5.1500738999999998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6.7551349500000013</c:v>
                </c:pt>
                <c:pt idx="1">
                  <c:v>7.3218016166666677</c:v>
                </c:pt>
                <c:pt idx="2">
                  <c:v>7.8884682833333351</c:v>
                </c:pt>
                <c:pt idx="3">
                  <c:v>8.4551349500000015</c:v>
                </c:pt>
                <c:pt idx="4">
                  <c:v>9.0218016166666679</c:v>
                </c:pt>
                <c:pt idx="5">
                  <c:v>9.5884682833333343</c:v>
                </c:pt>
                <c:pt idx="6">
                  <c:v>10.155134950000001</c:v>
                </c:pt>
                <c:pt idx="7">
                  <c:v>10.721801616666669</c:v>
                </c:pt>
                <c:pt idx="8">
                  <c:v>11.288468283333335</c:v>
                </c:pt>
                <c:pt idx="9">
                  <c:v>11.855134950000002</c:v>
                </c:pt>
                <c:pt idx="10">
                  <c:v>12.421801616666668</c:v>
                </c:pt>
                <c:pt idx="11">
                  <c:v>12.988468283333335</c:v>
                </c:pt>
                <c:pt idx="12">
                  <c:v>13.555134950000001</c:v>
                </c:pt>
                <c:pt idx="13">
                  <c:v>14.121801616666668</c:v>
                </c:pt>
                <c:pt idx="14">
                  <c:v>14.688468283333334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6.4365924133333312</c:v>
                </c:pt>
                <c:pt idx="1">
                  <c:v>6.8282590799999978</c:v>
                </c:pt>
                <c:pt idx="2">
                  <c:v>7.2199257466666644</c:v>
                </c:pt>
                <c:pt idx="3">
                  <c:v>7.611592413333331</c:v>
                </c:pt>
                <c:pt idx="4">
                  <c:v>8.0032590799999976</c:v>
                </c:pt>
                <c:pt idx="5">
                  <c:v>8.3949257466666651</c:v>
                </c:pt>
                <c:pt idx="6">
                  <c:v>8.7865924133333309</c:v>
                </c:pt>
                <c:pt idx="7">
                  <c:v>9.1782590799999983</c:v>
                </c:pt>
                <c:pt idx="8">
                  <c:v>9.5699257466666641</c:v>
                </c:pt>
                <c:pt idx="9">
                  <c:v>9.9615924133333316</c:v>
                </c:pt>
                <c:pt idx="10">
                  <c:v>10.353259079999997</c:v>
                </c:pt>
                <c:pt idx="11">
                  <c:v>10.744925746666665</c:v>
                </c:pt>
                <c:pt idx="12">
                  <c:v>11.13659241333333</c:v>
                </c:pt>
                <c:pt idx="13">
                  <c:v>11.528259079999998</c:v>
                </c:pt>
                <c:pt idx="14">
                  <c:v>11.919925746666665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0.49618622939393947</c:v>
                </c:pt>
                <c:pt idx="1">
                  <c:v>0.52118622939393944</c:v>
                </c:pt>
                <c:pt idx="2">
                  <c:v>0.54618622939393946</c:v>
                </c:pt>
                <c:pt idx="3">
                  <c:v>0.57118622939393937</c:v>
                </c:pt>
                <c:pt idx="4">
                  <c:v>0.59618622939393939</c:v>
                </c:pt>
                <c:pt idx="5">
                  <c:v>0.62118622939393942</c:v>
                </c:pt>
                <c:pt idx="6">
                  <c:v>0.64618622939393944</c:v>
                </c:pt>
                <c:pt idx="7">
                  <c:v>0.67118622939393946</c:v>
                </c:pt>
                <c:pt idx="8">
                  <c:v>0.69618622939393948</c:v>
                </c:pt>
                <c:pt idx="9">
                  <c:v>0.72118622939393962</c:v>
                </c:pt>
                <c:pt idx="10">
                  <c:v>0.74618622939393964</c:v>
                </c:pt>
                <c:pt idx="11">
                  <c:v>0.77118622939393966</c:v>
                </c:pt>
                <c:pt idx="12">
                  <c:v>0.79618622939393979</c:v>
                </c:pt>
                <c:pt idx="13">
                  <c:v>0.82118622939393981</c:v>
                </c:pt>
                <c:pt idx="14">
                  <c:v>0.84618622939393973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0.5661289027272729</c:v>
                </c:pt>
                <c:pt idx="1">
                  <c:v>0.58312890272727291</c:v>
                </c:pt>
                <c:pt idx="2">
                  <c:v>0.60012890272727293</c:v>
                </c:pt>
                <c:pt idx="3">
                  <c:v>0.61712890272727283</c:v>
                </c:pt>
                <c:pt idx="4">
                  <c:v>0.63412890272727285</c:v>
                </c:pt>
                <c:pt idx="5">
                  <c:v>0.65112890272727286</c:v>
                </c:pt>
                <c:pt idx="6">
                  <c:v>0.66812890272727277</c:v>
                </c:pt>
                <c:pt idx="7">
                  <c:v>0.685128902727273</c:v>
                </c:pt>
                <c:pt idx="8">
                  <c:v>0.70212890272727302</c:v>
                </c:pt>
                <c:pt idx="9">
                  <c:v>0.71912890272727292</c:v>
                </c:pt>
                <c:pt idx="10">
                  <c:v>0.73612890272727294</c:v>
                </c:pt>
                <c:pt idx="11">
                  <c:v>0.75312890272727295</c:v>
                </c:pt>
                <c:pt idx="12">
                  <c:v>0.77012890272727297</c:v>
                </c:pt>
                <c:pt idx="13">
                  <c:v>0.78712890272727309</c:v>
                </c:pt>
                <c:pt idx="14">
                  <c:v>0.80412890272727311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1.8474179171122975</c:v>
                </c:pt>
                <c:pt idx="1">
                  <c:v>2.0680061524064159</c:v>
                </c:pt>
                <c:pt idx="2">
                  <c:v>2.2885943877005337</c:v>
                </c:pt>
                <c:pt idx="3">
                  <c:v>2.509182622994651</c:v>
                </c:pt>
                <c:pt idx="4">
                  <c:v>2.7297708582887688</c:v>
                </c:pt>
                <c:pt idx="5">
                  <c:v>2.9503590935828869</c:v>
                </c:pt>
                <c:pt idx="6">
                  <c:v>3.1709473288770047</c:v>
                </c:pt>
                <c:pt idx="7">
                  <c:v>3.3915355641711225</c:v>
                </c:pt>
                <c:pt idx="8">
                  <c:v>3.6121237994652406</c:v>
                </c:pt>
                <c:pt idx="9">
                  <c:v>3.8327120347593584</c:v>
                </c:pt>
                <c:pt idx="10">
                  <c:v>4.0533002700534757</c:v>
                </c:pt>
                <c:pt idx="11">
                  <c:v>4.2738885053475943</c:v>
                </c:pt>
                <c:pt idx="12">
                  <c:v>4.4944767406417112</c:v>
                </c:pt>
                <c:pt idx="13">
                  <c:v>4.7150649759358298</c:v>
                </c:pt>
                <c:pt idx="14">
                  <c:v>4.9356532112299476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2.576467123636363</c:v>
                </c:pt>
                <c:pt idx="1">
                  <c:v>2.7264671236363629</c:v>
                </c:pt>
                <c:pt idx="2">
                  <c:v>2.8764671236363633</c:v>
                </c:pt>
                <c:pt idx="3">
                  <c:v>3.0264671236363636</c:v>
                </c:pt>
                <c:pt idx="4">
                  <c:v>3.1764671236363635</c:v>
                </c:pt>
                <c:pt idx="5">
                  <c:v>3.3264671236363639</c:v>
                </c:pt>
                <c:pt idx="6">
                  <c:v>3.4764671236363638</c:v>
                </c:pt>
                <c:pt idx="7">
                  <c:v>3.6264671236363637</c:v>
                </c:pt>
                <c:pt idx="8">
                  <c:v>3.7764671236363641</c:v>
                </c:pt>
                <c:pt idx="9">
                  <c:v>3.9264671236363644</c:v>
                </c:pt>
                <c:pt idx="10">
                  <c:v>4.0764671236363643</c:v>
                </c:pt>
                <c:pt idx="11">
                  <c:v>4.2264671236363647</c:v>
                </c:pt>
                <c:pt idx="12">
                  <c:v>4.376467123636365</c:v>
                </c:pt>
                <c:pt idx="13">
                  <c:v>4.5264671236363645</c:v>
                </c:pt>
                <c:pt idx="14">
                  <c:v>4.6764671236363649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295.52562553191495</c:v>
                </c:pt>
                <c:pt idx="1">
                  <c:v>308.29158297872345</c:v>
                </c:pt>
                <c:pt idx="2">
                  <c:v>321.05754042553195</c:v>
                </c:pt>
                <c:pt idx="3">
                  <c:v>333.82349787234045</c:v>
                </c:pt>
                <c:pt idx="4">
                  <c:v>346.5894553191489</c:v>
                </c:pt>
                <c:pt idx="5">
                  <c:v>359.35541276595745</c:v>
                </c:pt>
                <c:pt idx="6">
                  <c:v>372.12137021276595</c:v>
                </c:pt>
                <c:pt idx="7">
                  <c:v>384.88732765957451</c:v>
                </c:pt>
                <c:pt idx="8">
                  <c:v>397.65328510638301</c:v>
                </c:pt>
                <c:pt idx="9">
                  <c:v>410.41924255319162</c:v>
                </c:pt>
                <c:pt idx="10">
                  <c:v>423.18520000000012</c:v>
                </c:pt>
                <c:pt idx="11">
                  <c:v>435.95115744680874</c:v>
                </c:pt>
                <c:pt idx="12">
                  <c:v>448.71711489361724</c:v>
                </c:pt>
                <c:pt idx="13">
                  <c:v>461.48307234042574</c:v>
                </c:pt>
                <c:pt idx="14">
                  <c:v>474.24902978723429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312.98196470588238</c:v>
                </c:pt>
                <c:pt idx="1">
                  <c:v>320.48196470588238</c:v>
                </c:pt>
                <c:pt idx="2">
                  <c:v>327.98196470588238</c:v>
                </c:pt>
                <c:pt idx="3">
                  <c:v>335.48196470588238</c:v>
                </c:pt>
                <c:pt idx="4">
                  <c:v>342.98196470588238</c:v>
                </c:pt>
                <c:pt idx="5">
                  <c:v>350.48196470588232</c:v>
                </c:pt>
                <c:pt idx="6">
                  <c:v>357.98196470588232</c:v>
                </c:pt>
                <c:pt idx="7">
                  <c:v>365.48196470588232</c:v>
                </c:pt>
                <c:pt idx="8">
                  <c:v>372.98196470588238</c:v>
                </c:pt>
                <c:pt idx="9">
                  <c:v>380.48196470588238</c:v>
                </c:pt>
                <c:pt idx="10">
                  <c:v>387.98196470588238</c:v>
                </c:pt>
                <c:pt idx="11">
                  <c:v>395.48196470588243</c:v>
                </c:pt>
                <c:pt idx="12">
                  <c:v>402.98196470588243</c:v>
                </c:pt>
                <c:pt idx="13">
                  <c:v>410.48196470588249</c:v>
                </c:pt>
                <c:pt idx="14">
                  <c:v>417.98196470588249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5.0863460800000002</c:v>
                </c:pt>
                <c:pt idx="1">
                  <c:v>5.5863460800000002</c:v>
                </c:pt>
                <c:pt idx="2">
                  <c:v>6.0863460800000002</c:v>
                </c:pt>
                <c:pt idx="3">
                  <c:v>6.5863460799999984</c:v>
                </c:pt>
                <c:pt idx="4">
                  <c:v>7.0863460799999984</c:v>
                </c:pt>
                <c:pt idx="5">
                  <c:v>7.5863460799999984</c:v>
                </c:pt>
                <c:pt idx="6">
                  <c:v>8.0863460799999984</c:v>
                </c:pt>
                <c:pt idx="7">
                  <c:v>8.5863460800000002</c:v>
                </c:pt>
                <c:pt idx="8">
                  <c:v>9.0863460800000002</c:v>
                </c:pt>
                <c:pt idx="9">
                  <c:v>9.586346080000002</c:v>
                </c:pt>
                <c:pt idx="10">
                  <c:v>10.086346080000002</c:v>
                </c:pt>
                <c:pt idx="11">
                  <c:v>10.586346080000004</c:v>
                </c:pt>
                <c:pt idx="12">
                  <c:v>11.086346080000006</c:v>
                </c:pt>
                <c:pt idx="13">
                  <c:v>11.586346080000006</c:v>
                </c:pt>
                <c:pt idx="14">
                  <c:v>12.086346080000006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5.7907796166666685</c:v>
                </c:pt>
                <c:pt idx="1">
                  <c:v>6.2157796166666683</c:v>
                </c:pt>
                <c:pt idx="2">
                  <c:v>6.6407796166666682</c:v>
                </c:pt>
                <c:pt idx="3">
                  <c:v>7.0657796166666662</c:v>
                </c:pt>
                <c:pt idx="4">
                  <c:v>7.4907796166666669</c:v>
                </c:pt>
                <c:pt idx="5">
                  <c:v>7.9157796166666667</c:v>
                </c:pt>
                <c:pt idx="6">
                  <c:v>8.3407796166666675</c:v>
                </c:pt>
                <c:pt idx="7">
                  <c:v>8.7657796166666682</c:v>
                </c:pt>
                <c:pt idx="8">
                  <c:v>9.1907796166666689</c:v>
                </c:pt>
                <c:pt idx="9">
                  <c:v>9.6157796166666696</c:v>
                </c:pt>
                <c:pt idx="10">
                  <c:v>10.04077961666667</c:v>
                </c:pt>
                <c:pt idx="11">
                  <c:v>10.465779616666673</c:v>
                </c:pt>
                <c:pt idx="12">
                  <c:v>10.890779616666672</c:v>
                </c:pt>
                <c:pt idx="13">
                  <c:v>11.315779616666674</c:v>
                </c:pt>
                <c:pt idx="14">
                  <c:v>11.740779616666675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0.53186892539393971</c:v>
                </c:pt>
                <c:pt idx="1">
                  <c:v>0.54936892539393956</c:v>
                </c:pt>
                <c:pt idx="2">
                  <c:v>0.56686892539393952</c:v>
                </c:pt>
                <c:pt idx="3">
                  <c:v>0.58436892539393959</c:v>
                </c:pt>
                <c:pt idx="4">
                  <c:v>0.60186892539393944</c:v>
                </c:pt>
                <c:pt idx="5">
                  <c:v>0.61936892539393951</c:v>
                </c:pt>
                <c:pt idx="6">
                  <c:v>0.63686892539393947</c:v>
                </c:pt>
                <c:pt idx="7">
                  <c:v>0.65436892539393943</c:v>
                </c:pt>
                <c:pt idx="8">
                  <c:v>0.6718689253939395</c:v>
                </c:pt>
                <c:pt idx="9">
                  <c:v>0.68936892539393946</c:v>
                </c:pt>
                <c:pt idx="10">
                  <c:v>0.70686892539393942</c:v>
                </c:pt>
                <c:pt idx="11">
                  <c:v>0.72436892539393938</c:v>
                </c:pt>
                <c:pt idx="12">
                  <c:v>0.74186892539393934</c:v>
                </c:pt>
                <c:pt idx="13">
                  <c:v>0.75936892539393941</c:v>
                </c:pt>
                <c:pt idx="14">
                  <c:v>0.77686892539393937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0.56649771806060623</c:v>
                </c:pt>
                <c:pt idx="1">
                  <c:v>0.58049771806060624</c:v>
                </c:pt>
                <c:pt idx="2">
                  <c:v>0.59449771806060625</c:v>
                </c:pt>
                <c:pt idx="3">
                  <c:v>0.60849771806060626</c:v>
                </c:pt>
                <c:pt idx="4">
                  <c:v>0.62249771806060628</c:v>
                </c:pt>
                <c:pt idx="5">
                  <c:v>0.63649771806060618</c:v>
                </c:pt>
                <c:pt idx="6">
                  <c:v>0.65049771806060619</c:v>
                </c:pt>
                <c:pt idx="7">
                  <c:v>0.6644977180606062</c:v>
                </c:pt>
                <c:pt idx="8">
                  <c:v>0.6784977180606061</c:v>
                </c:pt>
                <c:pt idx="9">
                  <c:v>0.69249771806060623</c:v>
                </c:pt>
                <c:pt idx="10">
                  <c:v>0.70649771806060613</c:v>
                </c:pt>
                <c:pt idx="11">
                  <c:v>0.72049771806060603</c:v>
                </c:pt>
                <c:pt idx="12">
                  <c:v>0.73449771806060604</c:v>
                </c:pt>
                <c:pt idx="13">
                  <c:v>0.74849771806060605</c:v>
                </c:pt>
                <c:pt idx="14">
                  <c:v>0.76249771806060607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313.74657668085121</c:v>
                </c:pt>
                <c:pt idx="1">
                  <c:v>322.68274689361715</c:v>
                </c:pt>
                <c:pt idx="2">
                  <c:v>331.61891710638309</c:v>
                </c:pt>
                <c:pt idx="3">
                  <c:v>340.55508731914904</c:v>
                </c:pt>
                <c:pt idx="4">
                  <c:v>349.49125753191498</c:v>
                </c:pt>
                <c:pt idx="5">
                  <c:v>358.42742774468087</c:v>
                </c:pt>
                <c:pt idx="6">
                  <c:v>367.36359795744687</c:v>
                </c:pt>
                <c:pt idx="7">
                  <c:v>376.29976817021281</c:v>
                </c:pt>
                <c:pt idx="8">
                  <c:v>385.23593838297876</c:v>
                </c:pt>
                <c:pt idx="9">
                  <c:v>394.17210859574476</c:v>
                </c:pt>
                <c:pt idx="10">
                  <c:v>403.10827880851065</c:v>
                </c:pt>
                <c:pt idx="11">
                  <c:v>412.04444902127659</c:v>
                </c:pt>
                <c:pt idx="12">
                  <c:v>420.98061923404254</c:v>
                </c:pt>
                <c:pt idx="13">
                  <c:v>429.91678944680848</c:v>
                </c:pt>
                <c:pt idx="14">
                  <c:v>438.85295965957448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313.14467735294119</c:v>
                </c:pt>
                <c:pt idx="1">
                  <c:v>319.32114794117643</c:v>
                </c:pt>
                <c:pt idx="2">
                  <c:v>325.49761852941174</c:v>
                </c:pt>
                <c:pt idx="3">
                  <c:v>331.67408911764699</c:v>
                </c:pt>
                <c:pt idx="4">
                  <c:v>337.85055970588235</c:v>
                </c:pt>
                <c:pt idx="5">
                  <c:v>344.02703029411765</c:v>
                </c:pt>
                <c:pt idx="6">
                  <c:v>350.2035008823529</c:v>
                </c:pt>
                <c:pt idx="7">
                  <c:v>356.3799714705882</c:v>
                </c:pt>
                <c:pt idx="8">
                  <c:v>362.55644205882351</c:v>
                </c:pt>
                <c:pt idx="9">
                  <c:v>368.73291264705881</c:v>
                </c:pt>
                <c:pt idx="10">
                  <c:v>374.90938323529411</c:v>
                </c:pt>
                <c:pt idx="11">
                  <c:v>381.08585382352936</c:v>
                </c:pt>
                <c:pt idx="12">
                  <c:v>387.26232441176467</c:v>
                </c:pt>
                <c:pt idx="13">
                  <c:v>393.43879499999997</c:v>
                </c:pt>
                <c:pt idx="14">
                  <c:v>399.61526558823527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3.3140961760000014</c:v>
                </c:pt>
                <c:pt idx="1">
                  <c:v>3.4190961760000009</c:v>
                </c:pt>
                <c:pt idx="2">
                  <c:v>3.5240961760000009</c:v>
                </c:pt>
                <c:pt idx="3">
                  <c:v>3.6290961760000009</c:v>
                </c:pt>
                <c:pt idx="4">
                  <c:v>3.7340961760000004</c:v>
                </c:pt>
                <c:pt idx="5">
                  <c:v>3.8390961760000004</c:v>
                </c:pt>
                <c:pt idx="6">
                  <c:v>3.9440961760000004</c:v>
                </c:pt>
                <c:pt idx="7">
                  <c:v>4.0490961760000008</c:v>
                </c:pt>
                <c:pt idx="8">
                  <c:v>4.1540961760000004</c:v>
                </c:pt>
                <c:pt idx="9">
                  <c:v>4.2590961760000008</c:v>
                </c:pt>
                <c:pt idx="10">
                  <c:v>4.3640961760000003</c:v>
                </c:pt>
                <c:pt idx="11">
                  <c:v>4.4690961759999999</c:v>
                </c:pt>
                <c:pt idx="12">
                  <c:v>4.5740961760000003</c:v>
                </c:pt>
                <c:pt idx="13">
                  <c:v>4.6790961759999998</c:v>
                </c:pt>
                <c:pt idx="14">
                  <c:v>4.7840961760000003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5.8000000000000025</c:v>
                </c:pt>
                <c:pt idx="1">
                  <c:v>6.1500000000000021</c:v>
                </c:pt>
                <c:pt idx="2">
                  <c:v>6.5000000000000018</c:v>
                </c:pt>
                <c:pt idx="3">
                  <c:v>6.8500000000000014</c:v>
                </c:pt>
                <c:pt idx="4">
                  <c:v>7.2000000000000011</c:v>
                </c:pt>
                <c:pt idx="5">
                  <c:v>7.5500000000000007</c:v>
                </c:pt>
                <c:pt idx="6">
                  <c:v>7.9</c:v>
                </c:pt>
                <c:pt idx="7">
                  <c:v>8.25</c:v>
                </c:pt>
                <c:pt idx="8">
                  <c:v>8.6</c:v>
                </c:pt>
                <c:pt idx="9">
                  <c:v>8.9499999999999993</c:v>
                </c:pt>
                <c:pt idx="10">
                  <c:v>9.2999999999999989</c:v>
                </c:pt>
                <c:pt idx="11">
                  <c:v>9.6499999999999986</c:v>
                </c:pt>
                <c:pt idx="12">
                  <c:v>9.9999999999999982</c:v>
                </c:pt>
                <c:pt idx="13">
                  <c:v>10.349999999999998</c:v>
                </c:pt>
                <c:pt idx="14">
                  <c:v>10.699999999999998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3.1032542529411771</c:v>
                </c:pt>
                <c:pt idx="1">
                  <c:v>3.226783664705883</c:v>
                </c:pt>
                <c:pt idx="2">
                  <c:v>3.3503130764705888</c:v>
                </c:pt>
                <c:pt idx="3">
                  <c:v>3.4738424882352947</c:v>
                </c:pt>
                <c:pt idx="4">
                  <c:v>3.5973719000000006</c:v>
                </c:pt>
                <c:pt idx="5">
                  <c:v>3.7209013117647065</c:v>
                </c:pt>
                <c:pt idx="6">
                  <c:v>3.844430723529412</c:v>
                </c:pt>
                <c:pt idx="7">
                  <c:v>3.9679601352941178</c:v>
                </c:pt>
                <c:pt idx="8">
                  <c:v>4.0914895470588233</c:v>
                </c:pt>
                <c:pt idx="9">
                  <c:v>4.2150189588235296</c:v>
                </c:pt>
                <c:pt idx="10">
                  <c:v>4.3385483705882351</c:v>
                </c:pt>
                <c:pt idx="11">
                  <c:v>4.4620777823529405</c:v>
                </c:pt>
                <c:pt idx="12">
                  <c:v>4.5856071941176468</c:v>
                </c:pt>
                <c:pt idx="13">
                  <c:v>4.7091366058823523</c:v>
                </c:pt>
                <c:pt idx="14">
                  <c:v>4.8326660176470586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1.9836103818181783</c:v>
                </c:pt>
                <c:pt idx="1">
                  <c:v>2.6086103818181803</c:v>
                </c:pt>
                <c:pt idx="2">
                  <c:v>3.2336103818181803</c:v>
                </c:pt>
                <c:pt idx="3">
                  <c:v>3.8586103818181803</c:v>
                </c:pt>
                <c:pt idx="4">
                  <c:v>4.4836103818181803</c:v>
                </c:pt>
                <c:pt idx="5">
                  <c:v>5.1086103818181821</c:v>
                </c:pt>
                <c:pt idx="6">
                  <c:v>5.7336103818181821</c:v>
                </c:pt>
                <c:pt idx="7">
                  <c:v>6.3586103818181821</c:v>
                </c:pt>
                <c:pt idx="8">
                  <c:v>6.9836103818181838</c:v>
                </c:pt>
                <c:pt idx="9">
                  <c:v>7.6086103818181838</c:v>
                </c:pt>
                <c:pt idx="10">
                  <c:v>8.2336103818181847</c:v>
                </c:pt>
                <c:pt idx="11">
                  <c:v>8.8586103818181865</c:v>
                </c:pt>
                <c:pt idx="12">
                  <c:v>9.4836103818181829</c:v>
                </c:pt>
                <c:pt idx="13">
                  <c:v>10.108610381818186</c:v>
                </c:pt>
                <c:pt idx="14">
                  <c:v>10.733610381818186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0.3949999999999998</c:v>
                </c:pt>
                <c:pt idx="1">
                  <c:v>0.41999999999999982</c:v>
                </c:pt>
                <c:pt idx="2">
                  <c:v>0.44499999999999984</c:v>
                </c:pt>
                <c:pt idx="3">
                  <c:v>0.46999999999999986</c:v>
                </c:pt>
                <c:pt idx="4">
                  <c:v>0.49499999999999988</c:v>
                </c:pt>
                <c:pt idx="5">
                  <c:v>0.51999999999999991</c:v>
                </c:pt>
                <c:pt idx="6">
                  <c:v>0.54499999999999993</c:v>
                </c:pt>
                <c:pt idx="7">
                  <c:v>0.56999999999999995</c:v>
                </c:pt>
                <c:pt idx="8">
                  <c:v>0.59499999999999997</c:v>
                </c:pt>
                <c:pt idx="9">
                  <c:v>0.62</c:v>
                </c:pt>
                <c:pt idx="10">
                  <c:v>0.64500000000000002</c:v>
                </c:pt>
                <c:pt idx="11">
                  <c:v>0.67</c:v>
                </c:pt>
                <c:pt idx="12">
                  <c:v>0.69500000000000006</c:v>
                </c:pt>
                <c:pt idx="13">
                  <c:v>0.72000000000000008</c:v>
                </c:pt>
                <c:pt idx="14">
                  <c:v>0.74500000000000011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3.2893931587878757</c:v>
                </c:pt>
                <c:pt idx="1">
                  <c:v>3.7893931587878757</c:v>
                </c:pt>
                <c:pt idx="2">
                  <c:v>4.2893931587878757</c:v>
                </c:pt>
                <c:pt idx="3">
                  <c:v>4.7893931587878775</c:v>
                </c:pt>
                <c:pt idx="4">
                  <c:v>5.2893931587878775</c:v>
                </c:pt>
                <c:pt idx="5">
                  <c:v>5.7893931587878775</c:v>
                </c:pt>
                <c:pt idx="6">
                  <c:v>6.2893931587878775</c:v>
                </c:pt>
                <c:pt idx="7">
                  <c:v>6.7893931587878775</c:v>
                </c:pt>
                <c:pt idx="8">
                  <c:v>7.2893931587878793</c:v>
                </c:pt>
                <c:pt idx="9">
                  <c:v>7.7893931587878793</c:v>
                </c:pt>
                <c:pt idx="10">
                  <c:v>8.2893931587878793</c:v>
                </c:pt>
                <c:pt idx="11">
                  <c:v>8.7893931587878793</c:v>
                </c:pt>
                <c:pt idx="12">
                  <c:v>9.2893931587878811</c:v>
                </c:pt>
                <c:pt idx="13">
                  <c:v>9.7893931587878811</c:v>
                </c:pt>
                <c:pt idx="14">
                  <c:v>10.289393158787881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0.56693644939393928</c:v>
                </c:pt>
                <c:pt idx="1">
                  <c:v>0.589603116060606</c:v>
                </c:pt>
                <c:pt idx="2">
                  <c:v>0.61226978272727262</c:v>
                </c:pt>
                <c:pt idx="3">
                  <c:v>0.63493644939393934</c:v>
                </c:pt>
                <c:pt idx="4">
                  <c:v>0.65760311606060595</c:v>
                </c:pt>
                <c:pt idx="5">
                  <c:v>0.68026978272727268</c:v>
                </c:pt>
                <c:pt idx="6">
                  <c:v>0.70293644939393929</c:v>
                </c:pt>
                <c:pt idx="7">
                  <c:v>0.7256031160606059</c:v>
                </c:pt>
                <c:pt idx="8">
                  <c:v>0.74826978272727263</c:v>
                </c:pt>
                <c:pt idx="9">
                  <c:v>0.77093644939393924</c:v>
                </c:pt>
                <c:pt idx="10">
                  <c:v>0.79360311606060596</c:v>
                </c:pt>
                <c:pt idx="11">
                  <c:v>0.81626978272727257</c:v>
                </c:pt>
                <c:pt idx="12">
                  <c:v>0.8389364493939393</c:v>
                </c:pt>
                <c:pt idx="13">
                  <c:v>0.86160311606060591</c:v>
                </c:pt>
                <c:pt idx="14">
                  <c:v>0.88426978272727264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0.54053212939393935</c:v>
                </c:pt>
                <c:pt idx="1">
                  <c:v>0.56011546272727264</c:v>
                </c:pt>
                <c:pt idx="2">
                  <c:v>0.57969879606060604</c:v>
                </c:pt>
                <c:pt idx="3">
                  <c:v>0.59928212939393932</c:v>
                </c:pt>
                <c:pt idx="4">
                  <c:v>0.61886546272727272</c:v>
                </c:pt>
                <c:pt idx="5">
                  <c:v>0.63844879606060601</c:v>
                </c:pt>
                <c:pt idx="6">
                  <c:v>0.6580321293939394</c:v>
                </c:pt>
                <c:pt idx="7">
                  <c:v>0.67761546272727269</c:v>
                </c:pt>
                <c:pt idx="8">
                  <c:v>0.69719879606060597</c:v>
                </c:pt>
                <c:pt idx="9">
                  <c:v>0.71678212939393937</c:v>
                </c:pt>
                <c:pt idx="10">
                  <c:v>0.73636546272727266</c:v>
                </c:pt>
                <c:pt idx="11">
                  <c:v>0.75594879606060605</c:v>
                </c:pt>
                <c:pt idx="12">
                  <c:v>0.77553212939393934</c:v>
                </c:pt>
                <c:pt idx="13">
                  <c:v>0.79511546272727263</c:v>
                </c:pt>
                <c:pt idx="14">
                  <c:v>0.81469879606060602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3.3645042352941172</c:v>
                </c:pt>
                <c:pt idx="1">
                  <c:v>3.564504235294117</c:v>
                </c:pt>
                <c:pt idx="2">
                  <c:v>3.7645042352941172</c:v>
                </c:pt>
                <c:pt idx="3">
                  <c:v>3.9645042352941173</c:v>
                </c:pt>
                <c:pt idx="4">
                  <c:v>4.1645042352941175</c:v>
                </c:pt>
                <c:pt idx="5">
                  <c:v>4.3645042352941168</c:v>
                </c:pt>
                <c:pt idx="6">
                  <c:v>4.564504235294117</c:v>
                </c:pt>
                <c:pt idx="7">
                  <c:v>4.7645042352941172</c:v>
                </c:pt>
                <c:pt idx="8">
                  <c:v>4.9645042352941173</c:v>
                </c:pt>
                <c:pt idx="9">
                  <c:v>5.1645042352941175</c:v>
                </c:pt>
                <c:pt idx="10">
                  <c:v>5.3645042352941168</c:v>
                </c:pt>
                <c:pt idx="11">
                  <c:v>5.564504235294117</c:v>
                </c:pt>
                <c:pt idx="12">
                  <c:v>5.7645042352941172</c:v>
                </c:pt>
                <c:pt idx="13">
                  <c:v>5.9645042352941173</c:v>
                </c:pt>
                <c:pt idx="14">
                  <c:v>6.1645042352941175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3.4496599000000003</c:v>
                </c:pt>
                <c:pt idx="1">
                  <c:v>3.5671599000000005</c:v>
                </c:pt>
                <c:pt idx="2">
                  <c:v>3.6846599000000002</c:v>
                </c:pt>
                <c:pt idx="3">
                  <c:v>3.8021599000000004</c:v>
                </c:pt>
                <c:pt idx="4">
                  <c:v>3.9196599000000005</c:v>
                </c:pt>
                <c:pt idx="5">
                  <c:v>4.0371599000000007</c:v>
                </c:pt>
                <c:pt idx="6">
                  <c:v>4.1546599000000004</c:v>
                </c:pt>
                <c:pt idx="7">
                  <c:v>4.2721599000000001</c:v>
                </c:pt>
                <c:pt idx="8">
                  <c:v>4.3896599000000007</c:v>
                </c:pt>
                <c:pt idx="9">
                  <c:v>4.5071599000000004</c:v>
                </c:pt>
                <c:pt idx="10">
                  <c:v>4.6246599000000002</c:v>
                </c:pt>
                <c:pt idx="11">
                  <c:v>4.7421599000000008</c:v>
                </c:pt>
                <c:pt idx="12">
                  <c:v>4.8596599000000005</c:v>
                </c:pt>
                <c:pt idx="13">
                  <c:v>4.9771599000000002</c:v>
                </c:pt>
                <c:pt idx="14">
                  <c:v>5.0946598999999999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6.2820216166666674</c:v>
                </c:pt>
                <c:pt idx="1">
                  <c:v>6.8486882833333338</c:v>
                </c:pt>
                <c:pt idx="2">
                  <c:v>7.4153549500000002</c:v>
                </c:pt>
                <c:pt idx="3">
                  <c:v>7.9820216166666675</c:v>
                </c:pt>
                <c:pt idx="4">
                  <c:v>8.5486882833333357</c:v>
                </c:pt>
                <c:pt idx="5">
                  <c:v>9.1153549500000022</c:v>
                </c:pt>
                <c:pt idx="6">
                  <c:v>9.6820216166666686</c:v>
                </c:pt>
                <c:pt idx="7">
                  <c:v>10.248688283333335</c:v>
                </c:pt>
                <c:pt idx="8">
                  <c:v>10.815354950000001</c:v>
                </c:pt>
                <c:pt idx="9">
                  <c:v>11.382021616666668</c:v>
                </c:pt>
                <c:pt idx="10">
                  <c:v>11.948688283333334</c:v>
                </c:pt>
                <c:pt idx="11">
                  <c:v>12.515354950000001</c:v>
                </c:pt>
                <c:pt idx="12">
                  <c:v>13.082021616666669</c:v>
                </c:pt>
                <c:pt idx="13">
                  <c:v>13.648688283333335</c:v>
                </c:pt>
                <c:pt idx="14">
                  <c:v>14.215354950000002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6.2000357466666669</c:v>
                </c:pt>
                <c:pt idx="1">
                  <c:v>6.5917024133333335</c:v>
                </c:pt>
                <c:pt idx="2">
                  <c:v>6.9833690800000001</c:v>
                </c:pt>
                <c:pt idx="3">
                  <c:v>7.3750357466666667</c:v>
                </c:pt>
                <c:pt idx="4">
                  <c:v>7.7667024133333333</c:v>
                </c:pt>
                <c:pt idx="5">
                  <c:v>8.1583690799999999</c:v>
                </c:pt>
                <c:pt idx="6">
                  <c:v>8.5500357466666674</c:v>
                </c:pt>
                <c:pt idx="7">
                  <c:v>8.9417024133333332</c:v>
                </c:pt>
                <c:pt idx="8">
                  <c:v>9.3333690800000007</c:v>
                </c:pt>
                <c:pt idx="9">
                  <c:v>9.7250357466666664</c:v>
                </c:pt>
                <c:pt idx="10">
                  <c:v>10.116702413333334</c:v>
                </c:pt>
                <c:pt idx="11">
                  <c:v>10.50836908</c:v>
                </c:pt>
                <c:pt idx="12">
                  <c:v>10.900035746666667</c:v>
                </c:pt>
                <c:pt idx="13">
                  <c:v>11.291702413333333</c:v>
                </c:pt>
                <c:pt idx="14">
                  <c:v>11.68336908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0.48225547939393937</c:v>
                </c:pt>
                <c:pt idx="1">
                  <c:v>0.50725547939393933</c:v>
                </c:pt>
                <c:pt idx="2">
                  <c:v>0.53225547939393936</c:v>
                </c:pt>
                <c:pt idx="3">
                  <c:v>0.55725547939393927</c:v>
                </c:pt>
                <c:pt idx="4">
                  <c:v>0.58225547939393929</c:v>
                </c:pt>
                <c:pt idx="5">
                  <c:v>0.60725547939393931</c:v>
                </c:pt>
                <c:pt idx="6">
                  <c:v>0.63225547939393933</c:v>
                </c:pt>
                <c:pt idx="7">
                  <c:v>0.65725547939393936</c:v>
                </c:pt>
                <c:pt idx="8">
                  <c:v>0.68225547939393938</c:v>
                </c:pt>
                <c:pt idx="9">
                  <c:v>0.70725547939393951</c:v>
                </c:pt>
                <c:pt idx="10">
                  <c:v>0.73225547939393953</c:v>
                </c:pt>
                <c:pt idx="11">
                  <c:v>0.75725547939393956</c:v>
                </c:pt>
                <c:pt idx="12">
                  <c:v>0.78225547939393969</c:v>
                </c:pt>
                <c:pt idx="13">
                  <c:v>0.80725547939393971</c:v>
                </c:pt>
                <c:pt idx="14">
                  <c:v>0.83225547939393962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0.53695930272727277</c:v>
                </c:pt>
                <c:pt idx="1">
                  <c:v>0.55395930272727278</c:v>
                </c:pt>
                <c:pt idx="2">
                  <c:v>0.5709593027272728</c:v>
                </c:pt>
                <c:pt idx="3">
                  <c:v>0.5879593027272727</c:v>
                </c:pt>
                <c:pt idx="4">
                  <c:v>0.60495930272727272</c:v>
                </c:pt>
                <c:pt idx="5">
                  <c:v>0.62195930272727273</c:v>
                </c:pt>
                <c:pt idx="6">
                  <c:v>0.63895930272727275</c:v>
                </c:pt>
                <c:pt idx="7">
                  <c:v>0.65595930272727276</c:v>
                </c:pt>
                <c:pt idx="8">
                  <c:v>0.67295930272727278</c:v>
                </c:pt>
                <c:pt idx="9">
                  <c:v>0.68995930272727279</c:v>
                </c:pt>
                <c:pt idx="10">
                  <c:v>0.70695930272727281</c:v>
                </c:pt>
                <c:pt idx="11">
                  <c:v>0.72395930272727294</c:v>
                </c:pt>
                <c:pt idx="12">
                  <c:v>0.74095930272727295</c:v>
                </c:pt>
                <c:pt idx="13">
                  <c:v>0.75795930272727308</c:v>
                </c:pt>
                <c:pt idx="14">
                  <c:v>0.77495930272727309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300.24171063829789</c:v>
                </c:pt>
                <c:pt idx="1">
                  <c:v>313.00766808510639</c:v>
                </c:pt>
                <c:pt idx="2">
                  <c:v>325.77362553191489</c:v>
                </c:pt>
                <c:pt idx="3">
                  <c:v>338.53958297872339</c:v>
                </c:pt>
                <c:pt idx="4">
                  <c:v>351.30554042553183</c:v>
                </c:pt>
                <c:pt idx="5">
                  <c:v>364.07149787234039</c:v>
                </c:pt>
                <c:pt idx="6">
                  <c:v>376.83745531914894</c:v>
                </c:pt>
                <c:pt idx="7">
                  <c:v>389.60341276595744</c:v>
                </c:pt>
                <c:pt idx="8">
                  <c:v>402.369370212766</c:v>
                </c:pt>
                <c:pt idx="9">
                  <c:v>415.13532765957456</c:v>
                </c:pt>
                <c:pt idx="10">
                  <c:v>427.90128510638306</c:v>
                </c:pt>
                <c:pt idx="11">
                  <c:v>440.66724255319156</c:v>
                </c:pt>
                <c:pt idx="12">
                  <c:v>453.43320000000017</c:v>
                </c:pt>
                <c:pt idx="13">
                  <c:v>466.19915744680867</c:v>
                </c:pt>
                <c:pt idx="14">
                  <c:v>478.96511489361723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316.77478823529418</c:v>
                </c:pt>
                <c:pt idx="1">
                  <c:v>324.27478823529418</c:v>
                </c:pt>
                <c:pt idx="2">
                  <c:v>331.77478823529424</c:v>
                </c:pt>
                <c:pt idx="3">
                  <c:v>339.27478823529418</c:v>
                </c:pt>
                <c:pt idx="4">
                  <c:v>346.77478823529412</c:v>
                </c:pt>
                <c:pt idx="5">
                  <c:v>354.27478823529412</c:v>
                </c:pt>
                <c:pt idx="6">
                  <c:v>361.77478823529412</c:v>
                </c:pt>
                <c:pt idx="7">
                  <c:v>369.27478823529418</c:v>
                </c:pt>
                <c:pt idx="8">
                  <c:v>376.77478823529418</c:v>
                </c:pt>
                <c:pt idx="9">
                  <c:v>384.27478823529418</c:v>
                </c:pt>
                <c:pt idx="10">
                  <c:v>391.77478823529424</c:v>
                </c:pt>
                <c:pt idx="11">
                  <c:v>399.27478823529424</c:v>
                </c:pt>
                <c:pt idx="12">
                  <c:v>406.77478823529424</c:v>
                </c:pt>
                <c:pt idx="13">
                  <c:v>414.2747882352943</c:v>
                </c:pt>
                <c:pt idx="14">
                  <c:v>421.7747882352943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5.034502746666667</c:v>
                </c:pt>
                <c:pt idx="1">
                  <c:v>5.534502746666667</c:v>
                </c:pt>
                <c:pt idx="2">
                  <c:v>6.034502746666667</c:v>
                </c:pt>
                <c:pt idx="3">
                  <c:v>6.5345027466666652</c:v>
                </c:pt>
                <c:pt idx="4">
                  <c:v>7.0345027466666652</c:v>
                </c:pt>
                <c:pt idx="5">
                  <c:v>7.5345027466666652</c:v>
                </c:pt>
                <c:pt idx="6">
                  <c:v>8.0345027466666661</c:v>
                </c:pt>
                <c:pt idx="7">
                  <c:v>8.5345027466666679</c:v>
                </c:pt>
                <c:pt idx="8">
                  <c:v>9.0345027466666679</c:v>
                </c:pt>
                <c:pt idx="9">
                  <c:v>9.5345027466666696</c:v>
                </c:pt>
                <c:pt idx="10">
                  <c:v>10.03450274666667</c:v>
                </c:pt>
                <c:pt idx="11">
                  <c:v>10.534502746666671</c:v>
                </c:pt>
                <c:pt idx="12">
                  <c:v>11.034502746666673</c:v>
                </c:pt>
                <c:pt idx="13">
                  <c:v>11.534502746666673</c:v>
                </c:pt>
                <c:pt idx="14">
                  <c:v>12.034502746666673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3.1000000000000005</c:v>
                </c:pt>
                <c:pt idx="1">
                  <c:v>3.2500000000000004</c:v>
                </c:pt>
                <c:pt idx="2">
                  <c:v>3.4000000000000004</c:v>
                </c:pt>
                <c:pt idx="3">
                  <c:v>3.5500000000000003</c:v>
                </c:pt>
                <c:pt idx="4">
                  <c:v>3.7</c:v>
                </c:pt>
                <c:pt idx="5">
                  <c:v>3.85</c:v>
                </c:pt>
                <c:pt idx="6">
                  <c:v>4</c:v>
                </c:pt>
                <c:pt idx="7">
                  <c:v>4.1500000000000004</c:v>
                </c:pt>
                <c:pt idx="8">
                  <c:v>4.3000000000000007</c:v>
                </c:pt>
                <c:pt idx="9">
                  <c:v>4.4500000000000011</c:v>
                </c:pt>
                <c:pt idx="10">
                  <c:v>4.6000000000000014</c:v>
                </c:pt>
                <c:pt idx="11">
                  <c:v>4.7500000000000018</c:v>
                </c:pt>
                <c:pt idx="12">
                  <c:v>4.9000000000000021</c:v>
                </c:pt>
                <c:pt idx="13">
                  <c:v>5.0500000000000025</c:v>
                </c:pt>
                <c:pt idx="14">
                  <c:v>5.2000000000000028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5.5325929500000042</c:v>
                </c:pt>
                <c:pt idx="1">
                  <c:v>5.957592950000004</c:v>
                </c:pt>
                <c:pt idx="2">
                  <c:v>6.3825929500000038</c:v>
                </c:pt>
                <c:pt idx="3">
                  <c:v>6.8075929500000019</c:v>
                </c:pt>
                <c:pt idx="4">
                  <c:v>7.2325929500000017</c:v>
                </c:pt>
                <c:pt idx="5">
                  <c:v>7.6575929500000024</c:v>
                </c:pt>
                <c:pt idx="6">
                  <c:v>8.0825929500000022</c:v>
                </c:pt>
                <c:pt idx="7">
                  <c:v>8.5075929500000047</c:v>
                </c:pt>
                <c:pt idx="8">
                  <c:v>8.9325929500000036</c:v>
                </c:pt>
                <c:pt idx="9">
                  <c:v>9.3575929500000061</c:v>
                </c:pt>
                <c:pt idx="10">
                  <c:v>9.7825929500000068</c:v>
                </c:pt>
                <c:pt idx="11">
                  <c:v>10.207592950000008</c:v>
                </c:pt>
                <c:pt idx="12">
                  <c:v>10.632592950000006</c:v>
                </c:pt>
                <c:pt idx="13">
                  <c:v>11.057592950000011</c:v>
                </c:pt>
                <c:pt idx="14">
                  <c:v>11.48259295000001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 x14ac:dyDescent="0.15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 x14ac:dyDescent="0.1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1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15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185</v>
      </c>
    </row>
    <row r="4" spans="1:6" x14ac:dyDescent="0.15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187</v>
      </c>
    </row>
    <row r="5" spans="1:6" x14ac:dyDescent="0.15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188</v>
      </c>
    </row>
    <row r="8" spans="1:6" x14ac:dyDescent="0.1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1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15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185</v>
      </c>
    </row>
    <row r="11" spans="1:6" x14ac:dyDescent="0.15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187</v>
      </c>
    </row>
    <row r="12" spans="1:6" x14ac:dyDescent="0.15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16384" width="9.33203125" style="75"/>
  </cols>
  <sheetData>
    <row r="1" spans="1:13" s="62" customFormat="1" ht="12" hidden="1" x14ac:dyDescent="0.15">
      <c r="B1" s="462" t="s">
        <v>46</v>
      </c>
      <c r="C1" s="462"/>
      <c r="D1" s="462"/>
      <c r="E1" s="462"/>
      <c r="F1" s="462"/>
      <c r="G1" s="462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15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15">
      <c r="A4" s="62" t="s">
        <v>42</v>
      </c>
      <c r="B4" s="67">
        <f>Conventional!L8</f>
        <v>0.56999999999999995</v>
      </c>
      <c r="C4" s="68">
        <f>Conventional!N8</f>
        <v>400</v>
      </c>
      <c r="D4" s="69">
        <f>Conventional!P8</f>
        <v>4.1500000000000004</v>
      </c>
      <c r="E4" s="69">
        <f>Conventional!R8</f>
        <v>8.25</v>
      </c>
      <c r="F4" s="69">
        <f>Conventional!T8</f>
        <v>3.7350000000000003</v>
      </c>
      <c r="G4" s="69">
        <f>Conventional!X8</f>
        <v>5.5</v>
      </c>
    </row>
    <row r="5" spans="1:13" s="62" customFormat="1" ht="12" hidden="1" x14ac:dyDescent="0.15">
      <c r="A5" s="70" t="s">
        <v>44</v>
      </c>
      <c r="B5" s="71">
        <f t="shared" ref="B5:G5" si="0">B3*B4</f>
        <v>427.49999999999994</v>
      </c>
      <c r="C5" s="71">
        <f>C3*C4/2000</f>
        <v>680</v>
      </c>
      <c r="D5" s="71">
        <f t="shared" si="0"/>
        <v>352.75000000000006</v>
      </c>
      <c r="E5" s="71">
        <f t="shared" si="0"/>
        <v>247.5</v>
      </c>
      <c r="F5" s="71">
        <f t="shared" si="0"/>
        <v>242.77500000000003</v>
      </c>
      <c r="G5" s="71">
        <f t="shared" si="0"/>
        <v>302.5</v>
      </c>
    </row>
    <row r="6" spans="1:13" s="62" customFormat="1" ht="12" hidden="1" x14ac:dyDescent="0.15">
      <c r="A6" s="70" t="s">
        <v>43</v>
      </c>
      <c r="B6" s="73">
        <f>Conventional!L30</f>
        <v>451.6511370454545</v>
      </c>
      <c r="C6" s="73">
        <f>Conventional!N30</f>
        <v>587.44880000000001</v>
      </c>
      <c r="D6" s="73">
        <f>Conventional!P30</f>
        <v>312.43165999999997</v>
      </c>
      <c r="E6" s="73">
        <f>Conventional!R30</f>
        <v>214.90944850000002</v>
      </c>
      <c r="F6" s="73">
        <f>Conventional!T30</f>
        <v>218.02472824999998</v>
      </c>
      <c r="G6" s="73">
        <f>Conventional!X30</f>
        <v>180.55378820000001</v>
      </c>
    </row>
    <row r="7" spans="1:13" s="62" customFormat="1" ht="16" x14ac:dyDescent="0.2">
      <c r="A7" s="465" t="s">
        <v>128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15">
      <c r="A10" s="458" t="s">
        <v>51</v>
      </c>
      <c r="B10" s="458"/>
      <c r="C10" s="458"/>
      <c r="D10" s="458"/>
      <c r="E10" s="458"/>
      <c r="F10" s="458"/>
      <c r="H10" s="458" t="s">
        <v>52</v>
      </c>
      <c r="I10" s="458"/>
      <c r="J10" s="458"/>
      <c r="K10" s="458"/>
      <c r="L10" s="458"/>
      <c r="M10" s="458"/>
    </row>
    <row r="11" spans="1:13" s="62" customFormat="1" ht="12" x14ac:dyDescent="0.15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2.9050000000000002</v>
      </c>
      <c r="B14" s="85">
        <f>$A$14*B$13-$D$6</f>
        <v>-127.23790999999994</v>
      </c>
      <c r="C14" s="85">
        <f>$A$14*C$13-$D$6</f>
        <v>-90.199159999999949</v>
      </c>
      <c r="D14" s="85">
        <f>$A$14*D$13-$D$6</f>
        <v>-65.506659999999954</v>
      </c>
      <c r="E14" s="85">
        <f>$A$14*E$13-$D$6</f>
        <v>-40.814159999999902</v>
      </c>
      <c r="F14" s="85">
        <f>$A$14*F$13-$D$6</f>
        <v>-3.7754099999999653</v>
      </c>
      <c r="H14" s="84">
        <f>Irrigated!H14</f>
        <v>0.39899999999999997</v>
      </c>
      <c r="I14" s="85">
        <f>$H$14*I$13-$B$6</f>
        <v>-227.21363704545453</v>
      </c>
      <c r="J14" s="85">
        <f>$H$14*J$13-$B$6</f>
        <v>-182.32613704545452</v>
      </c>
      <c r="K14" s="85">
        <f>$H$14*K$13-$B$6</f>
        <v>-152.4011370454545</v>
      </c>
      <c r="L14" s="85">
        <f>$H$14*L$13-$B$6</f>
        <v>-122.47613704545449</v>
      </c>
      <c r="M14" s="85">
        <f>$H$14*M$13-$B$6</f>
        <v>-77.588637045454561</v>
      </c>
    </row>
    <row r="15" spans="1:13" x14ac:dyDescent="0.15">
      <c r="A15" s="86">
        <f>Irrigated!A15</f>
        <v>3.5275000000000003</v>
      </c>
      <c r="B15" s="87">
        <f>$A$15*B$13-$D$6</f>
        <v>-87.553534999999954</v>
      </c>
      <c r="C15" s="87">
        <f>$A$15*C$13-$D$6</f>
        <v>-42.577909999999918</v>
      </c>
      <c r="D15" s="87">
        <f>$A$15*D$13-$D$6</f>
        <v>-12.594159999999931</v>
      </c>
      <c r="E15" s="87">
        <f>$A$15*E$13-$D$6</f>
        <v>17.389590000000112</v>
      </c>
      <c r="F15" s="87">
        <f>$A$15*F$13-$D$6</f>
        <v>62.365215000000092</v>
      </c>
      <c r="H15" s="86">
        <f>Irrigated!H15</f>
        <v>0.48449999999999993</v>
      </c>
      <c r="I15" s="87">
        <f>$H$15*I$13-$B$6</f>
        <v>-179.11988704545456</v>
      </c>
      <c r="J15" s="87">
        <f>$H$15*J$13-$B$6</f>
        <v>-124.61363704545454</v>
      </c>
      <c r="K15" s="87">
        <f>$H$15*K$13-$B$6</f>
        <v>-88.276137045454561</v>
      </c>
      <c r="L15" s="87">
        <f>$H$15*L$13-$B$6</f>
        <v>-51.938637045454527</v>
      </c>
      <c r="M15" s="87">
        <f>$H$15*M$13-$B$6</f>
        <v>2.5676129545454387</v>
      </c>
    </row>
    <row r="16" spans="1:13" x14ac:dyDescent="0.15">
      <c r="A16" s="86">
        <f>Irrigated!A16</f>
        <v>4.1500000000000004</v>
      </c>
      <c r="B16" s="87">
        <f>$A$16*B$13-$D$6</f>
        <v>-47.869159999999965</v>
      </c>
      <c r="C16" s="87">
        <f>$A$16*C$13-$D$6</f>
        <v>5.0433400000000574</v>
      </c>
      <c r="D16" s="87">
        <f>$A$16*D$13-$D$6</f>
        <v>40.318340000000092</v>
      </c>
      <c r="E16" s="87">
        <f>$A$16*E$13-$D$6</f>
        <v>75.593340000000126</v>
      </c>
      <c r="F16" s="87">
        <f>$A$16*F$13-$D$6</f>
        <v>128.50584000000009</v>
      </c>
      <c r="H16" s="86">
        <f>Irrigated!H16</f>
        <v>0.56999999999999995</v>
      </c>
      <c r="I16" s="87">
        <f>$H$16*I$13-$B$6</f>
        <v>-131.0261370454545</v>
      </c>
      <c r="J16" s="87">
        <f>$H$16*J$13-$B$6</f>
        <v>-66.901137045454561</v>
      </c>
      <c r="K16" s="87">
        <f>$H$16*K$13-$B$6</f>
        <v>-24.151137045454561</v>
      </c>
      <c r="L16" s="87">
        <f>$H$16*L$13-$B$6</f>
        <v>18.598862954545496</v>
      </c>
      <c r="M16" s="87">
        <f>$H$16*M$13-$B$6</f>
        <v>82.723862954545496</v>
      </c>
    </row>
    <row r="17" spans="1:13" x14ac:dyDescent="0.15">
      <c r="A17" s="86">
        <f>Irrigated!A17</f>
        <v>4.7725</v>
      </c>
      <c r="B17" s="87">
        <f>$A$17*B$13-$D$6</f>
        <v>-8.1847849999999767</v>
      </c>
      <c r="C17" s="87">
        <f>$A$17*C$13-$D$6</f>
        <v>52.664590000000032</v>
      </c>
      <c r="D17" s="87">
        <f>$A$17*D$13-$D$6</f>
        <v>93.230840000000057</v>
      </c>
      <c r="E17" s="87">
        <f>$A$17*E$13-$D$6</f>
        <v>133.79709000000008</v>
      </c>
      <c r="F17" s="87">
        <f>$A$17*F$13-$D$6</f>
        <v>194.64646500000003</v>
      </c>
      <c r="H17" s="86">
        <f>Irrigated!H17</f>
        <v>0.65549999999999986</v>
      </c>
      <c r="I17" s="87">
        <f>$H$17*I$13-$B$6</f>
        <v>-82.932387045454561</v>
      </c>
      <c r="J17" s="87">
        <f>$H$17*J$13-$B$6</f>
        <v>-9.188637045454584</v>
      </c>
      <c r="K17" s="87">
        <f>$H$17*K$13-$B$6</f>
        <v>39.973862954545382</v>
      </c>
      <c r="L17" s="87">
        <f>$H$17*L$13-$B$6</f>
        <v>89.136362954545405</v>
      </c>
      <c r="M17" s="87">
        <f>$H$17*M$13-$B$6</f>
        <v>162.88011295454538</v>
      </c>
    </row>
    <row r="18" spans="1:13" x14ac:dyDescent="0.15">
      <c r="A18" s="88">
        <f>Irrigated!A18</f>
        <v>5.3950000000000005</v>
      </c>
      <c r="B18" s="89">
        <f>$A$18*B$13-$D$6</f>
        <v>31.499590000000069</v>
      </c>
      <c r="C18" s="89">
        <f>$A$18*C$13-$D$6</f>
        <v>100.28584000000006</v>
      </c>
      <c r="D18" s="89">
        <f>$A$18*D$13-$D$6</f>
        <v>146.14334000000008</v>
      </c>
      <c r="E18" s="89">
        <f>$A$18*E$13-$D$6</f>
        <v>192.00084000000015</v>
      </c>
      <c r="F18" s="89">
        <f>$A$18*F$13-$D$6</f>
        <v>260.78709000000003</v>
      </c>
      <c r="H18" s="88">
        <f>Irrigated!H18</f>
        <v>0.74099999999999999</v>
      </c>
      <c r="I18" s="89">
        <f>$H$18*I$13-$B$6</f>
        <v>-34.838637045454504</v>
      </c>
      <c r="J18" s="89">
        <f>$H$18*J$13-$B$6</f>
        <v>48.523862954545507</v>
      </c>
      <c r="K18" s="89">
        <f>$H$18*K$13-$B$6</f>
        <v>104.0988629545455</v>
      </c>
      <c r="L18" s="89">
        <f>$H$18*L$13-$B$6</f>
        <v>159.67386295454554</v>
      </c>
      <c r="M18" s="89">
        <f>$H$18*M$13-$B$6</f>
        <v>243.0363629545455</v>
      </c>
    </row>
    <row r="20" spans="1:13" x14ac:dyDescent="0.15">
      <c r="A20" s="458" t="s">
        <v>54</v>
      </c>
      <c r="B20" s="458"/>
      <c r="C20" s="458"/>
      <c r="D20" s="458"/>
      <c r="E20" s="458"/>
      <c r="F20" s="458"/>
      <c r="H20" s="459" t="s">
        <v>121</v>
      </c>
      <c r="I20" s="459"/>
      <c r="J20" s="459"/>
      <c r="K20" s="459"/>
      <c r="L20" s="459"/>
      <c r="M20" s="459"/>
    </row>
    <row r="21" spans="1:13" s="62" customFormat="1" ht="12" x14ac:dyDescent="0.15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2.6145</v>
      </c>
      <c r="B24" s="85">
        <f>$A$24*B$23-$F$6</f>
        <v>-90.567853249999985</v>
      </c>
      <c r="C24" s="85">
        <f>$A$24*C$23-$F$6</f>
        <v>-65.07647824999998</v>
      </c>
      <c r="D24" s="85">
        <f>$A$24*D$23-$F$6</f>
        <v>-48.082228249999986</v>
      </c>
      <c r="E24" s="85">
        <f>$A$24*E$23-$F$6</f>
        <v>-31.087978249999992</v>
      </c>
      <c r="F24" s="85">
        <f>$A$24*F$23-$F$6</f>
        <v>-5.5966032499999869</v>
      </c>
      <c r="H24" s="90">
        <f>Irrigated!H24</f>
        <v>280</v>
      </c>
      <c r="I24" s="85">
        <f>$H$24*I$23/2000-$C$6</f>
        <v>-230.44880000000001</v>
      </c>
      <c r="J24" s="85">
        <f>$H$24*J$23/2000-$C$6</f>
        <v>-159.04880000000003</v>
      </c>
      <c r="K24" s="85">
        <f>$H$24*K$23/2000-$C$6</f>
        <v>-111.44880000000001</v>
      </c>
      <c r="L24" s="85">
        <f>$H$24*L$23/2000-$C$6</f>
        <v>-63.848799999999983</v>
      </c>
      <c r="M24" s="85">
        <f>$H$24*M$23/2000-$C$6</f>
        <v>7.5511999999999944</v>
      </c>
    </row>
    <row r="25" spans="1:13" x14ac:dyDescent="0.15">
      <c r="A25" s="86">
        <f>Irrigated!A25</f>
        <v>3.1747500000000004</v>
      </c>
      <c r="B25" s="87">
        <f>$A$25*B$23-$F$6</f>
        <v>-63.255665749999963</v>
      </c>
      <c r="C25" s="87">
        <f>$A$25*C$23-$F$6</f>
        <v>-32.301853249999965</v>
      </c>
      <c r="D25" s="87">
        <f>$A$25*D$23-$F$6</f>
        <v>-11.665978249999966</v>
      </c>
      <c r="E25" s="87">
        <f>$A$25*E$23-$F$6</f>
        <v>8.9698967500000606</v>
      </c>
      <c r="F25" s="87">
        <f>$A$25*F$23-$F$6</f>
        <v>39.92370925000003</v>
      </c>
      <c r="H25" s="91">
        <f>Irrigated!H25</f>
        <v>340</v>
      </c>
      <c r="I25" s="87">
        <f>$H$25*I$23/2000-$C$6</f>
        <v>-153.94880000000001</v>
      </c>
      <c r="J25" s="87">
        <f>$H$25*J$23/2000-$C$6</f>
        <v>-67.24879999999996</v>
      </c>
      <c r="K25" s="87">
        <f>$H$25*K$23/2000-$C$6</f>
        <v>-9.4488000000000056</v>
      </c>
      <c r="L25" s="87">
        <f>$H$25*L$23/2000-$C$6</f>
        <v>48.351200000000063</v>
      </c>
      <c r="M25" s="87">
        <f>$H$25*M$23/2000-$C$6</f>
        <v>135.05119999999999</v>
      </c>
    </row>
    <row r="26" spans="1:13" x14ac:dyDescent="0.15">
      <c r="A26" s="86">
        <f>Irrigated!A26</f>
        <v>3.7350000000000003</v>
      </c>
      <c r="B26" s="87">
        <f>$A$26*B$23-$F$6</f>
        <v>-35.94347824999997</v>
      </c>
      <c r="C26" s="87">
        <f>$A$26*C$23-$F$6</f>
        <v>0.47277175000004945</v>
      </c>
      <c r="D26" s="87">
        <f>$A$26*D$23-$F$6</f>
        <v>24.750271750000053</v>
      </c>
      <c r="E26" s="87">
        <f>$A$26*E$23-$F$6</f>
        <v>49.027771750000028</v>
      </c>
      <c r="F26" s="87">
        <f>$A$26*F$23-$F$6</f>
        <v>85.444021750000019</v>
      </c>
      <c r="H26" s="91">
        <f>Irrigated!H26</f>
        <v>400</v>
      </c>
      <c r="I26" s="87">
        <f>$H$26*I$23/2000-$C$6</f>
        <v>-77.448800000000006</v>
      </c>
      <c r="J26" s="87">
        <f>$H$26*J$23/2000-$C$6</f>
        <v>24.551199999999994</v>
      </c>
      <c r="K26" s="87">
        <f>$H$26*K$23/2000-$C$6</f>
        <v>92.551199999999994</v>
      </c>
      <c r="L26" s="87">
        <f>$H$26*L$23/2000-$C$6</f>
        <v>160.55120000000011</v>
      </c>
      <c r="M26" s="87">
        <f>$H$26*M$23/2000-$C$6</f>
        <v>262.55119999999999</v>
      </c>
    </row>
    <row r="27" spans="1:13" x14ac:dyDescent="0.15">
      <c r="A27" s="86">
        <f>Irrigated!A27</f>
        <v>4.2952500000000002</v>
      </c>
      <c r="B27" s="87">
        <f>$A$27*B$23-$F$6</f>
        <v>-8.6312907499999767</v>
      </c>
      <c r="C27" s="87">
        <f>$A$27*C$23-$F$6</f>
        <v>33.247396750000036</v>
      </c>
      <c r="D27" s="87">
        <f>$A$27*D$23-$F$6</f>
        <v>61.166521750000044</v>
      </c>
      <c r="E27" s="87">
        <f>$A$27*E$23-$F$6</f>
        <v>89.085646750000052</v>
      </c>
      <c r="F27" s="87">
        <f>$A$27*F$23-$F$6</f>
        <v>130.96433425000006</v>
      </c>
      <c r="H27" s="91">
        <f>Irrigated!H27</f>
        <v>459.99999999999994</v>
      </c>
      <c r="I27" s="87">
        <f>$H$27*I$23/2000-$C$6</f>
        <v>-0.94880000000011933</v>
      </c>
      <c r="J27" s="87">
        <f>$H$27*J$23/2000-$C$6</f>
        <v>116.35119999999984</v>
      </c>
      <c r="K27" s="87">
        <f>$H$27*K$23/2000-$C$6</f>
        <v>194.55119999999988</v>
      </c>
      <c r="L27" s="87">
        <f>$H$27*L$23/2000-$C$6</f>
        <v>272.75120000000004</v>
      </c>
      <c r="M27" s="87">
        <f>$H$27*M$23/2000-$C$6</f>
        <v>390.05119999999988</v>
      </c>
    </row>
    <row r="28" spans="1:13" x14ac:dyDescent="0.15">
      <c r="A28" s="88">
        <f>Irrigated!A28</f>
        <v>4.8555000000000001</v>
      </c>
      <c r="B28" s="89">
        <f>$A$28*B$23-$F$6</f>
        <v>18.680896750000016</v>
      </c>
      <c r="C28" s="89">
        <f>$A$28*C$23-$F$6</f>
        <v>66.02202175000005</v>
      </c>
      <c r="D28" s="89">
        <f>$A$28*D$23-$F$6</f>
        <v>97.582771750000035</v>
      </c>
      <c r="E28" s="89">
        <f>$A$28*E$23-$F$6</f>
        <v>129.14352175000002</v>
      </c>
      <c r="F28" s="89">
        <f>$A$28*F$23-$F$6</f>
        <v>176.48464675000005</v>
      </c>
      <c r="H28" s="92">
        <f>Irrigated!H28</f>
        <v>520</v>
      </c>
      <c r="I28" s="89">
        <f>$H$28*I$23/2000-$C$6</f>
        <v>75.551199999999994</v>
      </c>
      <c r="J28" s="89">
        <f>$H$28*J$23/2000-$C$6</f>
        <v>208.15120000000002</v>
      </c>
      <c r="K28" s="89">
        <f>$H$28*K$23/2000-$C$6</f>
        <v>296.55119999999999</v>
      </c>
      <c r="L28" s="89">
        <f>$H$28*L$23/2000-$C$6</f>
        <v>384.95120000000009</v>
      </c>
      <c r="M28" s="89">
        <f>$H$28*M$23/2000-$C$6</f>
        <v>517.55119999999999</v>
      </c>
    </row>
    <row r="30" spans="1:13" x14ac:dyDescent="0.15">
      <c r="A30" s="458" t="s">
        <v>53</v>
      </c>
      <c r="B30" s="458"/>
      <c r="C30" s="458"/>
      <c r="D30" s="458"/>
      <c r="E30" s="458"/>
      <c r="F30" s="458"/>
      <c r="H30" s="458" t="s">
        <v>63</v>
      </c>
      <c r="I30" s="458"/>
      <c r="J30" s="458"/>
      <c r="K30" s="458"/>
      <c r="L30" s="458"/>
      <c r="M30" s="458"/>
    </row>
    <row r="31" spans="1:13" s="62" customFormat="1" ht="12" x14ac:dyDescent="0.15">
      <c r="A31" s="457" t="s">
        <v>36</v>
      </c>
      <c r="B31" s="457"/>
      <c r="C31" s="457"/>
      <c r="D31" s="457"/>
      <c r="E31" s="457"/>
      <c r="F31" s="457"/>
      <c r="H31" s="457" t="s">
        <v>36</v>
      </c>
      <c r="I31" s="457"/>
      <c r="J31" s="457"/>
      <c r="K31" s="457"/>
      <c r="L31" s="457"/>
      <c r="M31" s="457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15">
      <c r="A34" s="84">
        <f>Irrigated!A34</f>
        <v>5.7749999999999995</v>
      </c>
      <c r="B34" s="85">
        <f>$A$34*B$33-$E$6</f>
        <v>-84.971948500000025</v>
      </c>
      <c r="C34" s="85">
        <f>$A$34*C$33-$E$6</f>
        <v>-58.984448500000042</v>
      </c>
      <c r="D34" s="85">
        <f>$A$34*D$33-$E$6</f>
        <v>-41.659448500000053</v>
      </c>
      <c r="E34" s="85">
        <f>$A$34*E$33-$E$6</f>
        <v>-24.334448500000036</v>
      </c>
      <c r="F34" s="85">
        <f>$A$34*F$33-$E$6</f>
        <v>1.6530514999999468</v>
      </c>
      <c r="H34" s="84">
        <f>Irrigated!H34</f>
        <v>3.8499999999999996</v>
      </c>
      <c r="I34" s="85">
        <f>$H$34*I$33-$G$6</f>
        <v>-21.741288200000042</v>
      </c>
      <c r="J34" s="85">
        <f>$H$34*J$33-$G$6</f>
        <v>10.021211799999975</v>
      </c>
      <c r="K34" s="85">
        <f>$H$34*K$33-$G$6</f>
        <v>31.196211799999958</v>
      </c>
      <c r="L34" s="85">
        <f>$H$34*L$33-$G$6</f>
        <v>52.371211799999998</v>
      </c>
      <c r="M34" s="85">
        <f>$H$34*M$33-$G$6</f>
        <v>84.133711799999986</v>
      </c>
    </row>
    <row r="35" spans="1:13" x14ac:dyDescent="0.15">
      <c r="A35" s="86">
        <f>Irrigated!A35</f>
        <v>7.0125000000000002</v>
      </c>
      <c r="B35" s="87">
        <f>$A$35*B$33-$E$6</f>
        <v>-57.128198500000025</v>
      </c>
      <c r="C35" s="87">
        <f>$A$35*C$33-$E$6</f>
        <v>-25.571948500000019</v>
      </c>
      <c r="D35" s="87">
        <f>$A$35*D$33-$E$6</f>
        <v>-4.5344485000000248</v>
      </c>
      <c r="E35" s="87">
        <f>$A$35*E$33-$E$6</f>
        <v>16.50305149999997</v>
      </c>
      <c r="F35" s="87">
        <f>$A$35*F$33-$E$6</f>
        <v>48.059301499999975</v>
      </c>
      <c r="H35" s="86">
        <f>Irrigated!H35</f>
        <v>4.6749999999999998</v>
      </c>
      <c r="I35" s="87">
        <f>$H$35*I$33-$G$6</f>
        <v>12.289961799999986</v>
      </c>
      <c r="J35" s="87">
        <f>$H$35*J$33-$G$6</f>
        <v>50.85871179999998</v>
      </c>
      <c r="K35" s="87">
        <f>$H$35*K$33-$G$6</f>
        <v>76.571211799999986</v>
      </c>
      <c r="L35" s="87">
        <f>$H$35*L$33-$G$6</f>
        <v>102.28371180000002</v>
      </c>
      <c r="M35" s="87">
        <f>$H$35*M$33-$G$6</f>
        <v>140.85246179999999</v>
      </c>
    </row>
    <row r="36" spans="1:13" x14ac:dyDescent="0.15">
      <c r="A36" s="86">
        <f>Irrigated!A36</f>
        <v>8.25</v>
      </c>
      <c r="B36" s="87">
        <f>$A$36*B$33-$E$6</f>
        <v>-29.284448500000025</v>
      </c>
      <c r="C36" s="87">
        <f>$A$36*C$33-$E$6</f>
        <v>7.8405514999999752</v>
      </c>
      <c r="D36" s="87">
        <f>$A$36*D$33-$E$6</f>
        <v>32.590551499999975</v>
      </c>
      <c r="E36" s="87">
        <f>$A$36*E$33-$E$6</f>
        <v>57.340551499999975</v>
      </c>
      <c r="F36" s="87">
        <f>$A$36*F$33-$E$6</f>
        <v>94.465551499999975</v>
      </c>
      <c r="H36" s="86">
        <f>Irrigated!H36</f>
        <v>5.5</v>
      </c>
      <c r="I36" s="87">
        <f>$H$36*I$33-$G$6</f>
        <v>46.321211799999986</v>
      </c>
      <c r="J36" s="87">
        <f>$H$36*J$33-$G$6</f>
        <v>91.696211799999986</v>
      </c>
      <c r="K36" s="87">
        <f>$H$36*K$33-$G$6</f>
        <v>121.94621179999999</v>
      </c>
      <c r="L36" s="87">
        <f>$H$36*L$33-$G$6</f>
        <v>152.19621180000004</v>
      </c>
      <c r="M36" s="87">
        <f>$H$36*M$33-$G$6</f>
        <v>197.57121179999999</v>
      </c>
    </row>
    <row r="37" spans="1:13" x14ac:dyDescent="0.15">
      <c r="A37" s="86">
        <f>Irrigated!A37</f>
        <v>9.4874999999999989</v>
      </c>
      <c r="B37" s="87">
        <f>$A$37*B$33-$E$6</f>
        <v>-1.4406985000000532</v>
      </c>
      <c r="C37" s="87">
        <f>$A$37*C$33-$E$6</f>
        <v>41.253051499999941</v>
      </c>
      <c r="D37" s="87">
        <f>$A$37*D$33-$E$6</f>
        <v>69.715551499999918</v>
      </c>
      <c r="E37" s="87">
        <f>$A$37*E$33-$E$6</f>
        <v>98.178051499999953</v>
      </c>
      <c r="F37" s="87">
        <f>$A$37*F$33-$E$6</f>
        <v>140.87180149999992</v>
      </c>
      <c r="H37" s="86">
        <f>Irrigated!H37</f>
        <v>6.3249999999999993</v>
      </c>
      <c r="I37" s="87">
        <f>$H$37*I$33-$G$6</f>
        <v>80.352461799999929</v>
      </c>
      <c r="J37" s="87">
        <f>$H$37*J$33-$G$6</f>
        <v>132.53371179999996</v>
      </c>
      <c r="K37" s="87">
        <f>$H$37*K$33-$G$6</f>
        <v>167.32121179999993</v>
      </c>
      <c r="L37" s="87">
        <f>$H$37*L$33-$G$6</f>
        <v>202.10871180000001</v>
      </c>
      <c r="M37" s="87">
        <f>$H$37*M$33-$G$6</f>
        <v>254.28996179999993</v>
      </c>
    </row>
    <row r="38" spans="1:13" x14ac:dyDescent="0.15">
      <c r="A38" s="88">
        <f>Irrigated!A38</f>
        <v>10.725</v>
      </c>
      <c r="B38" s="89">
        <f>$A$38*B$33-$E$6</f>
        <v>26.403051499999975</v>
      </c>
      <c r="C38" s="89">
        <f>$A$38*C$33-$E$6</f>
        <v>74.665551499999964</v>
      </c>
      <c r="D38" s="89">
        <f>$A$38*D$33-$E$6</f>
        <v>106.84055149999998</v>
      </c>
      <c r="E38" s="89">
        <f>$A$38*E$33-$E$6</f>
        <v>139.01555149999999</v>
      </c>
      <c r="F38" s="89">
        <f>$A$38*F$33-$E$6</f>
        <v>187.27805149999998</v>
      </c>
      <c r="H38" s="88">
        <f>Irrigated!H38</f>
        <v>7.15</v>
      </c>
      <c r="I38" s="89">
        <f>$H$38*I$33-$G$6</f>
        <v>114.38371179999999</v>
      </c>
      <c r="J38" s="89">
        <f>$H$38*J$33-$G$6</f>
        <v>173.3712118</v>
      </c>
      <c r="K38" s="89">
        <f>$H$38*K$33-$G$6</f>
        <v>212.69621179999999</v>
      </c>
      <c r="L38" s="89">
        <f>$H$38*L$33-$G$6</f>
        <v>252.02121180000003</v>
      </c>
      <c r="M38" s="89">
        <f>$H$38*M$33-$G$6</f>
        <v>311.00871180000001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4" width="6.5" style="75" bestFit="1" customWidth="1"/>
    <col min="15" max="16384" width="9.6640625" style="75"/>
  </cols>
  <sheetData>
    <row r="1" spans="1:13" s="62" customFormat="1" ht="12" hidden="1" x14ac:dyDescent="0.15">
      <c r="A1" s="61"/>
      <c r="B1" s="466" t="s">
        <v>45</v>
      </c>
      <c r="C1" s="466"/>
      <c r="D1" s="466"/>
      <c r="E1" s="466"/>
      <c r="F1" s="466"/>
      <c r="G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15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15">
      <c r="A4" s="62" t="s">
        <v>42</v>
      </c>
      <c r="B4" s="67">
        <f>'Strip-Till'!B8</f>
        <v>0.56999999999999995</v>
      </c>
      <c r="C4" s="68">
        <f>'Strip-Till'!D8</f>
        <v>400</v>
      </c>
      <c r="D4" s="69">
        <f>'Strip-Till'!F8</f>
        <v>4.1500000000000004</v>
      </c>
      <c r="E4" s="69">
        <f>'Strip-Till'!H8</f>
        <v>8.25</v>
      </c>
      <c r="F4" s="69">
        <f>'Strip-Till'!J8</f>
        <v>3.7350000000000003</v>
      </c>
      <c r="G4" s="69"/>
    </row>
    <row r="5" spans="1:13" s="62" customFormat="1" ht="12" hidden="1" x14ac:dyDescent="0.15">
      <c r="A5" s="70" t="s">
        <v>44</v>
      </c>
      <c r="B5" s="71">
        <f>B3*B4</f>
        <v>683.99999999999989</v>
      </c>
      <c r="C5" s="71">
        <f>C3*C4/2000</f>
        <v>940</v>
      </c>
      <c r="D5" s="71">
        <f>D3*D4</f>
        <v>830.00000000000011</v>
      </c>
      <c r="E5" s="71">
        <f>E3*E4</f>
        <v>495</v>
      </c>
      <c r="F5" s="71">
        <f>F3*F4</f>
        <v>373.50000000000006</v>
      </c>
      <c r="G5" s="72"/>
    </row>
    <row r="6" spans="1:13" s="62" customFormat="1" ht="12" hidden="1" x14ac:dyDescent="0.15">
      <c r="A6" s="70" t="s">
        <v>43</v>
      </c>
      <c r="B6" s="73">
        <f>'Strip-Till'!B31</f>
        <v>563.09605527272731</v>
      </c>
      <c r="C6" s="73">
        <f>'Strip-Till'!D31</f>
        <v>662.15780000000007</v>
      </c>
      <c r="D6" s="73">
        <f>'Strip-Till'!F31</f>
        <v>587.67258000000004</v>
      </c>
      <c r="E6" s="73">
        <f>'Strip-Till'!H31</f>
        <v>272.85334479999995</v>
      </c>
      <c r="F6" s="73">
        <f>'Strip-Till'!J31</f>
        <v>305.36301999999995</v>
      </c>
      <c r="G6" s="68"/>
    </row>
    <row r="7" spans="1:13" s="62" customFormat="1" ht="16" x14ac:dyDescent="0.2">
      <c r="A7" s="465" t="s">
        <v>129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15">
      <c r="A10" s="458" t="s">
        <v>55</v>
      </c>
      <c r="B10" s="458"/>
      <c r="C10" s="458"/>
      <c r="D10" s="458"/>
      <c r="E10" s="458"/>
      <c r="F10" s="458"/>
      <c r="H10" s="458" t="s">
        <v>56</v>
      </c>
      <c r="I10" s="458"/>
      <c r="J10" s="458"/>
      <c r="K10" s="458"/>
      <c r="L10" s="458"/>
      <c r="M10" s="458"/>
    </row>
    <row r="11" spans="1:13" s="62" customFormat="1" ht="12" x14ac:dyDescent="0.15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Irrigated!A14</f>
        <v>2.9050000000000002</v>
      </c>
      <c r="B14" s="85">
        <f>$A$14*B$13-$D$6</f>
        <v>-151.92257999999998</v>
      </c>
      <c r="C14" s="85">
        <f>$A$14*C$13-$D$6</f>
        <v>-64.772579999999948</v>
      </c>
      <c r="D14" s="85">
        <f>$A$14*D$13-$D$6</f>
        <v>-6.672580000000039</v>
      </c>
      <c r="E14" s="85">
        <f>$A$14*E$13-$D$6</f>
        <v>51.427420000000097</v>
      </c>
      <c r="F14" s="85">
        <f>$A$14*F$13-$D$6</f>
        <v>138.57742000000007</v>
      </c>
      <c r="H14" s="84">
        <f>Irrigated!H14</f>
        <v>0.39899999999999997</v>
      </c>
      <c r="I14" s="87">
        <f>$H$14*$I$13-$B$6</f>
        <v>-203.99605527272735</v>
      </c>
      <c r="J14" s="87">
        <f>$H$14*J13-$B$6</f>
        <v>-132.17605527272735</v>
      </c>
      <c r="K14" s="87">
        <f>$H$14*K13-$B$6</f>
        <v>-84.296055272727358</v>
      </c>
      <c r="L14" s="87">
        <f>$H$14*L13-$B$6</f>
        <v>-36.416055272727363</v>
      </c>
      <c r="M14" s="87">
        <f>$H$14*M13-$B$6</f>
        <v>35.403944727272687</v>
      </c>
    </row>
    <row r="15" spans="1:13" x14ac:dyDescent="0.15">
      <c r="A15" s="86">
        <f>Irrigated!A15</f>
        <v>3.5275000000000003</v>
      </c>
      <c r="B15" s="87">
        <f>$A$15*B$13-$D$6</f>
        <v>-58.547580000000039</v>
      </c>
      <c r="C15" s="87">
        <f>$A$15*C$13-$D$6</f>
        <v>47.277420000000006</v>
      </c>
      <c r="D15" s="87">
        <f>$A$15*D$13-$D$6</f>
        <v>117.82742000000007</v>
      </c>
      <c r="E15" s="87">
        <f>$A$15*E$13-$D$6</f>
        <v>188.37742000000014</v>
      </c>
      <c r="F15" s="87">
        <f>$A$15*F$13-$D$6</f>
        <v>294.20242000000007</v>
      </c>
      <c r="H15" s="86">
        <f>Irrigated!H15</f>
        <v>0.48449999999999993</v>
      </c>
      <c r="I15" s="87">
        <f>$H$15*$I$13-$B$6</f>
        <v>-127.04605527272736</v>
      </c>
      <c r="J15" s="87">
        <f>$H$15*J13-$B$6</f>
        <v>-39.836055272727435</v>
      </c>
      <c r="K15" s="87">
        <f>$H$15*K13-$B$6</f>
        <v>18.303944727272551</v>
      </c>
      <c r="L15" s="87">
        <f>$H$15*L13-$B$6</f>
        <v>76.443944727272651</v>
      </c>
      <c r="M15" s="87">
        <f>$H$15*M13-$B$6</f>
        <v>163.65394472727257</v>
      </c>
    </row>
    <row r="16" spans="1:13" x14ac:dyDescent="0.15">
      <c r="A16" s="86">
        <f>Irrigated!A16</f>
        <v>4.1500000000000004</v>
      </c>
      <c r="B16" s="87">
        <f>$A$16*B$13-$D$6</f>
        <v>34.827419999999961</v>
      </c>
      <c r="C16" s="87">
        <f>$A$16*C$13-$D$6</f>
        <v>159.32742000000007</v>
      </c>
      <c r="D16" s="87">
        <f>$A$16*D$13-$D$6</f>
        <v>242.32742000000007</v>
      </c>
      <c r="E16" s="87">
        <f>$A$16*E$13-$D$6</f>
        <v>325.32742000000019</v>
      </c>
      <c r="F16" s="87">
        <f>$A$16*F$13-$D$6</f>
        <v>449.82741999999996</v>
      </c>
      <c r="H16" s="86">
        <f>Irrigated!H16</f>
        <v>0.56999999999999995</v>
      </c>
      <c r="I16" s="87">
        <f>$H$16*$I$13-$B$6</f>
        <v>-50.096055272727313</v>
      </c>
      <c r="J16" s="87">
        <f>$H$16*J13-$B$6</f>
        <v>52.503944727272597</v>
      </c>
      <c r="K16" s="87">
        <f>$H$16*K13-$B$6</f>
        <v>120.90394472727257</v>
      </c>
      <c r="L16" s="87">
        <f>$H$16*L13-$B$6</f>
        <v>189.30394472727266</v>
      </c>
      <c r="M16" s="87">
        <f>$H$16*M13-$B$6</f>
        <v>291.90394472727257</v>
      </c>
    </row>
    <row r="17" spans="1:13" x14ac:dyDescent="0.15">
      <c r="A17" s="86">
        <f>Irrigated!A17</f>
        <v>4.7725</v>
      </c>
      <c r="B17" s="87">
        <f>$A$17*B$13-$D$6</f>
        <v>128.20241999999996</v>
      </c>
      <c r="C17" s="87">
        <f>$A$17*C$13-$D$6</f>
        <v>271.37741999999992</v>
      </c>
      <c r="D17" s="87">
        <f>$A$17*D$13-$D$6</f>
        <v>366.82741999999996</v>
      </c>
      <c r="E17" s="87">
        <f>$A$17*E$13-$D$6</f>
        <v>462.27742000000001</v>
      </c>
      <c r="F17" s="87">
        <f>$A$17*F$13-$D$6</f>
        <v>605.45241999999996</v>
      </c>
      <c r="H17" s="86">
        <f>Irrigated!H17</f>
        <v>0.65549999999999986</v>
      </c>
      <c r="I17" s="87">
        <f>$H$17*$I$13-$B$6</f>
        <v>26.853944727272506</v>
      </c>
      <c r="J17" s="87">
        <f>$H$17*J13-$B$6</f>
        <v>144.84394472727251</v>
      </c>
      <c r="K17" s="87">
        <f>$H$17*K13-$B$6</f>
        <v>223.50394472727248</v>
      </c>
      <c r="L17" s="87">
        <f>$H$17*L13-$B$6</f>
        <v>302.16394472727245</v>
      </c>
      <c r="M17" s="87">
        <f>$H$17*M13-$B$6</f>
        <v>420.15394472727246</v>
      </c>
    </row>
    <row r="18" spans="1:13" x14ac:dyDescent="0.15">
      <c r="A18" s="88">
        <f>Irrigated!A18</f>
        <v>5.3950000000000005</v>
      </c>
      <c r="B18" s="89">
        <f>$A$18*B$13-$D$6</f>
        <v>221.57742000000007</v>
      </c>
      <c r="C18" s="89">
        <f>$A$18*C$13-$D$6</f>
        <v>383.4274200000001</v>
      </c>
      <c r="D18" s="89">
        <f>$A$18*D$13-$D$6</f>
        <v>491.32741999999996</v>
      </c>
      <c r="E18" s="89">
        <f>$A$18*E$13-$D$6</f>
        <v>599.22742000000028</v>
      </c>
      <c r="F18" s="89">
        <f>$A$18*F$13-$D$6</f>
        <v>761.07742000000019</v>
      </c>
      <c r="H18" s="88">
        <f>Irrigated!H18</f>
        <v>0.74099999999999999</v>
      </c>
      <c r="I18" s="89">
        <f>$H$18*$I$13-$B$6</f>
        <v>103.80394472727266</v>
      </c>
      <c r="J18" s="89">
        <f>$H$18*J13-$B$6</f>
        <v>237.18394472727266</v>
      </c>
      <c r="K18" s="89">
        <f>$H$18*K13-$B$6</f>
        <v>326.10394472727273</v>
      </c>
      <c r="L18" s="89">
        <f>$H$18*L13-$B$6</f>
        <v>415.02394472727269</v>
      </c>
      <c r="M18" s="89">
        <f>$H$18*M13-$B$6</f>
        <v>548.40394472727269</v>
      </c>
    </row>
    <row r="20" spans="1:13" x14ac:dyDescent="0.15">
      <c r="A20" s="458" t="s">
        <v>57</v>
      </c>
      <c r="B20" s="458"/>
      <c r="C20" s="458"/>
      <c r="D20" s="458"/>
      <c r="E20" s="458"/>
      <c r="F20" s="458"/>
      <c r="H20" s="459" t="s">
        <v>122</v>
      </c>
      <c r="I20" s="459"/>
      <c r="J20" s="459"/>
      <c r="K20" s="459"/>
      <c r="L20" s="459"/>
      <c r="M20" s="459"/>
    </row>
    <row r="21" spans="1:13" s="62" customFormat="1" ht="12" x14ac:dyDescent="0.15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Irrigated!A24</f>
        <v>2.6145</v>
      </c>
      <c r="B24" s="85">
        <f>$A$24*B$23-$F$6</f>
        <v>-109.27551999999994</v>
      </c>
      <c r="C24" s="85">
        <f>$A$24*C$23-$F$6</f>
        <v>-70.058019999999942</v>
      </c>
      <c r="D24" s="85">
        <f>$A$24*D$23-$F$6</f>
        <v>-43.91301999999996</v>
      </c>
      <c r="E24" s="85">
        <f>$A$24*E$23-$F$6</f>
        <v>-17.768019999999922</v>
      </c>
      <c r="F24" s="85">
        <f>$A$24*F$23-$F$6</f>
        <v>21.449480000000051</v>
      </c>
      <c r="H24" s="90">
        <f>Irrigated!H24</f>
        <v>280</v>
      </c>
      <c r="I24" s="85">
        <f>$H$24*I$23/2000-$C$6</f>
        <v>-168.65780000000007</v>
      </c>
      <c r="J24" s="85">
        <f>$H$24*J$23/2000-$C$6</f>
        <v>-69.95780000000002</v>
      </c>
      <c r="K24" s="85">
        <f>$H$24*K$23/2000-$C$6</f>
        <v>-4.1578000000000657</v>
      </c>
      <c r="L24" s="85">
        <f>$H$24*L$23/2000-$C$6</f>
        <v>61.642199999999889</v>
      </c>
      <c r="M24" s="85">
        <f>$H$24*M$23/2000-$C$6</f>
        <v>160.34219999999993</v>
      </c>
    </row>
    <row r="25" spans="1:13" x14ac:dyDescent="0.15">
      <c r="A25" s="86">
        <f>Irrigated!A25</f>
        <v>3.1747500000000004</v>
      </c>
      <c r="B25" s="87">
        <f>$A$25*B$23-$F$6</f>
        <v>-67.256769999999932</v>
      </c>
      <c r="C25" s="87">
        <f>$A$25*C$23-$F$6</f>
        <v>-19.635519999999929</v>
      </c>
      <c r="D25" s="87">
        <f>$A$25*D$23-$F$6</f>
        <v>12.111980000000074</v>
      </c>
      <c r="E25" s="87">
        <f>$A$25*E$23-$F$6</f>
        <v>43.859480000000133</v>
      </c>
      <c r="F25" s="87">
        <f>$A$25*F$23-$F$6</f>
        <v>91.480730000000108</v>
      </c>
      <c r="H25" s="91">
        <f>Irrigated!H25</f>
        <v>340</v>
      </c>
      <c r="I25" s="87">
        <f>$H$25*I$23/2000-$C$6</f>
        <v>-62.907800000000066</v>
      </c>
      <c r="J25" s="87">
        <f>$H$25*J$23/2000-$C$6</f>
        <v>56.942199999999957</v>
      </c>
      <c r="K25" s="87">
        <f>$H$25*K$23/2000-$C$6</f>
        <v>136.84219999999993</v>
      </c>
      <c r="L25" s="87">
        <f>$H$25*L$23/2000-$C$6</f>
        <v>216.74219999999991</v>
      </c>
      <c r="M25" s="87">
        <f>$H$25*M$23/2000-$C$6</f>
        <v>336.59219999999993</v>
      </c>
    </row>
    <row r="26" spans="1:13" x14ac:dyDescent="0.15">
      <c r="A26" s="86">
        <f>Irrigated!A26</f>
        <v>3.7350000000000003</v>
      </c>
      <c r="B26" s="87">
        <f>$A$26*B$23-$F$6</f>
        <v>-25.238019999999949</v>
      </c>
      <c r="C26" s="87">
        <f>$A$26*C$23-$F$6</f>
        <v>30.786980000000085</v>
      </c>
      <c r="D26" s="87">
        <f>$A$26*D$23-$F$6</f>
        <v>68.136980000000108</v>
      </c>
      <c r="E26" s="87">
        <f>$A$26*E$23-$F$6</f>
        <v>105.48698000000013</v>
      </c>
      <c r="F26" s="87">
        <f>$A$26*F$23-$F$6</f>
        <v>161.51198000000011</v>
      </c>
      <c r="H26" s="91">
        <f>Irrigated!H26</f>
        <v>400</v>
      </c>
      <c r="I26" s="87">
        <f>$H$26*I$23/2000-$C$6</f>
        <v>42.842199999999934</v>
      </c>
      <c r="J26" s="87">
        <f>$H$26*J$23/2000-$C$6</f>
        <v>183.84219999999993</v>
      </c>
      <c r="K26" s="87">
        <f>$H$26*K$23/2000-$C$6</f>
        <v>277.84219999999993</v>
      </c>
      <c r="L26" s="87">
        <f>$H$26*L$23/2000-$C$6</f>
        <v>371.84219999999993</v>
      </c>
      <c r="M26" s="87">
        <f>$H$26*M$23/2000-$C$6</f>
        <v>512.84219999999993</v>
      </c>
    </row>
    <row r="27" spans="1:13" x14ac:dyDescent="0.15">
      <c r="A27" s="86">
        <f>Irrigated!A27</f>
        <v>4.2952500000000002</v>
      </c>
      <c r="B27" s="87">
        <f>$A$27*B$23-$F$6</f>
        <v>16.780730000000062</v>
      </c>
      <c r="C27" s="87">
        <f>$A$27*C$23-$F$6</f>
        <v>81.209480000000099</v>
      </c>
      <c r="D27" s="87">
        <f>$A$27*D$23-$F$6</f>
        <v>124.16198000000009</v>
      </c>
      <c r="E27" s="87">
        <f>$A$27*E$23-$F$6</f>
        <v>167.11448000000013</v>
      </c>
      <c r="F27" s="87">
        <f>$A$27*F$23-$F$6</f>
        <v>231.54323000000005</v>
      </c>
      <c r="H27" s="91">
        <f>Irrigated!H27</f>
        <v>459.99999999999994</v>
      </c>
      <c r="I27" s="87">
        <f>$H$27*I$23/2000-$C$6</f>
        <v>148.59219999999982</v>
      </c>
      <c r="J27" s="87">
        <f>$H$27*J$23/2000-$C$6</f>
        <v>310.7421999999998</v>
      </c>
      <c r="K27" s="87">
        <f>$H$27*K$23/2000-$C$6</f>
        <v>418.84219999999971</v>
      </c>
      <c r="L27" s="87">
        <f>$H$27*L$23/2000-$C$6</f>
        <v>526.94219999999962</v>
      </c>
      <c r="M27" s="87">
        <f>$H$27*M$23/2000-$C$6</f>
        <v>689.09219999999971</v>
      </c>
    </row>
    <row r="28" spans="1:13" x14ac:dyDescent="0.15">
      <c r="A28" s="88">
        <f>Irrigated!A28</f>
        <v>4.8555000000000001</v>
      </c>
      <c r="B28" s="89">
        <f>$A$28*B$23-$F$6</f>
        <v>58.799480000000074</v>
      </c>
      <c r="C28" s="89">
        <f>$A$28*C$23-$F$6</f>
        <v>131.63198000000006</v>
      </c>
      <c r="D28" s="89">
        <f>$A$28*D$23-$F$6</f>
        <v>180.18698000000006</v>
      </c>
      <c r="E28" s="89">
        <f>$A$28*E$23-$F$6</f>
        <v>228.74198000000018</v>
      </c>
      <c r="F28" s="89">
        <f>$A$28*F$23-$F$6</f>
        <v>301.57448000000005</v>
      </c>
      <c r="H28" s="92">
        <f>Irrigated!H28</f>
        <v>520</v>
      </c>
      <c r="I28" s="89">
        <f>$H$28*I$23/2000-$C$6</f>
        <v>254.34219999999993</v>
      </c>
      <c r="J28" s="89">
        <f>$H$28*J$23/2000-$C$6</f>
        <v>437.64219999999989</v>
      </c>
      <c r="K28" s="89">
        <f>$H$28*K$23/2000-$C$6</f>
        <v>559.84219999999993</v>
      </c>
      <c r="L28" s="89">
        <f>$H$28*L$23/2000-$C$6</f>
        <v>682.04219999999998</v>
      </c>
      <c r="M28" s="89">
        <f>$H$28*M$23/2000-$C$6</f>
        <v>865.34219999999993</v>
      </c>
    </row>
    <row r="30" spans="1:13" x14ac:dyDescent="0.15">
      <c r="A30" s="458" t="s">
        <v>58</v>
      </c>
      <c r="B30" s="458"/>
      <c r="C30" s="458"/>
      <c r="D30" s="458"/>
      <c r="E30" s="458"/>
      <c r="F30" s="458"/>
    </row>
    <row r="31" spans="1:13" s="62" customFormat="1" ht="12" x14ac:dyDescent="0.15">
      <c r="A31" s="457" t="s">
        <v>36</v>
      </c>
      <c r="B31" s="457"/>
      <c r="C31" s="457"/>
      <c r="D31" s="457"/>
      <c r="E31" s="457"/>
      <c r="F31" s="457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15">
      <c r="A34" s="84">
        <f>Irrigated!A34</f>
        <v>5.7749999999999995</v>
      </c>
      <c r="B34" s="85">
        <f>$A$34*B$33-$E$6</f>
        <v>-12.978344799999945</v>
      </c>
      <c r="C34" s="85">
        <f>$A$34*C$33-$E$6</f>
        <v>38.996655200000021</v>
      </c>
      <c r="D34" s="85">
        <f>$A$34*D$33-$E$6</f>
        <v>73.646655199999998</v>
      </c>
      <c r="E34" s="85">
        <f>$A$34*E$33-$E$6</f>
        <v>108.29665520000003</v>
      </c>
      <c r="F34" s="85">
        <f>$A$34*F$33-$E$6</f>
        <v>160.2716552</v>
      </c>
    </row>
    <row r="35" spans="1:6" x14ac:dyDescent="0.15">
      <c r="A35" s="86">
        <f>Irrigated!A35</f>
        <v>7.0125000000000002</v>
      </c>
      <c r="B35" s="87">
        <f>$A$35*B$33-$E$6</f>
        <v>42.709155200000055</v>
      </c>
      <c r="C35" s="87">
        <f>$A$35*C$33-$E$6</f>
        <v>105.82165520000007</v>
      </c>
      <c r="D35" s="87">
        <f>$A$35*D$33-$E$6</f>
        <v>147.89665520000005</v>
      </c>
      <c r="E35" s="87">
        <f>$A$35*E$33-$E$6</f>
        <v>189.97165520000004</v>
      </c>
      <c r="F35" s="87">
        <f>$A$35*F$33-$E$6</f>
        <v>253.08415520000005</v>
      </c>
    </row>
    <row r="36" spans="1:6" x14ac:dyDescent="0.15">
      <c r="A36" s="86">
        <f>Irrigated!A36</f>
        <v>8.25</v>
      </c>
      <c r="B36" s="87">
        <f>$A$36*B$33-$E$6</f>
        <v>98.396655200000055</v>
      </c>
      <c r="C36" s="87">
        <f>$A$36*C$33-$E$6</f>
        <v>172.64665520000005</v>
      </c>
      <c r="D36" s="87">
        <f>$A$36*D$33-$E$6</f>
        <v>222.14665520000005</v>
      </c>
      <c r="E36" s="87">
        <f>$A$36*E$33-$E$6</f>
        <v>271.64665520000005</v>
      </c>
      <c r="F36" s="87">
        <f>$A$36*F$33-$E$6</f>
        <v>345.89665520000005</v>
      </c>
    </row>
    <row r="37" spans="1:6" x14ac:dyDescent="0.15">
      <c r="A37" s="86">
        <f>Irrigated!A37</f>
        <v>9.4874999999999989</v>
      </c>
      <c r="B37" s="87">
        <f>$A$37*B$33-$E$6</f>
        <v>154.0841552</v>
      </c>
      <c r="C37" s="87">
        <f>$A$37*C$33-$E$6</f>
        <v>239.47165519999999</v>
      </c>
      <c r="D37" s="87">
        <f>$A$37*D$33-$E$6</f>
        <v>296.39665519999994</v>
      </c>
      <c r="E37" s="87">
        <f>$A$37*E$33-$E$6</f>
        <v>353.32165520000001</v>
      </c>
      <c r="F37" s="87">
        <f>$A$37*F$33-$E$6</f>
        <v>438.70915519999994</v>
      </c>
    </row>
    <row r="38" spans="1:6" x14ac:dyDescent="0.15">
      <c r="A38" s="88">
        <f>Irrigated!A38</f>
        <v>10.725</v>
      </c>
      <c r="B38" s="89">
        <f>$A$38*B$33-$E$6</f>
        <v>209.77165520000005</v>
      </c>
      <c r="C38" s="89">
        <f>$A$38*C$33-$E$6</f>
        <v>306.29665520000003</v>
      </c>
      <c r="D38" s="89">
        <f>$A$38*D$33-$E$6</f>
        <v>370.64665520000005</v>
      </c>
      <c r="E38" s="89">
        <f>$A$38*E$33-$E$6</f>
        <v>434.99665520000008</v>
      </c>
      <c r="F38" s="89">
        <f>$A$38*F$33-$E$6</f>
        <v>531.52165520000005</v>
      </c>
    </row>
    <row r="39" spans="1:6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6384" width="9.6640625" style="75"/>
  </cols>
  <sheetData>
    <row r="1" spans="1:13" s="62" customFormat="1" ht="12" hidden="1" x14ac:dyDescent="0.15">
      <c r="B1" s="466" t="s">
        <v>46</v>
      </c>
      <c r="C1" s="466"/>
      <c r="D1" s="466"/>
      <c r="E1" s="466"/>
      <c r="F1" s="466"/>
      <c r="G1" s="93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15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15">
      <c r="A4" s="62" t="s">
        <v>42</v>
      </c>
      <c r="B4" s="67">
        <f>'Strip-Till'!L8</f>
        <v>0.56999999999999995</v>
      </c>
      <c r="C4" s="68">
        <f>'Strip-Till'!N8</f>
        <v>400</v>
      </c>
      <c r="D4" s="69">
        <f>'Strip-Till'!P8</f>
        <v>4.1500000000000004</v>
      </c>
      <c r="E4" s="69">
        <f>'Strip-Till'!R8</f>
        <v>8.25</v>
      </c>
      <c r="F4" s="69">
        <f>'Strip-Till'!T8</f>
        <v>3.7350000000000003</v>
      </c>
    </row>
    <row r="5" spans="1:13" s="62" customFormat="1" ht="12" hidden="1" x14ac:dyDescent="0.15">
      <c r="A5" s="70" t="s">
        <v>44</v>
      </c>
      <c r="B5" s="71">
        <f>B3*B4</f>
        <v>427.49999999999994</v>
      </c>
      <c r="C5" s="71">
        <f>C3*C4/2000</f>
        <v>680</v>
      </c>
      <c r="D5" s="71">
        <f>D3*D4</f>
        <v>352.75000000000006</v>
      </c>
      <c r="E5" s="71">
        <f>E3*E4</f>
        <v>247.5</v>
      </c>
      <c r="F5" s="71">
        <f>F3*F4</f>
        <v>242.77500000000003</v>
      </c>
    </row>
    <row r="6" spans="1:13" s="62" customFormat="1" ht="12" hidden="1" x14ac:dyDescent="0.15">
      <c r="A6" s="70" t="s">
        <v>43</v>
      </c>
      <c r="B6" s="73">
        <f>'Strip-Till'!L31</f>
        <v>468.23413704545459</v>
      </c>
      <c r="C6" s="73">
        <f>'Strip-Till'!N31</f>
        <v>575.70679999999993</v>
      </c>
      <c r="D6" s="73">
        <f>'Strip-Till'!P31</f>
        <v>307.13745999999998</v>
      </c>
      <c r="E6" s="73">
        <f>'Strip-Till'!R31</f>
        <v>217.36084849999997</v>
      </c>
      <c r="F6" s="73">
        <f>'Strip-Till'!T31</f>
        <v>208.94012824999999</v>
      </c>
    </row>
    <row r="7" spans="1:13" s="62" customFormat="1" ht="16" x14ac:dyDescent="0.2">
      <c r="A7" s="465" t="s">
        <v>130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15">
      <c r="A10" s="458" t="s">
        <v>59</v>
      </c>
      <c r="B10" s="458"/>
      <c r="C10" s="458"/>
      <c r="D10" s="458"/>
      <c r="E10" s="458"/>
      <c r="F10" s="458"/>
      <c r="H10" s="458" t="s">
        <v>62</v>
      </c>
      <c r="I10" s="458"/>
      <c r="J10" s="458"/>
      <c r="K10" s="458"/>
      <c r="L10" s="458"/>
      <c r="M10" s="458"/>
    </row>
    <row r="11" spans="1:13" s="62" customFormat="1" ht="12" x14ac:dyDescent="0.15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2.9050000000000002</v>
      </c>
      <c r="B14" s="85">
        <f>$A$14*B$13-$D$6</f>
        <v>-121.94370999999995</v>
      </c>
      <c r="C14" s="85">
        <f>$A$14*C$13-$D$6</f>
        <v>-84.90495999999996</v>
      </c>
      <c r="D14" s="85">
        <f>$A$14*D$13-$D$6</f>
        <v>-60.212459999999965</v>
      </c>
      <c r="E14" s="85">
        <f>$A$14*E$13-$D$6</f>
        <v>-35.519959999999912</v>
      </c>
      <c r="F14" s="85">
        <f>$A$14*F$13-$D$6</f>
        <v>1.5187900000000241</v>
      </c>
      <c r="H14" s="84">
        <f>Irrigated!H14</f>
        <v>0.39899999999999997</v>
      </c>
      <c r="I14" s="85">
        <f>$H$14*I$13-$B$6</f>
        <v>-243.79663704545462</v>
      </c>
      <c r="J14" s="85">
        <f>$H$14*J$13-$B$6</f>
        <v>-198.9091370454546</v>
      </c>
      <c r="K14" s="85">
        <f>$H$14*K$13-$B$6</f>
        <v>-168.98413704545459</v>
      </c>
      <c r="L14" s="85">
        <f>$H$14*L$13-$B$6</f>
        <v>-139.05913704545458</v>
      </c>
      <c r="M14" s="85">
        <f>$H$14*M$13-$B$6</f>
        <v>-94.171637045454645</v>
      </c>
    </row>
    <row r="15" spans="1:13" x14ac:dyDescent="0.15">
      <c r="A15" s="86">
        <f>Irrigated!A15</f>
        <v>3.5275000000000003</v>
      </c>
      <c r="B15" s="87">
        <f>$A$15*B$13-$D$6</f>
        <v>-82.259334999999965</v>
      </c>
      <c r="C15" s="87">
        <f>$A$15*C$13-$D$6</f>
        <v>-37.283709999999928</v>
      </c>
      <c r="D15" s="87">
        <f>$A$15*D$13-$D$6</f>
        <v>-7.2999599999999418</v>
      </c>
      <c r="E15" s="87">
        <f>$A$15*E$13-$D$6</f>
        <v>22.683790000000101</v>
      </c>
      <c r="F15" s="87">
        <f>$A$15*F$13-$D$6</f>
        <v>67.659415000000081</v>
      </c>
      <c r="H15" s="86">
        <f>Irrigated!H15</f>
        <v>0.48449999999999993</v>
      </c>
      <c r="I15" s="87">
        <f>$H$15*I$13-$B$6</f>
        <v>-195.70288704545464</v>
      </c>
      <c r="J15" s="87">
        <f>$H$15*J$13-$B$6</f>
        <v>-141.19663704545462</v>
      </c>
      <c r="K15" s="87">
        <f>$H$15*K$13-$B$6</f>
        <v>-104.85913704545464</v>
      </c>
      <c r="L15" s="87">
        <f>$H$15*L$13-$B$6</f>
        <v>-68.521637045454611</v>
      </c>
      <c r="M15" s="87">
        <f>$H$15*M$13-$B$6</f>
        <v>-14.015387045454645</v>
      </c>
    </row>
    <row r="16" spans="1:13" x14ac:dyDescent="0.15">
      <c r="A16" s="86">
        <f>Irrigated!A16</f>
        <v>4.1500000000000004</v>
      </c>
      <c r="B16" s="87">
        <f>$A$16*B$13-$D$6</f>
        <v>-42.574959999999976</v>
      </c>
      <c r="C16" s="87">
        <f>$A$16*C$13-$D$6</f>
        <v>10.337540000000047</v>
      </c>
      <c r="D16" s="87">
        <f>$A$16*D$13-$D$6</f>
        <v>45.612540000000081</v>
      </c>
      <c r="E16" s="87">
        <f>$A$16*E$13-$D$6</f>
        <v>80.887540000000115</v>
      </c>
      <c r="F16" s="87">
        <f>$A$16*F$13-$D$6</f>
        <v>133.80004000000008</v>
      </c>
      <c r="H16" s="86">
        <f>Irrigated!H16</f>
        <v>0.56999999999999995</v>
      </c>
      <c r="I16" s="87">
        <f>$H$16*I$13-$B$6</f>
        <v>-147.60913704545459</v>
      </c>
      <c r="J16" s="87">
        <f>$H$16*J$13-$B$6</f>
        <v>-83.484137045454645</v>
      </c>
      <c r="K16" s="87">
        <f>$H$16*K$13-$B$6</f>
        <v>-40.734137045454645</v>
      </c>
      <c r="L16" s="87">
        <f>$H$16*L$13-$B$6</f>
        <v>2.0158629545454119</v>
      </c>
      <c r="M16" s="87">
        <f>$H$16*M$13-$B$6</f>
        <v>66.140862954545412</v>
      </c>
    </row>
    <row r="17" spans="1:13" x14ac:dyDescent="0.15">
      <c r="A17" s="86">
        <f>Irrigated!A17</f>
        <v>4.7725</v>
      </c>
      <c r="B17" s="87">
        <f>$A$17*B$13-$D$6</f>
        <v>-2.8905849999999873</v>
      </c>
      <c r="C17" s="87">
        <f>$A$17*C$13-$D$6</f>
        <v>57.958790000000022</v>
      </c>
      <c r="D17" s="87">
        <f>$A$17*D$13-$D$6</f>
        <v>98.525040000000047</v>
      </c>
      <c r="E17" s="87">
        <f>$A$17*E$13-$D$6</f>
        <v>139.09129000000007</v>
      </c>
      <c r="F17" s="87">
        <f>$A$17*F$13-$D$6</f>
        <v>199.94066500000002</v>
      </c>
      <c r="H17" s="86">
        <f>Irrigated!H17</f>
        <v>0.65549999999999986</v>
      </c>
      <c r="I17" s="87">
        <f>$H$17*I$13-$B$6</f>
        <v>-99.515387045454645</v>
      </c>
      <c r="J17" s="87">
        <f>$H$17*J$13-$B$6</f>
        <v>-25.771637045454668</v>
      </c>
      <c r="K17" s="87">
        <f>$H$17*K$13-$B$6</f>
        <v>23.390862954545298</v>
      </c>
      <c r="L17" s="87">
        <f>$H$17*L$13-$B$6</f>
        <v>72.553362954545321</v>
      </c>
      <c r="M17" s="87">
        <f>$H$17*M$13-$B$6</f>
        <v>146.2971129545453</v>
      </c>
    </row>
    <row r="18" spans="1:13" x14ac:dyDescent="0.15">
      <c r="A18" s="88">
        <f>Irrigated!A18</f>
        <v>5.3950000000000005</v>
      </c>
      <c r="B18" s="89">
        <f>$A$18*B$13-$D$6</f>
        <v>36.793790000000058</v>
      </c>
      <c r="C18" s="89">
        <f>$A$18*C$13-$D$6</f>
        <v>105.58004000000005</v>
      </c>
      <c r="D18" s="89">
        <f>$A$18*D$13-$D$6</f>
        <v>151.43754000000007</v>
      </c>
      <c r="E18" s="89">
        <f>$A$18*E$13-$D$6</f>
        <v>197.29504000000014</v>
      </c>
      <c r="F18" s="89">
        <f>$A$18*F$13-$D$6</f>
        <v>266.08129000000002</v>
      </c>
      <c r="H18" s="88">
        <f>Irrigated!H18</f>
        <v>0.74099999999999999</v>
      </c>
      <c r="I18" s="89">
        <f>$H$18*I$13-$B$6</f>
        <v>-51.421637045454588</v>
      </c>
      <c r="J18" s="89">
        <f>$H$18*J$13-$B$6</f>
        <v>31.940862954545423</v>
      </c>
      <c r="K18" s="89">
        <f>$H$18*K$13-$B$6</f>
        <v>87.515862954545412</v>
      </c>
      <c r="L18" s="89">
        <f>$H$18*L$13-$B$6</f>
        <v>143.09086295454546</v>
      </c>
      <c r="M18" s="89">
        <f>$H$18*M$13-$B$6</f>
        <v>226.45336295454541</v>
      </c>
    </row>
    <row r="20" spans="1:13" x14ac:dyDescent="0.15">
      <c r="A20" s="458" t="s">
        <v>60</v>
      </c>
      <c r="B20" s="458"/>
      <c r="C20" s="458"/>
      <c r="D20" s="458"/>
      <c r="E20" s="458"/>
      <c r="F20" s="458"/>
      <c r="H20" s="459" t="s">
        <v>123</v>
      </c>
      <c r="I20" s="459"/>
      <c r="J20" s="459"/>
      <c r="K20" s="459"/>
      <c r="L20" s="459"/>
      <c r="M20" s="459"/>
    </row>
    <row r="21" spans="1:13" s="62" customFormat="1" ht="12" x14ac:dyDescent="0.15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2.6145</v>
      </c>
      <c r="B24" s="85">
        <f>$A$24*B$23-$F$6</f>
        <v>-81.48325324999999</v>
      </c>
      <c r="C24" s="85">
        <f>$A$24*C$23-$F$6</f>
        <v>-55.991878249999985</v>
      </c>
      <c r="D24" s="85">
        <f>$A$24*D$23-$F$6</f>
        <v>-38.997628249999991</v>
      </c>
      <c r="E24" s="85">
        <f>$A$24*E$23-$F$6</f>
        <v>-22.003378249999997</v>
      </c>
      <c r="F24" s="85">
        <f>$A$24*F$23-$F$6</f>
        <v>3.4879967500000078</v>
      </c>
      <c r="H24" s="90">
        <f>Irrigated!H24</f>
        <v>280</v>
      </c>
      <c r="I24" s="85">
        <f>$H$24*I$23/2000-$C$6</f>
        <v>-218.70679999999993</v>
      </c>
      <c r="J24" s="85">
        <f>$H$24*J$23/2000-$C$6</f>
        <v>-147.30679999999995</v>
      </c>
      <c r="K24" s="85">
        <f>$H$24*K$23/2000-$C$6</f>
        <v>-99.70679999999993</v>
      </c>
      <c r="L24" s="85">
        <f>$H$24*L$23/2000-$C$6</f>
        <v>-52.106799999999907</v>
      </c>
      <c r="M24" s="85">
        <f>$H$24*M$23/2000-$C$6</f>
        <v>19.29320000000007</v>
      </c>
    </row>
    <row r="25" spans="1:13" x14ac:dyDescent="0.15">
      <c r="A25" s="86">
        <f>Irrigated!A25</f>
        <v>3.1747500000000004</v>
      </c>
      <c r="B25" s="87">
        <f>$A$25*B$23-$F$6</f>
        <v>-54.171065749999968</v>
      </c>
      <c r="C25" s="87">
        <f>$A$25*C$23-$F$6</f>
        <v>-23.21725324999997</v>
      </c>
      <c r="D25" s="87">
        <f>$A$25*D$23-$F$6</f>
        <v>-2.5813782499999718</v>
      </c>
      <c r="E25" s="87">
        <f>$A$25*E$23-$F$6</f>
        <v>18.054496750000055</v>
      </c>
      <c r="F25" s="87">
        <f>$A$25*F$23-$F$6</f>
        <v>49.008309250000025</v>
      </c>
      <c r="H25" s="91">
        <f>Irrigated!H25</f>
        <v>340</v>
      </c>
      <c r="I25" s="87">
        <f>$H$25*I$23/2000-$C$6</f>
        <v>-142.20679999999993</v>
      </c>
      <c r="J25" s="87">
        <f>$H$25*J$23/2000-$C$6</f>
        <v>-55.506799999999885</v>
      </c>
      <c r="K25" s="87">
        <f>$H$25*K$23/2000-$C$6</f>
        <v>2.2932000000000698</v>
      </c>
      <c r="L25" s="87">
        <f>$H$25*L$23/2000-$C$6</f>
        <v>60.093200000000138</v>
      </c>
      <c r="M25" s="87">
        <f>$H$25*M$23/2000-$C$6</f>
        <v>146.79320000000007</v>
      </c>
    </row>
    <row r="26" spans="1:13" x14ac:dyDescent="0.15">
      <c r="A26" s="86">
        <f>Irrigated!A26</f>
        <v>3.7350000000000003</v>
      </c>
      <c r="B26" s="87">
        <f>$A$26*B$23-$F$6</f>
        <v>-26.858878249999975</v>
      </c>
      <c r="C26" s="87">
        <f>$A$26*C$23-$F$6</f>
        <v>9.5573717500000441</v>
      </c>
      <c r="D26" s="87">
        <f>$A$26*D$23-$F$6</f>
        <v>33.834871750000048</v>
      </c>
      <c r="E26" s="87">
        <f>$A$26*E$23-$F$6</f>
        <v>58.112371750000023</v>
      </c>
      <c r="F26" s="87">
        <f>$A$26*F$23-$F$6</f>
        <v>94.528621750000013</v>
      </c>
      <c r="H26" s="91">
        <f>Irrigated!H26</f>
        <v>400</v>
      </c>
      <c r="I26" s="87">
        <f>$H$26*I$23/2000-$C$6</f>
        <v>-65.70679999999993</v>
      </c>
      <c r="J26" s="87">
        <f>$H$26*J$23/2000-$C$6</f>
        <v>36.29320000000007</v>
      </c>
      <c r="K26" s="87">
        <f>$H$26*K$23/2000-$C$6</f>
        <v>104.29320000000007</v>
      </c>
      <c r="L26" s="87">
        <f>$H$26*L$23/2000-$C$6</f>
        <v>172.29320000000018</v>
      </c>
      <c r="M26" s="87">
        <f>$H$26*M$23/2000-$C$6</f>
        <v>274.29320000000007</v>
      </c>
    </row>
    <row r="27" spans="1:13" x14ac:dyDescent="0.15">
      <c r="A27" s="86">
        <f>Irrigated!A27</f>
        <v>4.2952500000000002</v>
      </c>
      <c r="B27" s="87">
        <f>$A$27*B$23-$F$6</f>
        <v>0.45330925000001798</v>
      </c>
      <c r="C27" s="87">
        <f>$A$27*C$23-$F$6</f>
        <v>42.33199675000003</v>
      </c>
      <c r="D27" s="87">
        <f>$A$27*D$23-$F$6</f>
        <v>70.251121750000038</v>
      </c>
      <c r="E27" s="87">
        <f>$A$27*E$23-$F$6</f>
        <v>98.170246750000047</v>
      </c>
      <c r="F27" s="87">
        <f>$A$27*F$23-$F$6</f>
        <v>140.04893425000006</v>
      </c>
      <c r="H27" s="91">
        <f>Irrigated!H27</f>
        <v>459.99999999999994</v>
      </c>
      <c r="I27" s="87">
        <f>$H$27*I$23/2000-$C$6</f>
        <v>10.793199999999956</v>
      </c>
      <c r="J27" s="87">
        <f>$H$27*J$23/2000-$C$6</f>
        <v>128.09319999999991</v>
      </c>
      <c r="K27" s="87">
        <f>$H$27*K$23/2000-$C$6</f>
        <v>206.29319999999996</v>
      </c>
      <c r="L27" s="87">
        <f>$H$27*L$23/2000-$C$6</f>
        <v>284.49320000000012</v>
      </c>
      <c r="M27" s="87">
        <f>$H$27*M$23/2000-$C$6</f>
        <v>401.79319999999996</v>
      </c>
    </row>
    <row r="28" spans="1:13" x14ac:dyDescent="0.15">
      <c r="A28" s="88">
        <f>Irrigated!A28</f>
        <v>4.8555000000000001</v>
      </c>
      <c r="B28" s="89">
        <f>$A$28*B$23-$F$6</f>
        <v>27.765496750000011</v>
      </c>
      <c r="C28" s="89">
        <f>$A$28*C$23-$F$6</f>
        <v>75.106621750000045</v>
      </c>
      <c r="D28" s="89">
        <f>$A$28*D$23-$F$6</f>
        <v>106.66737175000003</v>
      </c>
      <c r="E28" s="89">
        <f>$A$28*E$23-$F$6</f>
        <v>138.22812175000001</v>
      </c>
      <c r="F28" s="89">
        <f>$A$28*F$23-$F$6</f>
        <v>185.56924675000005</v>
      </c>
      <c r="H28" s="92">
        <f>Irrigated!H28</f>
        <v>520</v>
      </c>
      <c r="I28" s="89">
        <f>$H$28*I$23/2000-$C$6</f>
        <v>87.29320000000007</v>
      </c>
      <c r="J28" s="89">
        <f>$H$28*J$23/2000-$C$6</f>
        <v>219.89320000000009</v>
      </c>
      <c r="K28" s="89">
        <f>$H$28*K$23/2000-$C$6</f>
        <v>308.29320000000007</v>
      </c>
      <c r="L28" s="89">
        <f>$H$28*L$23/2000-$C$6</f>
        <v>396.69320000000016</v>
      </c>
      <c r="M28" s="89">
        <f>$H$28*M$23/2000-$C$6</f>
        <v>529.29320000000007</v>
      </c>
    </row>
    <row r="30" spans="1:13" x14ac:dyDescent="0.15">
      <c r="A30" s="458" t="s">
        <v>61</v>
      </c>
      <c r="B30" s="458"/>
      <c r="C30" s="458"/>
      <c r="D30" s="458"/>
      <c r="E30" s="458"/>
      <c r="F30" s="458"/>
    </row>
    <row r="31" spans="1:13" s="62" customFormat="1" ht="12" x14ac:dyDescent="0.15">
      <c r="A31" s="457" t="s">
        <v>36</v>
      </c>
      <c r="B31" s="457"/>
      <c r="C31" s="457"/>
      <c r="D31" s="457"/>
      <c r="E31" s="457"/>
      <c r="F31" s="457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15">
      <c r="A34" s="84">
        <f>Irrigated!A34</f>
        <v>5.7749999999999995</v>
      </c>
      <c r="B34" s="85">
        <f>$A$34*B$33-$E$6</f>
        <v>-87.423348499999975</v>
      </c>
      <c r="C34" s="85">
        <f>$A$34*C$33-$E$6</f>
        <v>-61.435848499999992</v>
      </c>
      <c r="D34" s="85">
        <f>$A$34*D$33-$E$6</f>
        <v>-44.110848500000003</v>
      </c>
      <c r="E34" s="85">
        <f>$A$34*E$33-$E$6</f>
        <v>-26.785848499999986</v>
      </c>
      <c r="F34" s="85">
        <f>$A$34*F$33-$E$6</f>
        <v>-0.79834850000000301</v>
      </c>
      <c r="I34" s="62"/>
    </row>
    <row r="35" spans="1:9" x14ac:dyDescent="0.15">
      <c r="A35" s="86">
        <f>Irrigated!A35</f>
        <v>7.0125000000000002</v>
      </c>
      <c r="B35" s="87">
        <f>$A$35*B$33-$E$6</f>
        <v>-59.579598499999975</v>
      </c>
      <c r="C35" s="87">
        <f>$A$35*C$33-$E$6</f>
        <v>-28.023348499999969</v>
      </c>
      <c r="D35" s="87">
        <f>$A$35*D$33-$E$6</f>
        <v>-6.9858484999999746</v>
      </c>
      <c r="E35" s="87">
        <f>$A$35*E$33-$E$6</f>
        <v>14.05165150000002</v>
      </c>
      <c r="F35" s="87">
        <f>$A$35*F$33-$E$6</f>
        <v>45.607901500000025</v>
      </c>
      <c r="I35" s="62"/>
    </row>
    <row r="36" spans="1:9" x14ac:dyDescent="0.15">
      <c r="A36" s="86">
        <f>Irrigated!A36</f>
        <v>8.25</v>
      </c>
      <c r="B36" s="87">
        <f>$A$36*B$33-$E$6</f>
        <v>-31.735848499999975</v>
      </c>
      <c r="C36" s="87">
        <f>$A$36*C$33-$E$6</f>
        <v>5.3891515000000254</v>
      </c>
      <c r="D36" s="87">
        <f>$A$36*D$33-$E$6</f>
        <v>30.139151500000025</v>
      </c>
      <c r="E36" s="87">
        <f>$A$36*E$33-$E$6</f>
        <v>54.889151500000025</v>
      </c>
      <c r="F36" s="87">
        <f>$A$36*F$33-$E$6</f>
        <v>92.014151500000025</v>
      </c>
      <c r="I36" s="62"/>
    </row>
    <row r="37" spans="1:9" x14ac:dyDescent="0.15">
      <c r="A37" s="86">
        <f>Irrigated!A37</f>
        <v>9.4874999999999989</v>
      </c>
      <c r="B37" s="87">
        <f>$A$37*B$33-$E$6</f>
        <v>-3.892098500000003</v>
      </c>
      <c r="C37" s="87">
        <f>$A$37*C$33-$E$6</f>
        <v>38.801651499999991</v>
      </c>
      <c r="D37" s="87">
        <f>$A$37*D$33-$E$6</f>
        <v>67.264151499999969</v>
      </c>
      <c r="E37" s="87">
        <f>$A$37*E$33-$E$6</f>
        <v>95.726651500000003</v>
      </c>
      <c r="F37" s="87">
        <f>$A$37*F$33-$E$6</f>
        <v>138.42040149999997</v>
      </c>
      <c r="I37" s="62"/>
    </row>
    <row r="38" spans="1:9" x14ac:dyDescent="0.15">
      <c r="A38" s="88">
        <f>Irrigated!A38</f>
        <v>10.725</v>
      </c>
      <c r="B38" s="89">
        <f>$A$38*B$33-$E$6</f>
        <v>23.951651500000025</v>
      </c>
      <c r="C38" s="89">
        <f>$A$38*C$33-$E$6</f>
        <v>72.214151500000014</v>
      </c>
      <c r="D38" s="89">
        <f>$A$38*D$33-$E$6</f>
        <v>104.38915150000003</v>
      </c>
      <c r="E38" s="89">
        <f>$A$38*E$33-$E$6</f>
        <v>136.56415150000004</v>
      </c>
      <c r="F38" s="89">
        <f>$A$38*F$33-$E$6</f>
        <v>184.82665150000003</v>
      </c>
      <c r="I38" s="62"/>
    </row>
    <row r="39" spans="1:9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80" zoomScaleNormal="180" zoomScaleSheetLayoutView="87" zoomScalePageLayoutView="170" workbookViewId="0">
      <pane xSplit="1" ySplit="9" topLeftCell="B10" activePane="bottomRight" state="frozen"/>
      <selection activeCell="D19" sqref="D19:E19"/>
      <selection pane="topRight" activeCell="D19" sqref="D19:E19"/>
      <selection pane="bottomLeft" activeCell="D19" sqref="D19:E19"/>
      <selection pane="bottomRight" activeCell="B47" sqref="B47"/>
    </sheetView>
  </sheetViews>
  <sheetFormatPr baseColWidth="10" defaultColWidth="8.83203125" defaultRowHeight="14" x14ac:dyDescent="0.2"/>
  <cols>
    <col min="1" max="1" width="29.16406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6640625" style="101" bestFit="1" customWidth="1"/>
    <col min="13" max="13" width="3.5" style="101" customWidth="1"/>
    <col min="14" max="14" width="5.5" style="101" bestFit="1" customWidth="1"/>
    <col min="15" max="15" width="3" style="101" bestFit="1" customWidth="1"/>
    <col min="16" max="16" width="5.5" style="101" bestFit="1" customWidth="1"/>
    <col min="17" max="17" width="4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5.5" style="101" bestFit="1" customWidth="1"/>
    <col min="23" max="23" width="3.5" style="101" bestFit="1" customWidth="1"/>
    <col min="24" max="24" width="5.5" style="101" bestFit="1" customWidth="1"/>
    <col min="25" max="25" width="3.5" style="101" customWidth="1"/>
    <col min="26" max="26" width="5.5" style="101" bestFit="1" customWidth="1"/>
    <col min="27" max="27" width="3.5" style="101" customWidth="1"/>
    <col min="28" max="28" width="5.5" style="101" bestFit="1" customWidth="1"/>
    <col min="29" max="29" width="6.5" style="101" bestFit="1" customWidth="1"/>
    <col min="30" max="30" width="8.83203125" style="101"/>
    <col min="31" max="57" width="8.83203125" style="100"/>
    <col min="58" max="16384" width="8.83203125" style="101"/>
  </cols>
  <sheetData>
    <row r="1" spans="1:57" x14ac:dyDescent="0.2">
      <c r="A1" s="94" t="s">
        <v>191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0"/>
      <c r="AD1" s="100"/>
      <c r="BE1" s="101"/>
    </row>
    <row r="2" spans="1:57" s="319" customFormat="1" ht="11" x14ac:dyDescent="0.15">
      <c r="A2" s="316" t="s">
        <v>190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x14ac:dyDescent="0.2">
      <c r="A3" s="231" t="s">
        <v>193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402" t="s">
        <v>0</v>
      </c>
      <c r="C4" s="403"/>
      <c r="D4" s="403"/>
      <c r="E4" s="403"/>
      <c r="F4" s="403"/>
      <c r="G4" s="403"/>
      <c r="H4" s="403"/>
      <c r="I4" s="403"/>
      <c r="J4" s="403"/>
      <c r="K4" s="403"/>
      <c r="L4" s="402" t="s">
        <v>1</v>
      </c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91"/>
      <c r="C5" s="392"/>
      <c r="D5" s="390"/>
      <c r="E5" s="390"/>
      <c r="F5" s="393"/>
      <c r="G5" s="393"/>
      <c r="H5" s="393"/>
      <c r="I5" s="393"/>
      <c r="J5" s="400" t="s">
        <v>23</v>
      </c>
      <c r="K5" s="392"/>
      <c r="L5" s="391"/>
      <c r="M5" s="392"/>
      <c r="N5" s="390"/>
      <c r="O5" s="390"/>
      <c r="P5" s="393"/>
      <c r="Q5" s="393"/>
      <c r="R5" s="393"/>
      <c r="S5" s="393"/>
      <c r="T5" s="393" t="s">
        <v>23</v>
      </c>
      <c r="U5" s="393"/>
      <c r="V5" s="393" t="s">
        <v>22</v>
      </c>
      <c r="W5" s="393"/>
      <c r="X5" s="392"/>
      <c r="Y5" s="394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398" t="s">
        <v>2</v>
      </c>
      <c r="C6" s="396"/>
      <c r="D6" s="399" t="s">
        <v>3</v>
      </c>
      <c r="E6" s="399"/>
      <c r="F6" s="395" t="s">
        <v>4</v>
      </c>
      <c r="G6" s="395"/>
      <c r="H6" s="395" t="s">
        <v>5</v>
      </c>
      <c r="I6" s="395"/>
      <c r="J6" s="401" t="s">
        <v>6</v>
      </c>
      <c r="K6" s="396"/>
      <c r="L6" s="398" t="s">
        <v>2</v>
      </c>
      <c r="M6" s="396"/>
      <c r="N6" s="399" t="s">
        <v>3</v>
      </c>
      <c r="O6" s="399"/>
      <c r="P6" s="395" t="s">
        <v>4</v>
      </c>
      <c r="Q6" s="395"/>
      <c r="R6" s="395" t="s">
        <v>5</v>
      </c>
      <c r="S6" s="395"/>
      <c r="T6" s="395" t="s">
        <v>6</v>
      </c>
      <c r="U6" s="395"/>
      <c r="V6" s="395" t="s">
        <v>7</v>
      </c>
      <c r="W6" s="395"/>
      <c r="X6" s="396" t="s">
        <v>7</v>
      </c>
      <c r="Y6" s="397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5" thickBot="1" x14ac:dyDescent="0.25">
      <c r="A8" s="109" t="s">
        <v>124</v>
      </c>
      <c r="B8" s="277">
        <v>0.56999999999999995</v>
      </c>
      <c r="C8" s="276" t="s">
        <v>159</v>
      </c>
      <c r="D8" s="280">
        <f>'Peanut Price Calculator'!B17</f>
        <v>400</v>
      </c>
      <c r="E8" s="281" t="s">
        <v>160</v>
      </c>
      <c r="F8" s="273">
        <v>4.1500000000000004</v>
      </c>
      <c r="G8" s="270" t="s">
        <v>162</v>
      </c>
      <c r="H8" s="273">
        <v>8.25</v>
      </c>
      <c r="I8" s="270" t="s">
        <v>162</v>
      </c>
      <c r="J8" s="273">
        <f>0.9*F8</f>
        <v>3.7350000000000003</v>
      </c>
      <c r="K8" s="276" t="s">
        <v>162</v>
      </c>
      <c r="L8" s="308">
        <f>B8</f>
        <v>0.56999999999999995</v>
      </c>
      <c r="M8" s="276" t="s">
        <v>159</v>
      </c>
      <c r="N8" s="280">
        <f>'Peanut Price Calculator'!B28</f>
        <v>400</v>
      </c>
      <c r="O8" s="281" t="s">
        <v>160</v>
      </c>
      <c r="P8" s="269">
        <f>F8</f>
        <v>4.1500000000000004</v>
      </c>
      <c r="Q8" s="270" t="s">
        <v>162</v>
      </c>
      <c r="R8" s="269">
        <f>H8</f>
        <v>8.25</v>
      </c>
      <c r="S8" s="270" t="s">
        <v>162</v>
      </c>
      <c r="T8" s="269">
        <f>J8</f>
        <v>3.7350000000000003</v>
      </c>
      <c r="U8" s="270" t="s">
        <v>162</v>
      </c>
      <c r="V8" s="273">
        <v>5.5</v>
      </c>
      <c r="W8" s="270" t="s">
        <v>162</v>
      </c>
      <c r="X8" s="271">
        <f>V8</f>
        <v>5.5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84">
        <f>B7*B8</f>
        <v>683.99999999999989</v>
      </c>
      <c r="C9" s="379"/>
      <c r="D9" s="381">
        <f>D8*(D7/2000)</f>
        <v>940</v>
      </c>
      <c r="E9" s="381"/>
      <c r="F9" s="381">
        <f>F7*F8</f>
        <v>830.00000000000011</v>
      </c>
      <c r="G9" s="381"/>
      <c r="H9" s="381">
        <f>H7*H8</f>
        <v>495</v>
      </c>
      <c r="I9" s="381"/>
      <c r="J9" s="387">
        <f>J7*J8</f>
        <v>373.50000000000006</v>
      </c>
      <c r="K9" s="379"/>
      <c r="L9" s="384">
        <f>L7*L8</f>
        <v>427.49999999999994</v>
      </c>
      <c r="M9" s="379"/>
      <c r="N9" s="381">
        <f>N8*(N7/2000)</f>
        <v>680</v>
      </c>
      <c r="O9" s="381"/>
      <c r="P9" s="381">
        <f>P7*P8</f>
        <v>352.75000000000006</v>
      </c>
      <c r="Q9" s="381"/>
      <c r="R9" s="381">
        <f>R7*R8</f>
        <v>247.5</v>
      </c>
      <c r="S9" s="381"/>
      <c r="T9" s="381">
        <f>T7*T8</f>
        <v>242.77500000000003</v>
      </c>
      <c r="U9" s="381"/>
      <c r="V9" s="381">
        <f>V7*V8</f>
        <v>412.5</v>
      </c>
      <c r="W9" s="381"/>
      <c r="X9" s="379">
        <f>X7*X8</f>
        <v>302.5</v>
      </c>
      <c r="Y9" s="380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156</v>
      </c>
      <c r="B10" s="376"/>
      <c r="C10" s="373"/>
      <c r="D10" s="375"/>
      <c r="E10" s="375"/>
      <c r="F10" s="375"/>
      <c r="G10" s="375"/>
      <c r="H10" s="375"/>
      <c r="I10" s="375"/>
      <c r="J10" s="383"/>
      <c r="K10" s="373"/>
      <c r="L10" s="376"/>
      <c r="M10" s="373"/>
      <c r="N10" s="375"/>
      <c r="O10" s="375"/>
      <c r="P10" s="375"/>
      <c r="Q10" s="375"/>
      <c r="R10" s="375"/>
      <c r="S10" s="375"/>
      <c r="T10" s="375"/>
      <c r="U10" s="375"/>
      <c r="V10" s="302"/>
      <c r="W10" s="301"/>
      <c r="X10" s="373"/>
      <c r="Y10" s="374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86">
        <f>(97+101)/2</f>
        <v>99</v>
      </c>
      <c r="C11" s="377"/>
      <c r="D11" s="382">
        <v>126</v>
      </c>
      <c r="E11" s="382"/>
      <c r="F11" s="382">
        <v>116.8</v>
      </c>
      <c r="G11" s="382"/>
      <c r="H11" s="382">
        <f>(55+60*3)/4</f>
        <v>58.75</v>
      </c>
      <c r="I11" s="382"/>
      <c r="J11" s="385">
        <v>23.4</v>
      </c>
      <c r="K11" s="377"/>
      <c r="L11" s="386">
        <f>(97+101)/2</f>
        <v>99</v>
      </c>
      <c r="M11" s="377"/>
      <c r="N11" s="382">
        <v>126</v>
      </c>
      <c r="O11" s="382"/>
      <c r="P11" s="382">
        <v>73</v>
      </c>
      <c r="Q11" s="382"/>
      <c r="R11" s="382">
        <f>(55+60*3)/4</f>
        <v>58.75</v>
      </c>
      <c r="S11" s="382"/>
      <c r="T11" s="382">
        <v>14.3</v>
      </c>
      <c r="U11" s="382"/>
      <c r="V11" s="382">
        <v>38</v>
      </c>
      <c r="W11" s="382"/>
      <c r="X11" s="377">
        <v>24.75</v>
      </c>
      <c r="Y11" s="378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48">
        <f>B7/495*0.75</f>
        <v>1.8181818181818183</v>
      </c>
      <c r="C12" s="349"/>
      <c r="D12" s="339"/>
      <c r="E12" s="339"/>
      <c r="F12" s="339"/>
      <c r="G12" s="339"/>
      <c r="H12" s="339"/>
      <c r="I12" s="339"/>
      <c r="J12" s="349"/>
      <c r="K12" s="349"/>
      <c r="L12" s="348">
        <f>L7/495*0.75</f>
        <v>1.1363636363636362</v>
      </c>
      <c r="M12" s="34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49"/>
      <c r="Y12" s="356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48">
        <f>14.85+6+B7*0.075*$D$46+0.0583*B7*$F$46+0.0583*B7*$H$46</f>
        <v>111.02159999999999</v>
      </c>
      <c r="C13" s="349"/>
      <c r="D13" s="339">
        <f>9.25+52.5+3</f>
        <v>64.75</v>
      </c>
      <c r="E13" s="339"/>
      <c r="F13" s="339">
        <f>22.5+F7*1.2*$D$46+F7*0.5*$F$46+F7*$H$46</f>
        <v>234.5</v>
      </c>
      <c r="G13" s="339"/>
      <c r="H13" s="339">
        <f>6.5+14.85+0.6667*H7*$F$46+1.333*H7*$H$46+1.6</f>
        <v>64.544159999999991</v>
      </c>
      <c r="I13" s="339"/>
      <c r="J13" s="349">
        <f>22.5+1.25*J7*$D$46+0.6*J7*$F$46+0.9*J7*$H$46</f>
        <v>131.25</v>
      </c>
      <c r="K13" s="349"/>
      <c r="L13" s="348">
        <f>14.85+6+0.08*L7*$D$46+0.0667*L7*$F$46+0.0667*L7*$H$46</f>
        <v>83.367750000000001</v>
      </c>
      <c r="M13" s="349"/>
      <c r="N13" s="339">
        <f>9.25+52.5+3</f>
        <v>64.75</v>
      </c>
      <c r="O13" s="339"/>
      <c r="P13" s="339">
        <f>11.25+P7*1.1765*$D$46+0.4706*P7*$F$46+0.7059*P7*$H$46</f>
        <v>91.25200000000001</v>
      </c>
      <c r="Q13" s="339"/>
      <c r="R13" s="336">
        <f>6.5+14.85+1.3333*R7*$F$46+2.6667*R7*$H$46+1.6</f>
        <v>64.549949999999995</v>
      </c>
      <c r="S13" s="337"/>
      <c r="T13" s="339">
        <f>11.25+1.2308*T7*$D$46+0.6154*T7*$F$46+0.9231*T7*$H$46</f>
        <v>82.251774999999995</v>
      </c>
      <c r="U13" s="339"/>
      <c r="V13" s="339">
        <f>11.25+1.6*V7*$D$46+0.6667*V7*$F$46+0.8*V7*$H$46</f>
        <v>104.05095</v>
      </c>
      <c r="W13" s="339"/>
      <c r="X13" s="349">
        <f>11.25+1.4545*X7*$D$46+0.7273*X7*$F$46+0.7273*X7*$H$46</f>
        <v>75.649940000000001</v>
      </c>
      <c r="Y13" s="356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48"/>
      <c r="C14" s="349"/>
      <c r="D14" s="339"/>
      <c r="E14" s="339"/>
      <c r="F14" s="339"/>
      <c r="G14" s="339"/>
      <c r="H14" s="339"/>
      <c r="I14" s="339"/>
      <c r="J14" s="349"/>
      <c r="K14" s="349"/>
      <c r="L14" s="348"/>
      <c r="M14" s="34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49"/>
      <c r="Y14" s="356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48">
        <f>60.98+20.75+1.84+14.26</f>
        <v>97.83</v>
      </c>
      <c r="C15" s="349"/>
      <c r="D15" s="339">
        <f>41.3+54.2+92.22</f>
        <v>187.72</v>
      </c>
      <c r="E15" s="339"/>
      <c r="F15" s="339">
        <f>12.5+9.5+19.45</f>
        <v>41.45</v>
      </c>
      <c r="G15" s="339"/>
      <c r="H15" s="339">
        <f>25.58+4.55+24</f>
        <v>54.129999999999995</v>
      </c>
      <c r="I15" s="339"/>
      <c r="J15" s="349">
        <f>17.5+11.45</f>
        <v>28.95</v>
      </c>
      <c r="K15" s="349"/>
      <c r="L15" s="348">
        <f>60.98+20.75+1.33+14.26</f>
        <v>97.32</v>
      </c>
      <c r="M15" s="349"/>
      <c r="N15" s="339">
        <f>49.84+54.2+54.02</f>
        <v>158.06</v>
      </c>
      <c r="O15" s="339"/>
      <c r="P15" s="339">
        <f>12.5+9.5+19.45</f>
        <v>41.45</v>
      </c>
      <c r="Q15" s="339"/>
      <c r="R15" s="339">
        <f>20.88+4.55</f>
        <v>25.43</v>
      </c>
      <c r="S15" s="339"/>
      <c r="T15" s="339">
        <f>17.5+11.45</f>
        <v>28.95</v>
      </c>
      <c r="U15" s="339"/>
      <c r="V15" s="339">
        <f>24.55+2.25+7.6</f>
        <v>34.4</v>
      </c>
      <c r="W15" s="339"/>
      <c r="X15" s="349">
        <f>13.13+2.25+4.8</f>
        <v>20.18</v>
      </c>
      <c r="Y15" s="356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36"/>
      <c r="E16" s="337"/>
      <c r="F16" s="336"/>
      <c r="G16" s="337"/>
      <c r="H16" s="336"/>
      <c r="I16" s="337"/>
      <c r="J16" s="233"/>
      <c r="K16" s="233"/>
      <c r="L16" s="299"/>
      <c r="M16" s="298"/>
      <c r="N16" s="336"/>
      <c r="O16" s="337"/>
      <c r="P16" s="336"/>
      <c r="Q16" s="337"/>
      <c r="R16" s="336"/>
      <c r="S16" s="337"/>
      <c r="T16" s="336"/>
      <c r="U16" s="337"/>
      <c r="V16" s="336"/>
      <c r="W16" s="337"/>
      <c r="X16" s="298"/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48">
        <v>15</v>
      </c>
      <c r="C17" s="349"/>
      <c r="D17" s="339">
        <v>15</v>
      </c>
      <c r="E17" s="339"/>
      <c r="F17" s="339"/>
      <c r="G17" s="339"/>
      <c r="H17" s="339"/>
      <c r="I17" s="339"/>
      <c r="J17" s="349"/>
      <c r="K17" s="349"/>
      <c r="L17" s="348">
        <v>15</v>
      </c>
      <c r="M17" s="349"/>
      <c r="N17" s="339">
        <v>15</v>
      </c>
      <c r="O17" s="339"/>
      <c r="P17" s="339"/>
      <c r="Q17" s="339"/>
      <c r="R17" s="339"/>
      <c r="S17" s="339"/>
      <c r="T17" s="339"/>
      <c r="U17" s="339"/>
      <c r="V17" s="339"/>
      <c r="W17" s="339"/>
      <c r="X17" s="349"/>
      <c r="Y17" s="356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48">
        <v>10</v>
      </c>
      <c r="C18" s="349"/>
      <c r="D18" s="339">
        <v>10</v>
      </c>
      <c r="E18" s="339"/>
      <c r="F18" s="339"/>
      <c r="G18" s="339"/>
      <c r="H18" s="339"/>
      <c r="I18" s="339"/>
      <c r="J18" s="349"/>
      <c r="K18" s="349"/>
      <c r="L18" s="348">
        <v>10</v>
      </c>
      <c r="M18" s="349"/>
      <c r="N18" s="339">
        <v>10</v>
      </c>
      <c r="O18" s="339"/>
      <c r="P18" s="339"/>
      <c r="Q18" s="339"/>
      <c r="R18" s="339"/>
      <c r="S18" s="339"/>
      <c r="T18" s="339"/>
      <c r="U18" s="339"/>
      <c r="V18" s="339"/>
      <c r="W18" s="339"/>
      <c r="X18" s="349"/>
      <c r="Y18" s="356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48">
        <f>(4.6+6.4)*$B$47</f>
        <v>22</v>
      </c>
      <c r="C19" s="349"/>
      <c r="D19" s="339">
        <f>(9.2+7.9)*$B$47</f>
        <v>34.200000000000003</v>
      </c>
      <c r="E19" s="339"/>
      <c r="F19" s="339">
        <f>7.4*$B$47</f>
        <v>14.8</v>
      </c>
      <c r="G19" s="339"/>
      <c r="H19" s="339">
        <f>6.8*$B$47</f>
        <v>13.6</v>
      </c>
      <c r="I19" s="339"/>
      <c r="J19" s="349">
        <f>7.6*$B$47</f>
        <v>15.2</v>
      </c>
      <c r="K19" s="349"/>
      <c r="L19" s="348">
        <f>(4.6+6.4)*$B$47</f>
        <v>22</v>
      </c>
      <c r="M19" s="349"/>
      <c r="N19" s="339">
        <f>(9.2+7.9)*$B$47</f>
        <v>34.200000000000003</v>
      </c>
      <c r="O19" s="339"/>
      <c r="P19" s="339">
        <f>7.4*B47</f>
        <v>14.8</v>
      </c>
      <c r="Q19" s="339"/>
      <c r="R19" s="339">
        <f>6.8*$B$47</f>
        <v>13.6</v>
      </c>
      <c r="S19" s="339"/>
      <c r="T19" s="339">
        <f>7.6*$B$47</f>
        <v>15.2</v>
      </c>
      <c r="U19" s="339"/>
      <c r="V19" s="339">
        <f>11*$B$47</f>
        <v>22</v>
      </c>
      <c r="W19" s="339"/>
      <c r="X19" s="349">
        <f>6.7*$B$47</f>
        <v>13.4</v>
      </c>
      <c r="Y19" s="356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48">
        <f>(23.34+13.14+13.14+27.4)/2</f>
        <v>38.510000000000005</v>
      </c>
      <c r="C20" s="349"/>
      <c r="D20" s="339">
        <f>21.84+28.68</f>
        <v>50.519999999999996</v>
      </c>
      <c r="E20" s="339"/>
      <c r="F20" s="339">
        <f>12.94+8.43</f>
        <v>21.369999999999997</v>
      </c>
      <c r="G20" s="339"/>
      <c r="H20" s="339">
        <f>11.17+7.63</f>
        <v>18.8</v>
      </c>
      <c r="I20" s="339"/>
      <c r="J20" s="336">
        <f>13.73+7.21</f>
        <v>20.94</v>
      </c>
      <c r="K20" s="356"/>
      <c r="L20" s="348">
        <f>(23.34+13.14+13.14+27.4)/2</f>
        <v>38.510000000000005</v>
      </c>
      <c r="M20" s="349"/>
      <c r="N20" s="339">
        <f>21.84+28.68</f>
        <v>50.519999999999996</v>
      </c>
      <c r="O20" s="339"/>
      <c r="P20" s="339">
        <f>12.94+8.43</f>
        <v>21.369999999999997</v>
      </c>
      <c r="Q20" s="339"/>
      <c r="R20" s="339">
        <f>11.17+7.63</f>
        <v>18.8</v>
      </c>
      <c r="S20" s="339"/>
      <c r="T20" s="336">
        <f>13.73+7.21</f>
        <v>20.94</v>
      </c>
      <c r="U20" s="356"/>
      <c r="V20" s="339">
        <f>16.96+5.62</f>
        <v>22.580000000000002</v>
      </c>
      <c r="W20" s="339"/>
      <c r="X20" s="349">
        <f>8.4+5.62</f>
        <v>14.02</v>
      </c>
      <c r="Y20" s="356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48">
        <f>((7*8)*0.67+(4.8*$B$47*8)*0.33)</f>
        <v>62.864000000000004</v>
      </c>
      <c r="C21" s="349"/>
      <c r="D21" s="339">
        <f>((7*6)*0.67+(4.8*$B$47*6)*0.33)</f>
        <v>47.147999999999996</v>
      </c>
      <c r="E21" s="339"/>
      <c r="F21" s="336">
        <f>((7*8)*0.67+(4.8*$B$47*8)*0.33)</f>
        <v>62.864000000000004</v>
      </c>
      <c r="G21" s="337"/>
      <c r="H21" s="339">
        <f>((7*5)*0.67+(4.8*$B$47*5)*0.33)</f>
        <v>39.290000000000006</v>
      </c>
      <c r="I21" s="339"/>
      <c r="J21" s="336">
        <f>((7*4)*0.67+(4.8*$B$47*4)*0.33)</f>
        <v>31.432000000000002</v>
      </c>
      <c r="K21" s="349"/>
      <c r="L21" s="348"/>
      <c r="M21" s="349"/>
      <c r="N21" s="339"/>
      <c r="O21" s="339"/>
      <c r="P21" s="339"/>
      <c r="Q21" s="339"/>
      <c r="R21" s="339"/>
      <c r="S21" s="339"/>
      <c r="T21" s="339"/>
      <c r="U21" s="339"/>
      <c r="V21" s="336"/>
      <c r="W21" s="337"/>
      <c r="X21" s="349"/>
      <c r="Y21" s="356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48">
        <v>27.4</v>
      </c>
      <c r="C22" s="349"/>
      <c r="D22" s="339">
        <v>33.93</v>
      </c>
      <c r="E22" s="339"/>
      <c r="F22" s="339">
        <v>14.1</v>
      </c>
      <c r="G22" s="339"/>
      <c r="H22" s="339">
        <v>12.52</v>
      </c>
      <c r="I22" s="339"/>
      <c r="J22" s="339">
        <v>14.64</v>
      </c>
      <c r="K22" s="339"/>
      <c r="L22" s="348">
        <v>27.4</v>
      </c>
      <c r="M22" s="349"/>
      <c r="N22" s="339">
        <v>33.93</v>
      </c>
      <c r="O22" s="339"/>
      <c r="P22" s="339">
        <v>14.1</v>
      </c>
      <c r="Q22" s="339"/>
      <c r="R22" s="339">
        <v>12.52</v>
      </c>
      <c r="S22" s="339"/>
      <c r="T22" s="339">
        <v>14.64</v>
      </c>
      <c r="U22" s="339"/>
      <c r="V22" s="339">
        <v>17.54</v>
      </c>
      <c r="W22" s="339"/>
      <c r="X22" s="349">
        <v>10.07</v>
      </c>
      <c r="Y22" s="356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48">
        <v>7.5</v>
      </c>
      <c r="C23" s="349"/>
      <c r="D23" s="339">
        <v>17</v>
      </c>
      <c r="E23" s="339"/>
      <c r="F23" s="339">
        <v>13.5</v>
      </c>
      <c r="G23" s="339"/>
      <c r="H23" s="339">
        <v>8.75</v>
      </c>
      <c r="I23" s="339"/>
      <c r="J23" s="349">
        <v>17.5</v>
      </c>
      <c r="K23" s="349"/>
      <c r="L23" s="348">
        <v>16</v>
      </c>
      <c r="M23" s="349"/>
      <c r="N23" s="339">
        <v>23</v>
      </c>
      <c r="O23" s="339"/>
      <c r="P23" s="339">
        <v>22</v>
      </c>
      <c r="Q23" s="339"/>
      <c r="R23" s="339">
        <v>15</v>
      </c>
      <c r="S23" s="339"/>
      <c r="T23" s="339">
        <v>16</v>
      </c>
      <c r="U23" s="339"/>
      <c r="V23" s="339">
        <v>11</v>
      </c>
      <c r="W23" s="339"/>
      <c r="X23" s="349">
        <v>12</v>
      </c>
      <c r="Y23" s="356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48"/>
      <c r="C24" s="349"/>
      <c r="D24" s="339"/>
      <c r="E24" s="339"/>
      <c r="F24" s="339"/>
      <c r="G24" s="339"/>
      <c r="H24" s="339"/>
      <c r="I24" s="339"/>
      <c r="J24" s="349"/>
      <c r="K24" s="349"/>
      <c r="L24" s="348"/>
      <c r="M24" s="34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49"/>
      <c r="Y24" s="356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48"/>
      <c r="C25" s="349"/>
      <c r="D25" s="339"/>
      <c r="E25" s="339"/>
      <c r="F25" s="339"/>
      <c r="G25" s="339"/>
      <c r="H25" s="339"/>
      <c r="I25" s="339"/>
      <c r="J25" s="349"/>
      <c r="K25" s="349"/>
      <c r="L25" s="348"/>
      <c r="M25" s="34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49"/>
      <c r="Y25" s="356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88">
        <f>(SUM(B11:B25))*0.5*0.06</f>
        <v>14.788313454545451</v>
      </c>
      <c r="C26" s="367"/>
      <c r="D26" s="369">
        <f>(SUM(D11:D25))*0.5*0.06</f>
        <v>17.588039999999996</v>
      </c>
      <c r="E26" s="369"/>
      <c r="F26" s="369">
        <f>(SUM(F11:F25))*0.5*0.06</f>
        <v>15.581519999999999</v>
      </c>
      <c r="G26" s="369"/>
      <c r="H26" s="369">
        <f>(SUM(H11:H25))*0.5*0.06</f>
        <v>8.111524799999998</v>
      </c>
      <c r="I26" s="369"/>
      <c r="J26" s="367">
        <f>(SUM(J11:J25))*0.5*0.06</f>
        <v>8.4993599999999976</v>
      </c>
      <c r="K26" s="367"/>
      <c r="L26" s="388">
        <f>(SUM(L11:L25))*0.5*0.06</f>
        <v>12.292023409090907</v>
      </c>
      <c r="M26" s="367"/>
      <c r="N26" s="369">
        <f>(SUM(N11:N25))*0.5*0.06</f>
        <v>15.463800000000001</v>
      </c>
      <c r="O26" s="369"/>
      <c r="P26" s="369">
        <f>(SUM(P11:P25))*0.5*0.06</f>
        <v>8.3391599999999997</v>
      </c>
      <c r="Q26" s="369"/>
      <c r="R26" s="369">
        <f>(SUM(R11:R25))*0.5*0.06</f>
        <v>6.2594985000000003</v>
      </c>
      <c r="S26" s="369"/>
      <c r="T26" s="369">
        <f>(SUM(T11:T25))*0.5*0.06</f>
        <v>5.7684532499999994</v>
      </c>
      <c r="U26" s="369"/>
      <c r="V26" s="369">
        <f>(SUM(V11:V25))*0.5*0.06</f>
        <v>7.4871284999999999</v>
      </c>
      <c r="W26" s="369"/>
      <c r="X26" s="367">
        <f>(SUM(X11:X25))*0.5*0.06</f>
        <v>5.1020981999999995</v>
      </c>
      <c r="Y26" s="368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88">
        <f>B7*0.0395</f>
        <v>47.4</v>
      </c>
      <c r="C27" s="367"/>
      <c r="D27" s="369"/>
      <c r="E27" s="369"/>
      <c r="F27" s="369"/>
      <c r="G27" s="369"/>
      <c r="H27" s="369"/>
      <c r="I27" s="369"/>
      <c r="J27" s="367"/>
      <c r="K27" s="367"/>
      <c r="L27" s="388">
        <f>0.0395*L7</f>
        <v>29.625</v>
      </c>
      <c r="M27" s="367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7"/>
      <c r="Y27" s="368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88"/>
      <c r="C28" s="367"/>
      <c r="D28" s="369">
        <f>D7/2000*0.33*20+D7/2000*0.67*30</f>
        <v>62.745000000000005</v>
      </c>
      <c r="E28" s="369"/>
      <c r="F28" s="369">
        <f>F7*1.0975*0.28</f>
        <v>61.46</v>
      </c>
      <c r="G28" s="369"/>
      <c r="H28" s="369"/>
      <c r="I28" s="369"/>
      <c r="J28" s="367">
        <f>J7*1.0975*0.28</f>
        <v>30.73</v>
      </c>
      <c r="K28" s="367"/>
      <c r="L28" s="388"/>
      <c r="M28" s="367"/>
      <c r="N28" s="369">
        <f>N7/2000*0.33*20+N7/2000*0.67*30</f>
        <v>45.39</v>
      </c>
      <c r="O28" s="369"/>
      <c r="P28" s="369">
        <f>P7*1.0975*0.28</f>
        <v>26.1205</v>
      </c>
      <c r="Q28" s="369"/>
      <c r="R28" s="369"/>
      <c r="S28" s="369"/>
      <c r="T28" s="369">
        <f>T7*1.0975*0.28</f>
        <v>19.974499999999999</v>
      </c>
      <c r="U28" s="369"/>
      <c r="V28" s="369">
        <f>V7*1.03*0.095</f>
        <v>7.3387500000000001</v>
      </c>
      <c r="W28" s="369"/>
      <c r="X28" s="367">
        <f>X7*1.03*0.095</f>
        <v>5.3817500000000003</v>
      </c>
      <c r="Y28" s="368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50"/>
      <c r="C29" s="351"/>
      <c r="D29" s="340">
        <f>D7/2000*3+D7/2000*355*0.01</f>
        <v>15.3925</v>
      </c>
      <c r="E29" s="340"/>
      <c r="F29" s="340"/>
      <c r="G29" s="340"/>
      <c r="H29" s="340"/>
      <c r="I29" s="340"/>
      <c r="J29" s="351"/>
      <c r="K29" s="351"/>
      <c r="L29" s="350"/>
      <c r="M29" s="351"/>
      <c r="N29" s="340">
        <f>N7/2000*3+N7/2000*355*0.01</f>
        <v>11.135</v>
      </c>
      <c r="O29" s="340"/>
      <c r="P29" s="340"/>
      <c r="Q29" s="340"/>
      <c r="R29" s="340"/>
      <c r="S29" s="340"/>
      <c r="T29" s="340"/>
      <c r="U29" s="340"/>
      <c r="V29" s="340"/>
      <c r="W29" s="340"/>
      <c r="X29" s="351"/>
      <c r="Y29" s="360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5" thickBot="1" x14ac:dyDescent="0.25">
      <c r="A30" s="125" t="s">
        <v>157</v>
      </c>
      <c r="B30" s="363">
        <f t="shared" ref="B30:X30" si="0">SUM(B11:B29)</f>
        <v>555.13209527272716</v>
      </c>
      <c r="C30" s="362"/>
      <c r="D30" s="343">
        <f t="shared" si="0"/>
        <v>681.99353999999994</v>
      </c>
      <c r="E30" s="343"/>
      <c r="F30" s="343">
        <f t="shared" si="0"/>
        <v>596.42552000000001</v>
      </c>
      <c r="G30" s="343"/>
      <c r="H30" s="343">
        <f t="shared" si="0"/>
        <v>278.49568479999994</v>
      </c>
      <c r="I30" s="343"/>
      <c r="J30" s="362">
        <f t="shared" si="0"/>
        <v>322.54136</v>
      </c>
      <c r="K30" s="362"/>
      <c r="L30" s="363">
        <f>SUM(L11:L29)</f>
        <v>451.6511370454545</v>
      </c>
      <c r="M30" s="362"/>
      <c r="N30" s="343">
        <f t="shared" si="0"/>
        <v>587.44880000000001</v>
      </c>
      <c r="O30" s="343"/>
      <c r="P30" s="343">
        <f t="shared" si="0"/>
        <v>312.43165999999997</v>
      </c>
      <c r="Q30" s="343"/>
      <c r="R30" s="343">
        <f t="shared" si="0"/>
        <v>214.90944850000002</v>
      </c>
      <c r="S30" s="343"/>
      <c r="T30" s="343">
        <f t="shared" si="0"/>
        <v>218.02472824999998</v>
      </c>
      <c r="U30" s="343"/>
      <c r="V30" s="343">
        <f>SUM(V11:V29)</f>
        <v>264.39682850000003</v>
      </c>
      <c r="W30" s="343"/>
      <c r="X30" s="362">
        <f t="shared" si="0"/>
        <v>180.55378820000001</v>
      </c>
      <c r="Y30" s="365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89">
        <f t="shared" ref="B31:X31" si="1">B9-B30</f>
        <v>128.86790472727273</v>
      </c>
      <c r="C31" s="371"/>
      <c r="D31" s="370">
        <f t="shared" si="1"/>
        <v>258.00646000000006</v>
      </c>
      <c r="E31" s="370"/>
      <c r="F31" s="370">
        <f t="shared" si="1"/>
        <v>233.57448000000011</v>
      </c>
      <c r="G31" s="370"/>
      <c r="H31" s="370">
        <f t="shared" si="1"/>
        <v>216.50431520000006</v>
      </c>
      <c r="I31" s="370"/>
      <c r="J31" s="371">
        <f t="shared" si="1"/>
        <v>50.958640000000059</v>
      </c>
      <c r="K31" s="371"/>
      <c r="L31" s="389">
        <f t="shared" si="1"/>
        <v>-24.151137045454561</v>
      </c>
      <c r="M31" s="371"/>
      <c r="N31" s="370">
        <f t="shared" si="1"/>
        <v>92.551199999999994</v>
      </c>
      <c r="O31" s="370"/>
      <c r="P31" s="370">
        <f t="shared" si="1"/>
        <v>40.318340000000092</v>
      </c>
      <c r="Q31" s="370"/>
      <c r="R31" s="370">
        <f t="shared" si="1"/>
        <v>32.590551499999975</v>
      </c>
      <c r="S31" s="370"/>
      <c r="T31" s="370">
        <f t="shared" si="1"/>
        <v>24.750271750000053</v>
      </c>
      <c r="U31" s="370"/>
      <c r="V31" s="370">
        <f>V9-V30</f>
        <v>148.10317149999997</v>
      </c>
      <c r="W31" s="370"/>
      <c r="X31" s="371">
        <f t="shared" si="1"/>
        <v>121.94621179999999</v>
      </c>
      <c r="Y31" s="372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0.46261007939393928</v>
      </c>
      <c r="C32" s="263" t="s">
        <v>159</v>
      </c>
      <c r="D32" s="264">
        <f>D30/D7*2000</f>
        <v>290.2100170212766</v>
      </c>
      <c r="E32" s="265" t="s">
        <v>160</v>
      </c>
      <c r="F32" s="266">
        <f>F30/F7</f>
        <v>2.9821276000000001</v>
      </c>
      <c r="G32" s="265" t="s">
        <v>162</v>
      </c>
      <c r="H32" s="266">
        <f>H30/H7</f>
        <v>4.6415947466666658</v>
      </c>
      <c r="I32" s="265" t="s">
        <v>162</v>
      </c>
      <c r="J32" s="267">
        <f>J30/J7</f>
        <v>3.2254136</v>
      </c>
      <c r="K32" s="263" t="s">
        <v>162</v>
      </c>
      <c r="L32" s="262">
        <f>L30/L7</f>
        <v>0.60220151606060601</v>
      </c>
      <c r="M32" s="263" t="s">
        <v>159</v>
      </c>
      <c r="N32" s="264">
        <f>N30/N7*2000</f>
        <v>345.55811764705885</v>
      </c>
      <c r="O32" s="265" t="s">
        <v>160</v>
      </c>
      <c r="P32" s="266">
        <f>P30/P7</f>
        <v>3.6756665882352939</v>
      </c>
      <c r="Q32" s="265" t="s">
        <v>162</v>
      </c>
      <c r="R32" s="266">
        <f>R30/R7</f>
        <v>7.1636482833333339</v>
      </c>
      <c r="S32" s="265" t="s">
        <v>162</v>
      </c>
      <c r="T32" s="266">
        <f>T30/T7</f>
        <v>3.3542265884615383</v>
      </c>
      <c r="U32" s="265" t="s">
        <v>162</v>
      </c>
      <c r="V32" s="266">
        <f>V30/V7</f>
        <v>3.5252910466666671</v>
      </c>
      <c r="W32" s="265" t="s">
        <v>162</v>
      </c>
      <c r="X32" s="267">
        <f>X30/X7</f>
        <v>3.2827961490909092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27" t="s">
        <v>189</v>
      </c>
      <c r="B33" s="323">
        <f>B30/B8</f>
        <v>973.91595661881968</v>
      </c>
      <c r="C33" s="324" t="s">
        <v>158</v>
      </c>
      <c r="D33" s="325">
        <f>D30/D8*2000</f>
        <v>3409.9676999999997</v>
      </c>
      <c r="E33" s="326" t="s">
        <v>158</v>
      </c>
      <c r="F33" s="325">
        <f>F30/F8</f>
        <v>143.71699277108434</v>
      </c>
      <c r="G33" s="326" t="s">
        <v>161</v>
      </c>
      <c r="H33" s="325">
        <f>H30/H8</f>
        <v>33.757052703030297</v>
      </c>
      <c r="I33" s="326" t="s">
        <v>161</v>
      </c>
      <c r="J33" s="327">
        <f>J30/J8</f>
        <v>86.356455153949128</v>
      </c>
      <c r="K33" s="324" t="s">
        <v>161</v>
      </c>
      <c r="L33" s="323">
        <f>L30/L8</f>
        <v>792.3704158692185</v>
      </c>
      <c r="M33" s="324" t="s">
        <v>158</v>
      </c>
      <c r="N33" s="325">
        <f>N30/N8*2000</f>
        <v>2937.2440000000001</v>
      </c>
      <c r="O33" s="326" t="s">
        <v>158</v>
      </c>
      <c r="P33" s="325">
        <f>P30/P8</f>
        <v>75.284737349397574</v>
      </c>
      <c r="Q33" s="326" t="s">
        <v>161</v>
      </c>
      <c r="R33" s="325">
        <f>R30/R8</f>
        <v>26.049630121212125</v>
      </c>
      <c r="S33" s="326" t="s">
        <v>161</v>
      </c>
      <c r="T33" s="325">
        <f>T30/T8</f>
        <v>58.373421218206147</v>
      </c>
      <c r="U33" s="326" t="s">
        <v>161</v>
      </c>
      <c r="V33" s="325">
        <f>V30/V8</f>
        <v>48.072150636363638</v>
      </c>
      <c r="W33" s="326" t="s">
        <v>161</v>
      </c>
      <c r="X33" s="325">
        <f>X30/X8</f>
        <v>32.827961490909097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88"/>
      <c r="C34" s="367"/>
      <c r="D34" s="369"/>
      <c r="E34" s="369"/>
      <c r="F34" s="369"/>
      <c r="G34" s="369"/>
      <c r="H34" s="369"/>
      <c r="I34" s="369"/>
      <c r="J34" s="367"/>
      <c r="K34" s="367"/>
      <c r="L34" s="388"/>
      <c r="M34" s="367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7"/>
      <c r="Y34" s="368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48">
        <f>(43.48+92.86+43.48+126.84)/2</f>
        <v>153.32999999999998</v>
      </c>
      <c r="C35" s="349"/>
      <c r="D35" s="339">
        <f>62.48+85.94</f>
        <v>148.41999999999999</v>
      </c>
      <c r="E35" s="339"/>
      <c r="F35" s="339">
        <f>35.36+41.04</f>
        <v>76.400000000000006</v>
      </c>
      <c r="G35" s="339"/>
      <c r="H35" s="339">
        <f>31.76+37.47</f>
        <v>69.23</v>
      </c>
      <c r="I35" s="339"/>
      <c r="J35" s="336">
        <f>36.75+37.47</f>
        <v>74.22</v>
      </c>
      <c r="K35" s="337"/>
      <c r="L35" s="348">
        <f>(43.48+92.86+43.48+126.84)/2</f>
        <v>153.32999999999998</v>
      </c>
      <c r="M35" s="349"/>
      <c r="N35" s="339">
        <f>62.48+85.94</f>
        <v>148.41999999999999</v>
      </c>
      <c r="O35" s="339"/>
      <c r="P35" s="339">
        <f>35.36+41.04</f>
        <v>76.400000000000006</v>
      </c>
      <c r="Q35" s="339"/>
      <c r="R35" s="339">
        <f>31.76+37.47</f>
        <v>69.23</v>
      </c>
      <c r="S35" s="339"/>
      <c r="T35" s="336">
        <f>36.75+37.47</f>
        <v>74.22</v>
      </c>
      <c r="U35" s="337"/>
      <c r="V35" s="339">
        <f>48.55+26.47</f>
        <v>75.02</v>
      </c>
      <c r="W35" s="339"/>
      <c r="X35" s="349">
        <f>22.98+26.47</f>
        <v>49.45</v>
      </c>
      <c r="Y35" s="356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48">
        <v>130</v>
      </c>
      <c r="C36" s="349"/>
      <c r="D36" s="339">
        <v>130</v>
      </c>
      <c r="E36" s="339"/>
      <c r="F36" s="339">
        <v>130</v>
      </c>
      <c r="G36" s="339"/>
      <c r="H36" s="339">
        <v>130</v>
      </c>
      <c r="I36" s="339"/>
      <c r="J36" s="349">
        <v>130</v>
      </c>
      <c r="K36" s="349"/>
      <c r="L36" s="348"/>
      <c r="M36" s="34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49"/>
      <c r="Y36" s="356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48"/>
      <c r="C37" s="349"/>
      <c r="D37" s="339"/>
      <c r="E37" s="339"/>
      <c r="F37" s="339"/>
      <c r="G37" s="339"/>
      <c r="H37" s="339"/>
      <c r="I37" s="339"/>
      <c r="J37" s="349"/>
      <c r="K37" s="349"/>
      <c r="L37" s="348"/>
      <c r="M37" s="34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49"/>
      <c r="Y37" s="356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50">
        <f>0.05*B30</f>
        <v>27.756604763636361</v>
      </c>
      <c r="C38" s="351"/>
      <c r="D38" s="340">
        <f>0.05*D30</f>
        <v>34.099677</v>
      </c>
      <c r="E38" s="340"/>
      <c r="F38" s="340">
        <f>0.05*F30</f>
        <v>29.821276000000001</v>
      </c>
      <c r="G38" s="340"/>
      <c r="H38" s="340">
        <f>0.05*H30</f>
        <v>13.924784239999997</v>
      </c>
      <c r="I38" s="340"/>
      <c r="J38" s="351">
        <f>0.05*J30</f>
        <v>16.127068000000001</v>
      </c>
      <c r="K38" s="351"/>
      <c r="L38" s="350">
        <f>0.05*L30</f>
        <v>22.582556852272727</v>
      </c>
      <c r="M38" s="351"/>
      <c r="N38" s="340">
        <f>0.05*N30</f>
        <v>29.372440000000001</v>
      </c>
      <c r="O38" s="340"/>
      <c r="P38" s="340">
        <f>0.05*P30</f>
        <v>15.621582999999999</v>
      </c>
      <c r="Q38" s="340"/>
      <c r="R38" s="340">
        <f>0.05*R30</f>
        <v>10.745472425000003</v>
      </c>
      <c r="S38" s="340"/>
      <c r="T38" s="340">
        <f>0.05*T30</f>
        <v>10.901236412499999</v>
      </c>
      <c r="U38" s="340"/>
      <c r="V38" s="340">
        <f>0.05*V30</f>
        <v>13.219841425000002</v>
      </c>
      <c r="W38" s="340"/>
      <c r="X38" s="351">
        <f>0.05*X30</f>
        <v>9.0276894100000007</v>
      </c>
      <c r="Y38" s="360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352">
        <f>SUM(B35:B38)</f>
        <v>311.08660476363633</v>
      </c>
      <c r="C39" s="353"/>
      <c r="D39" s="341">
        <f>SUM(D35:D38)</f>
        <v>312.51967699999994</v>
      </c>
      <c r="E39" s="341"/>
      <c r="F39" s="341">
        <f>SUM(F35:F38)</f>
        <v>236.22127600000002</v>
      </c>
      <c r="G39" s="341"/>
      <c r="H39" s="341">
        <f>SUM(H35:H38)</f>
        <v>213.15478424000003</v>
      </c>
      <c r="I39" s="341"/>
      <c r="J39" s="353">
        <f>SUM(J35:J38)</f>
        <v>220.34706800000001</v>
      </c>
      <c r="K39" s="353"/>
      <c r="L39" s="352">
        <f>SUM(L35:L38)</f>
        <v>175.9125568522727</v>
      </c>
      <c r="M39" s="353"/>
      <c r="N39" s="341">
        <f>SUM(N35:N38)</f>
        <v>177.79244</v>
      </c>
      <c r="O39" s="341"/>
      <c r="P39" s="341">
        <f>SUM(P35:P38)</f>
        <v>92.021583000000007</v>
      </c>
      <c r="Q39" s="341"/>
      <c r="R39" s="341">
        <f>SUM(R35:R38)</f>
        <v>79.975472425000007</v>
      </c>
      <c r="S39" s="341"/>
      <c r="T39" s="341">
        <f>SUM(T35:T38)</f>
        <v>85.121236412499997</v>
      </c>
      <c r="U39" s="341"/>
      <c r="V39" s="341">
        <f>SUM(V35:V38)</f>
        <v>88.239841424999995</v>
      </c>
      <c r="W39" s="341"/>
      <c r="X39" s="353">
        <f>SUM(X35:X38)</f>
        <v>58.477689410000004</v>
      </c>
      <c r="Y39" s="359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42"/>
      <c r="E40" s="342"/>
      <c r="F40" s="342"/>
      <c r="G40" s="342"/>
      <c r="H40" s="342"/>
      <c r="I40" s="342"/>
      <c r="J40" s="357"/>
      <c r="K40" s="357"/>
      <c r="L40" s="361"/>
      <c r="M40" s="357"/>
      <c r="N40" s="342"/>
      <c r="O40" s="342"/>
      <c r="P40" s="342"/>
      <c r="Q40" s="342"/>
      <c r="R40" s="342"/>
      <c r="S40" s="342"/>
      <c r="T40" s="342"/>
      <c r="U40" s="342"/>
      <c r="V40" s="303"/>
      <c r="W40" s="304"/>
      <c r="X40" s="357"/>
      <c r="Y40" s="358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5" thickBot="1" x14ac:dyDescent="0.25">
      <c r="A41" s="125" t="s">
        <v>166</v>
      </c>
      <c r="B41" s="363">
        <f>B39+B30</f>
        <v>866.21870003636354</v>
      </c>
      <c r="C41" s="362"/>
      <c r="D41" s="343">
        <f>D39+D30</f>
        <v>994.51321699999994</v>
      </c>
      <c r="E41" s="343"/>
      <c r="F41" s="343">
        <f>F39+F30</f>
        <v>832.64679599999999</v>
      </c>
      <c r="G41" s="343"/>
      <c r="H41" s="343">
        <f>H39+H30</f>
        <v>491.65046903999996</v>
      </c>
      <c r="I41" s="343"/>
      <c r="J41" s="362">
        <f>J39+J30</f>
        <v>542.88842799999998</v>
      </c>
      <c r="K41" s="362"/>
      <c r="L41" s="363">
        <f>L39+L30</f>
        <v>627.56369389772726</v>
      </c>
      <c r="M41" s="362"/>
      <c r="N41" s="343">
        <f>N39+N30</f>
        <v>765.24124000000006</v>
      </c>
      <c r="O41" s="343"/>
      <c r="P41" s="343">
        <f>P39+P30</f>
        <v>404.45324299999999</v>
      </c>
      <c r="Q41" s="343"/>
      <c r="R41" s="343">
        <f>R39+R30</f>
        <v>294.88492092500002</v>
      </c>
      <c r="S41" s="343"/>
      <c r="T41" s="343">
        <f>T39+T30</f>
        <v>303.14596466249998</v>
      </c>
      <c r="U41" s="343"/>
      <c r="V41" s="343">
        <f>V39+V30</f>
        <v>352.63666992500004</v>
      </c>
      <c r="W41" s="343"/>
      <c r="X41" s="362">
        <f>X39+X30</f>
        <v>239.03147761000002</v>
      </c>
      <c r="Y41" s="365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5" thickBot="1" x14ac:dyDescent="0.25">
      <c r="A42" s="140" t="s">
        <v>167</v>
      </c>
      <c r="B42" s="354">
        <f>B9-B41</f>
        <v>-182.21870003636366</v>
      </c>
      <c r="C42" s="355"/>
      <c r="D42" s="347">
        <f>D9-D41</f>
        <v>-54.513216999999941</v>
      </c>
      <c r="E42" s="347"/>
      <c r="F42" s="347">
        <f>F9-F41</f>
        <v>-2.6467959999998811</v>
      </c>
      <c r="G42" s="347"/>
      <c r="H42" s="347">
        <f>H9-H41</f>
        <v>3.3495309600000382</v>
      </c>
      <c r="I42" s="347"/>
      <c r="J42" s="355">
        <f>J9-J41</f>
        <v>-169.38842799999992</v>
      </c>
      <c r="K42" s="355"/>
      <c r="L42" s="354">
        <f>L9-L41</f>
        <v>-200.06369389772732</v>
      </c>
      <c r="M42" s="355"/>
      <c r="N42" s="347">
        <f>N9-N41</f>
        <v>-85.241240000000062</v>
      </c>
      <c r="O42" s="347"/>
      <c r="P42" s="347">
        <f>P9-P41</f>
        <v>-51.703242999999929</v>
      </c>
      <c r="Q42" s="347"/>
      <c r="R42" s="347">
        <f>R9-R41</f>
        <v>-47.384920925000017</v>
      </c>
      <c r="S42" s="347"/>
      <c r="T42" s="347">
        <f>T9-T41</f>
        <v>-60.370964662499944</v>
      </c>
      <c r="U42" s="347"/>
      <c r="V42" s="347">
        <f>V9-V41</f>
        <v>59.863330074999965</v>
      </c>
      <c r="W42" s="347"/>
      <c r="X42" s="355">
        <f>X9-X41</f>
        <v>63.468522389999976</v>
      </c>
      <c r="Y42" s="366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5" thickTop="1" x14ac:dyDescent="0.2">
      <c r="A43" s="105"/>
      <c r="B43" s="141"/>
      <c r="C43" s="142"/>
      <c r="D43" s="344"/>
      <c r="E43" s="344"/>
      <c r="F43" s="334"/>
      <c r="G43" s="335"/>
      <c r="H43" s="334"/>
      <c r="I43" s="335"/>
      <c r="J43" s="142"/>
      <c r="K43" s="142"/>
      <c r="L43" s="345"/>
      <c r="M43" s="346"/>
      <c r="N43" s="344"/>
      <c r="O43" s="344"/>
      <c r="P43" s="344"/>
      <c r="Q43" s="344"/>
      <c r="R43" s="344"/>
      <c r="S43" s="344"/>
      <c r="T43" s="344"/>
      <c r="U43" s="344"/>
      <c r="V43" s="334"/>
      <c r="W43" s="335"/>
      <c r="X43" s="346"/>
      <c r="Y43" s="364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0.7218489166969696</v>
      </c>
      <c r="C44" s="146" t="s">
        <v>159</v>
      </c>
      <c r="D44" s="242">
        <f>D41/D7*2000</f>
        <v>423.19711361702122</v>
      </c>
      <c r="E44" s="244" t="s">
        <v>160</v>
      </c>
      <c r="F44" s="243">
        <f>F41/F7</f>
        <v>4.1632339800000002</v>
      </c>
      <c r="G44" s="244" t="s">
        <v>162</v>
      </c>
      <c r="H44" s="243">
        <f>H41/H7</f>
        <v>8.1941744839999995</v>
      </c>
      <c r="I44" s="244" t="s">
        <v>162</v>
      </c>
      <c r="J44" s="243">
        <f>J41/J7</f>
        <v>5.4288842800000001</v>
      </c>
      <c r="K44" s="129" t="s">
        <v>162</v>
      </c>
      <c r="L44" s="145">
        <f>L41/L7</f>
        <v>0.83675159186363635</v>
      </c>
      <c r="M44" s="146" t="s">
        <v>159</v>
      </c>
      <c r="N44" s="239">
        <f>N41/N7*2000</f>
        <v>450.141905882353</v>
      </c>
      <c r="O44" s="238" t="s">
        <v>160</v>
      </c>
      <c r="P44" s="240">
        <f>P41/P7</f>
        <v>4.7582734470588237</v>
      </c>
      <c r="Q44" s="238" t="s">
        <v>162</v>
      </c>
      <c r="R44" s="240">
        <f>R41/R7</f>
        <v>9.8294973641666665</v>
      </c>
      <c r="S44" s="238" t="s">
        <v>162</v>
      </c>
      <c r="T44" s="240">
        <f>T41/T7</f>
        <v>4.6637840717307686</v>
      </c>
      <c r="U44" s="238" t="s">
        <v>162</v>
      </c>
      <c r="V44" s="240">
        <f>V41/V7</f>
        <v>4.7018222656666673</v>
      </c>
      <c r="W44" s="238" t="s">
        <v>162</v>
      </c>
      <c r="X44" s="147">
        <f>X41/X7</f>
        <v>4.3460268656363636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1519.6819298883572</v>
      </c>
      <c r="C45" s="150" t="s">
        <v>158</v>
      </c>
      <c r="D45" s="245">
        <f>D41/D8*2000</f>
        <v>4972.5660849999995</v>
      </c>
      <c r="E45" s="241" t="s">
        <v>158</v>
      </c>
      <c r="F45" s="246">
        <f>F41/F8</f>
        <v>200.63778216867468</v>
      </c>
      <c r="G45" s="238" t="s">
        <v>161</v>
      </c>
      <c r="H45" s="246">
        <f>H41/H8</f>
        <v>59.59399624727272</v>
      </c>
      <c r="I45" s="238" t="s">
        <v>161</v>
      </c>
      <c r="J45" s="246">
        <f>J41/J8</f>
        <v>145.35165408299864</v>
      </c>
      <c r="K45" s="305" t="s">
        <v>161</v>
      </c>
      <c r="L45" s="312">
        <f>L41/L8</f>
        <v>1100.9889366626794</v>
      </c>
      <c r="M45" s="150" t="s">
        <v>158</v>
      </c>
      <c r="N45" s="245">
        <f>N41/N8*2000</f>
        <v>3826.2062000000001</v>
      </c>
      <c r="O45" s="241" t="s">
        <v>158</v>
      </c>
      <c r="P45" s="246">
        <f>P41/P8</f>
        <v>97.458612771084319</v>
      </c>
      <c r="Q45" s="238" t="s">
        <v>161</v>
      </c>
      <c r="R45" s="246">
        <f>R41/R8</f>
        <v>35.743626778787878</v>
      </c>
      <c r="S45" s="238" t="s">
        <v>161</v>
      </c>
      <c r="T45" s="246">
        <f>T41/T8</f>
        <v>81.163578222891559</v>
      </c>
      <c r="U45" s="238" t="s">
        <v>161</v>
      </c>
      <c r="V45" s="246">
        <f>V41/V8</f>
        <v>64.115758168181827</v>
      </c>
      <c r="W45" s="238" t="s">
        <v>161</v>
      </c>
      <c r="X45" s="151">
        <f>X41/X8</f>
        <v>43.460268656363638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v>0.45</v>
      </c>
      <c r="E46" s="170" t="s">
        <v>65</v>
      </c>
      <c r="F46" s="169">
        <v>0.38</v>
      </c>
      <c r="G46" s="170" t="s">
        <v>66</v>
      </c>
      <c r="H46" s="234">
        <v>0.33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2</v>
      </c>
      <c r="C47" s="338" t="s">
        <v>67</v>
      </c>
      <c r="D47" s="338"/>
      <c r="E47" s="338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38" t="s">
        <v>192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174"/>
      <c r="AD48" s="100"/>
    </row>
    <row r="49" spans="1:1" s="100" customFormat="1" x14ac:dyDescent="0.2">
      <c r="A49" s="95"/>
    </row>
    <row r="50" spans="1:1" s="100" customFormat="1" x14ac:dyDescent="0.2">
      <c r="A50" s="105"/>
    </row>
    <row r="51" spans="1:1" s="100" customFormat="1" x14ac:dyDescent="0.2">
      <c r="A51" s="105"/>
    </row>
    <row r="52" spans="1:1" s="100" customFormat="1" x14ac:dyDescent="0.2">
      <c r="A52" s="105"/>
    </row>
    <row r="53" spans="1:1" s="100" customFormat="1" x14ac:dyDescent="0.2">
      <c r="A53" s="10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</sheetData>
  <sheetProtection sheet="1" objects="1" scenarios="1"/>
  <mergeCells count="415"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F29:G29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 U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11.6640625" bestFit="1" customWidth="1"/>
    <col min="2" max="4" width="7.6640625" style="3" bestFit="1" customWidth="1"/>
    <col min="5" max="5" width="8.6640625" style="3" bestFit="1" customWidth="1"/>
    <col min="6" max="6" width="2.5" style="2" customWidth="1"/>
    <col min="7" max="9" width="7.6640625" bestFit="1" customWidth="1"/>
    <col min="10" max="10" width="8.33203125" bestFit="1" customWidth="1"/>
    <col min="11" max="11" width="1.6640625" style="2" customWidth="1"/>
    <col min="12" max="14" width="7.6640625" bestFit="1" customWidth="1"/>
    <col min="15" max="15" width="8.33203125" bestFit="1" customWidth="1"/>
    <col min="16" max="16" width="1.83203125" style="2" customWidth="1"/>
    <col min="17" max="19" width="7.6640625" bestFit="1" customWidth="1"/>
    <col min="20" max="20" width="8.33203125" bestFit="1" customWidth="1"/>
  </cols>
  <sheetData>
    <row r="1" spans="1:20" x14ac:dyDescent="0.15">
      <c r="A1" s="405" t="s">
        <v>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</row>
    <row r="2" spans="1:20" x14ac:dyDescent="0.15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15">
      <c r="A3" s="1" t="s">
        <v>70</v>
      </c>
      <c r="B3" s="4">
        <f>Conventional!$B$30</f>
        <v>555.13209527272716</v>
      </c>
      <c r="C3" s="4">
        <f>Conventional!$D$30</f>
        <v>681.99353999999994</v>
      </c>
      <c r="D3" s="4">
        <f>Conventional!$F$30</f>
        <v>596.42552000000001</v>
      </c>
      <c r="E3" s="4">
        <f>Conventional!$H$30</f>
        <v>278.49568479999994</v>
      </c>
    </row>
    <row r="4" spans="1:20" x14ac:dyDescent="0.15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15">
      <c r="B5" s="406" t="s">
        <v>74</v>
      </c>
      <c r="C5" s="406"/>
      <c r="D5" s="406"/>
      <c r="E5" s="406"/>
      <c r="F5" s="29"/>
      <c r="G5" s="407" t="s">
        <v>75</v>
      </c>
      <c r="H5" s="407"/>
      <c r="I5" s="407"/>
      <c r="J5" s="407"/>
      <c r="K5" s="29"/>
      <c r="L5" s="408" t="s">
        <v>76</v>
      </c>
      <c r="M5" s="408"/>
      <c r="N5" s="408"/>
      <c r="O5" s="408"/>
      <c r="P5" s="29"/>
      <c r="Q5" s="409" t="s">
        <v>77</v>
      </c>
      <c r="R5" s="409"/>
      <c r="S5" s="409"/>
      <c r="T5" s="409"/>
    </row>
    <row r="6" spans="1:20" s="8" customFormat="1" ht="28" x14ac:dyDescent="0.15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15">
      <c r="B7" s="18">
        <f t="shared" ref="B7:B12" si="0">B8-0.025</f>
        <v>0.3949999999999998</v>
      </c>
      <c r="C7" s="19">
        <f t="shared" ref="C7:C21" si="1">(((B7*$B$4)-$B$3+$C$3)/$C$4)*2000</f>
        <v>255.6857211605415</v>
      </c>
      <c r="D7" s="18">
        <f t="shared" ref="D7:D21" si="2">(((B7*$B$4)-$B$3+$D$3)/$D$4)</f>
        <v>2.576467123636363</v>
      </c>
      <c r="E7" s="18">
        <f>(((B7*$B$4)-$B$3+$E$3)/$E$4)</f>
        <v>3.2893931587878757</v>
      </c>
      <c r="G7" s="20">
        <f>(((H7*$C$4/2000)-$C$3+$B$3)/$B$4)</f>
        <v>0.54053212939393935</v>
      </c>
      <c r="H7" s="21">
        <f t="shared" ref="H7:H12" si="3">H8-10</f>
        <v>330</v>
      </c>
      <c r="I7" s="20">
        <f>(((H7*$C$4/2000)-$C$3+$D$3)/$D$4)</f>
        <v>3.4496599000000003</v>
      </c>
      <c r="J7" s="20">
        <f>(((H7*$C$4/2000)-$C$3+$E$3)/$E$4)</f>
        <v>6.2000357466666669</v>
      </c>
      <c r="L7" s="13">
        <f>(((N7*$D$4)-$D$3+$B$3)/$B$4)</f>
        <v>0.48225547939393937</v>
      </c>
      <c r="M7" s="14">
        <f>(((N7*$D$4)-$D$3+$C$3)/$C$4)*2000</f>
        <v>300.24171063829789</v>
      </c>
      <c r="N7" s="13">
        <f t="shared" ref="N7:N12" si="4">N8-0.15</f>
        <v>3.1000000000000005</v>
      </c>
      <c r="O7" s="13">
        <f>(((N7*$D$4)-$D$3+$E$3)/$E$4)</f>
        <v>5.034502746666667</v>
      </c>
      <c r="Q7" s="9">
        <f>(((T7*$E$4)-$E$3+$B$3)/$B$4)</f>
        <v>0.52053034206060622</v>
      </c>
      <c r="R7" s="10">
        <f>(((T7*$E$4)-$E$3+$C$3)/$C$4)*2000</f>
        <v>319.78632136170222</v>
      </c>
      <c r="S7" s="9">
        <f>(((T7*$E$4)-$E$3+$D$3)/$D$4)</f>
        <v>3.3296491760000015</v>
      </c>
      <c r="T7" s="9">
        <f t="shared" ref="T7:T12" si="5">T8-0.35</f>
        <v>5.8000000000000025</v>
      </c>
    </row>
    <row r="8" spans="1:20" x14ac:dyDescent="0.15">
      <c r="B8" s="18">
        <f t="shared" si="0"/>
        <v>0.41999999999999982</v>
      </c>
      <c r="C8" s="19">
        <f t="shared" si="1"/>
        <v>268.45167860735</v>
      </c>
      <c r="D8" s="18">
        <f t="shared" si="2"/>
        <v>2.7264671236363629</v>
      </c>
      <c r="E8" s="18">
        <f>(((B8*$B$4)-$B$3+$E$3)/$E$4)</f>
        <v>3.7893931587878757</v>
      </c>
      <c r="G8" s="20">
        <f t="shared" ref="G8:G21" si="6">(((H8*$C$4/2000)-$C$3+$B$3)/$B$4)</f>
        <v>0.56011546272727264</v>
      </c>
      <c r="H8" s="21">
        <f t="shared" si="3"/>
        <v>340</v>
      </c>
      <c r="I8" s="20">
        <f t="shared" ref="I8:I21" si="7">(((H8*$C$4/2000)-$C$3+$D$3)/$D$4)</f>
        <v>3.5671599000000005</v>
      </c>
      <c r="J8" s="20">
        <f t="shared" ref="J8:J21" si="8">(((H8*$C$4/2000)-$C$3+$E$3)/$E$4)</f>
        <v>6.5917024133333335</v>
      </c>
      <c r="L8" s="13">
        <f t="shared" ref="L8:L21" si="9">(((N8*$D$4)-$D$3+$B$3)/$B$4)</f>
        <v>0.50725547939393933</v>
      </c>
      <c r="M8" s="14">
        <f t="shared" ref="M8:M21" si="10">(((N8*$D$4)-$D$3+$C$3)/$C$4)*2000</f>
        <v>313.00766808510639</v>
      </c>
      <c r="N8" s="13">
        <f t="shared" si="4"/>
        <v>3.2500000000000004</v>
      </c>
      <c r="O8" s="13">
        <f t="shared" ref="O8:O21" si="11">(((N8*$D$4)-$D$3+$E$3)/$E$4)</f>
        <v>5.534502746666667</v>
      </c>
      <c r="Q8" s="9">
        <f t="shared" ref="Q8:Q21" si="12">(((T8*$E$4)-$E$3+$B$3)/$B$4)</f>
        <v>0.53803034206060607</v>
      </c>
      <c r="R8" s="10">
        <f t="shared" ref="R8:R21" si="13">(((T8*$E$4)-$E$3+$C$3)/$C$4)*2000</f>
        <v>328.72249157446817</v>
      </c>
      <c r="S8" s="9">
        <f t="shared" ref="S8:S21" si="14">(((T8*$E$4)-$E$3+$D$3)/$D$4)</f>
        <v>3.4346491760000011</v>
      </c>
      <c r="T8" s="9">
        <f t="shared" si="5"/>
        <v>6.1500000000000021</v>
      </c>
    </row>
    <row r="9" spans="1:20" x14ac:dyDescent="0.15">
      <c r="B9" s="18">
        <f t="shared" si="0"/>
        <v>0.44499999999999984</v>
      </c>
      <c r="C9" s="19">
        <f t="shared" si="1"/>
        <v>281.21763605415856</v>
      </c>
      <c r="D9" s="18">
        <f t="shared" si="2"/>
        <v>2.8764671236363633</v>
      </c>
      <c r="E9" s="18">
        <f t="shared" ref="E9:E21" si="15">(((B9*$B$4)-$B$3+$E$3)/$E$4)</f>
        <v>4.2893931587878757</v>
      </c>
      <c r="G9" s="20">
        <f t="shared" si="6"/>
        <v>0.57969879606060604</v>
      </c>
      <c r="H9" s="21">
        <f t="shared" si="3"/>
        <v>350</v>
      </c>
      <c r="I9" s="20">
        <f t="shared" si="7"/>
        <v>3.6846599000000002</v>
      </c>
      <c r="J9" s="20">
        <f t="shared" si="8"/>
        <v>6.9833690800000001</v>
      </c>
      <c r="L9" s="13">
        <f t="shared" si="9"/>
        <v>0.53225547939393936</v>
      </c>
      <c r="M9" s="14">
        <f t="shared" si="10"/>
        <v>325.77362553191489</v>
      </c>
      <c r="N9" s="13">
        <f t="shared" si="4"/>
        <v>3.4000000000000004</v>
      </c>
      <c r="O9" s="13">
        <f t="shared" si="11"/>
        <v>6.034502746666667</v>
      </c>
      <c r="Q9" s="9">
        <f t="shared" si="12"/>
        <v>0.55553034206060614</v>
      </c>
      <c r="R9" s="10">
        <f t="shared" si="13"/>
        <v>337.65866178723411</v>
      </c>
      <c r="S9" s="9">
        <f t="shared" si="14"/>
        <v>3.5396491760000011</v>
      </c>
      <c r="T9" s="9">
        <f t="shared" si="5"/>
        <v>6.5000000000000018</v>
      </c>
    </row>
    <row r="10" spans="1:20" x14ac:dyDescent="0.15">
      <c r="B10" s="18">
        <f t="shared" si="0"/>
        <v>0.46999999999999986</v>
      </c>
      <c r="C10" s="19">
        <f t="shared" si="1"/>
        <v>293.98359350096706</v>
      </c>
      <c r="D10" s="18">
        <f t="shared" si="2"/>
        <v>3.0264671236363636</v>
      </c>
      <c r="E10" s="18">
        <f t="shared" si="15"/>
        <v>4.7893931587878775</v>
      </c>
      <c r="G10" s="20">
        <f t="shared" si="6"/>
        <v>0.59928212939393932</v>
      </c>
      <c r="H10" s="21">
        <f t="shared" si="3"/>
        <v>360</v>
      </c>
      <c r="I10" s="20">
        <f t="shared" si="7"/>
        <v>3.8021599000000004</v>
      </c>
      <c r="J10" s="20">
        <f t="shared" si="8"/>
        <v>7.3750357466666667</v>
      </c>
      <c r="L10" s="13">
        <f t="shared" si="9"/>
        <v>0.55725547939393927</v>
      </c>
      <c r="M10" s="14">
        <f t="shared" si="10"/>
        <v>338.53958297872339</v>
      </c>
      <c r="N10" s="13">
        <f t="shared" si="4"/>
        <v>3.5500000000000003</v>
      </c>
      <c r="O10" s="13">
        <f t="shared" si="11"/>
        <v>6.5345027466666652</v>
      </c>
      <c r="Q10" s="9">
        <f t="shared" si="12"/>
        <v>0.5730303420606061</v>
      </c>
      <c r="R10" s="10">
        <f t="shared" si="13"/>
        <v>346.59483200000005</v>
      </c>
      <c r="S10" s="9">
        <f t="shared" si="14"/>
        <v>3.644649176000001</v>
      </c>
      <c r="T10" s="9">
        <f t="shared" si="5"/>
        <v>6.8500000000000014</v>
      </c>
    </row>
    <row r="11" spans="1:20" x14ac:dyDescent="0.15">
      <c r="B11" s="18">
        <f t="shared" si="0"/>
        <v>0.49499999999999988</v>
      </c>
      <c r="C11" s="19">
        <f t="shared" si="1"/>
        <v>306.74955094777562</v>
      </c>
      <c r="D11" s="18">
        <f t="shared" si="2"/>
        <v>3.1764671236363635</v>
      </c>
      <c r="E11" s="18">
        <f t="shared" si="15"/>
        <v>5.2893931587878775</v>
      </c>
      <c r="G11" s="20">
        <f t="shared" si="6"/>
        <v>0.61886546272727272</v>
      </c>
      <c r="H11" s="21">
        <f t="shared" si="3"/>
        <v>370</v>
      </c>
      <c r="I11" s="20">
        <f t="shared" si="7"/>
        <v>3.9196599000000005</v>
      </c>
      <c r="J11" s="20">
        <f t="shared" si="8"/>
        <v>7.7667024133333333</v>
      </c>
      <c r="L11" s="13">
        <f t="shared" si="9"/>
        <v>0.58225547939393929</v>
      </c>
      <c r="M11" s="14">
        <f t="shared" si="10"/>
        <v>351.30554042553183</v>
      </c>
      <c r="N11" s="13">
        <f t="shared" si="4"/>
        <v>3.7</v>
      </c>
      <c r="O11" s="13">
        <f t="shared" si="11"/>
        <v>7.0345027466666652</v>
      </c>
      <c r="Q11" s="9">
        <f t="shared" si="12"/>
        <v>0.59053034206060606</v>
      </c>
      <c r="R11" s="10">
        <f t="shared" si="13"/>
        <v>355.53100221276594</v>
      </c>
      <c r="S11" s="9">
        <f t="shared" si="14"/>
        <v>3.7496491760000001</v>
      </c>
      <c r="T11" s="9">
        <f t="shared" si="5"/>
        <v>7.2000000000000011</v>
      </c>
    </row>
    <row r="12" spans="1:20" x14ac:dyDescent="0.15">
      <c r="B12" s="18">
        <f t="shared" si="0"/>
        <v>0.51999999999999991</v>
      </c>
      <c r="C12" s="19">
        <f t="shared" si="1"/>
        <v>319.51550839458412</v>
      </c>
      <c r="D12" s="18">
        <f t="shared" si="2"/>
        <v>3.3264671236363639</v>
      </c>
      <c r="E12" s="18">
        <f t="shared" si="15"/>
        <v>5.7893931587878775</v>
      </c>
      <c r="G12" s="20">
        <f t="shared" si="6"/>
        <v>0.63844879606060601</v>
      </c>
      <c r="H12" s="21">
        <f t="shared" si="3"/>
        <v>380</v>
      </c>
      <c r="I12" s="20">
        <f t="shared" si="7"/>
        <v>4.0371599000000007</v>
      </c>
      <c r="J12" s="20">
        <f t="shared" si="8"/>
        <v>8.1583690799999999</v>
      </c>
      <c r="L12" s="13">
        <f t="shared" si="9"/>
        <v>0.60725547939393931</v>
      </c>
      <c r="M12" s="14">
        <f t="shared" si="10"/>
        <v>364.07149787234039</v>
      </c>
      <c r="N12" s="13">
        <f t="shared" si="4"/>
        <v>3.85</v>
      </c>
      <c r="O12" s="13">
        <f t="shared" si="11"/>
        <v>7.5345027466666652</v>
      </c>
      <c r="Q12" s="9">
        <f t="shared" si="12"/>
        <v>0.60803034206060602</v>
      </c>
      <c r="R12" s="10">
        <f t="shared" si="13"/>
        <v>364.46717242553188</v>
      </c>
      <c r="S12" s="9">
        <f t="shared" si="14"/>
        <v>3.8546491760000006</v>
      </c>
      <c r="T12" s="9">
        <f t="shared" si="5"/>
        <v>7.5500000000000007</v>
      </c>
    </row>
    <row r="13" spans="1:20" ht="14" thickBot="1" x14ac:dyDescent="0.2">
      <c r="B13" s="18">
        <f>B14-0.025</f>
        <v>0.54499999999999993</v>
      </c>
      <c r="C13" s="19">
        <f t="shared" si="1"/>
        <v>332.28146584139262</v>
      </c>
      <c r="D13" s="18">
        <f t="shared" si="2"/>
        <v>3.4764671236363638</v>
      </c>
      <c r="E13" s="18">
        <f t="shared" si="15"/>
        <v>6.2893931587878775</v>
      </c>
      <c r="G13" s="20">
        <f t="shared" si="6"/>
        <v>0.6580321293939394</v>
      </c>
      <c r="H13" s="21">
        <f>H14-10</f>
        <v>390</v>
      </c>
      <c r="I13" s="20">
        <f t="shared" si="7"/>
        <v>4.1546599000000004</v>
      </c>
      <c r="J13" s="20">
        <f t="shared" si="8"/>
        <v>8.5500357466666674</v>
      </c>
      <c r="L13" s="13">
        <f t="shared" si="9"/>
        <v>0.63225547939393933</v>
      </c>
      <c r="M13" s="14">
        <f t="shared" si="10"/>
        <v>376.83745531914894</v>
      </c>
      <c r="N13" s="13">
        <f>N14-0.15</f>
        <v>4</v>
      </c>
      <c r="O13" s="13">
        <f t="shared" si="11"/>
        <v>8.0345027466666661</v>
      </c>
      <c r="Q13" s="9">
        <f t="shared" si="12"/>
        <v>0.62553034206060598</v>
      </c>
      <c r="R13" s="10">
        <f t="shared" si="13"/>
        <v>373.40334263829789</v>
      </c>
      <c r="S13" s="9">
        <f t="shared" si="14"/>
        <v>3.9596491760000005</v>
      </c>
      <c r="T13" s="9">
        <f>T14-0.35</f>
        <v>7.9</v>
      </c>
    </row>
    <row r="14" spans="1:20" ht="14" thickBot="1" x14ac:dyDescent="0.2">
      <c r="B14" s="24">
        <f>Conventional!$B$8</f>
        <v>0.56999999999999995</v>
      </c>
      <c r="C14" s="19">
        <f>(((B14*$B$4)-$B$3+$C$3)/$C$4)*2000</f>
        <v>345.04742328820117</v>
      </c>
      <c r="D14" s="18">
        <f t="shared" si="2"/>
        <v>3.6264671236363637</v>
      </c>
      <c r="E14" s="18">
        <f t="shared" si="15"/>
        <v>6.7893931587878775</v>
      </c>
      <c r="G14" s="20">
        <f t="shared" si="6"/>
        <v>0.67761546272727269</v>
      </c>
      <c r="H14" s="22">
        <f>Conventional!$D$8</f>
        <v>400</v>
      </c>
      <c r="I14" s="20">
        <f t="shared" si="7"/>
        <v>4.2721599000000001</v>
      </c>
      <c r="J14" s="20">
        <f t="shared" si="8"/>
        <v>8.9417024133333332</v>
      </c>
      <c r="L14" s="13">
        <f t="shared" si="9"/>
        <v>0.65725547939393936</v>
      </c>
      <c r="M14" s="14">
        <f t="shared" si="10"/>
        <v>389.60341276595744</v>
      </c>
      <c r="N14" s="15">
        <f>Conventional!$F$8</f>
        <v>4.1500000000000004</v>
      </c>
      <c r="O14" s="13">
        <f t="shared" si="11"/>
        <v>8.5345027466666679</v>
      </c>
      <c r="Q14" s="9">
        <f t="shared" si="12"/>
        <v>0.64303034206060605</v>
      </c>
      <c r="R14" s="10">
        <f t="shared" si="13"/>
        <v>382.33951285106383</v>
      </c>
      <c r="S14" s="9">
        <f t="shared" si="14"/>
        <v>4.0646491760000005</v>
      </c>
      <c r="T14" s="11">
        <f>Conventional!$H$8</f>
        <v>8.25</v>
      </c>
    </row>
    <row r="15" spans="1:20" x14ac:dyDescent="0.15">
      <c r="B15" s="18">
        <f>B14+0.025</f>
        <v>0.59499999999999997</v>
      </c>
      <c r="C15" s="19">
        <f t="shared" si="1"/>
        <v>357.81338073500967</v>
      </c>
      <c r="D15" s="18">
        <f t="shared" si="2"/>
        <v>3.7764671236363641</v>
      </c>
      <c r="E15" s="18">
        <f t="shared" si="15"/>
        <v>7.2893931587878793</v>
      </c>
      <c r="G15" s="20">
        <f t="shared" si="6"/>
        <v>0.69719879606060597</v>
      </c>
      <c r="H15" s="21">
        <f>H14+10</f>
        <v>410</v>
      </c>
      <c r="I15" s="20">
        <f t="shared" si="7"/>
        <v>4.3896599000000007</v>
      </c>
      <c r="J15" s="20">
        <f t="shared" si="8"/>
        <v>9.3333690800000007</v>
      </c>
      <c r="L15" s="13">
        <f t="shared" si="9"/>
        <v>0.68225547939393938</v>
      </c>
      <c r="M15" s="14">
        <f t="shared" si="10"/>
        <v>402.369370212766</v>
      </c>
      <c r="N15" s="13">
        <f>N14+0.15</f>
        <v>4.3000000000000007</v>
      </c>
      <c r="O15" s="13">
        <f t="shared" si="11"/>
        <v>9.0345027466666679</v>
      </c>
      <c r="Q15" s="9">
        <f t="shared" si="12"/>
        <v>0.66053034206060601</v>
      </c>
      <c r="R15" s="10">
        <f t="shared" si="13"/>
        <v>391.27568306382983</v>
      </c>
      <c r="S15" s="9">
        <f t="shared" si="14"/>
        <v>4.1696491760000001</v>
      </c>
      <c r="T15" s="9">
        <f>T14+0.35</f>
        <v>8.6</v>
      </c>
    </row>
    <row r="16" spans="1:20" x14ac:dyDescent="0.15">
      <c r="B16" s="18">
        <f t="shared" ref="B16:B21" si="16">B15+0.025</f>
        <v>0.62</v>
      </c>
      <c r="C16" s="19">
        <f t="shared" si="1"/>
        <v>370.57933818181823</v>
      </c>
      <c r="D16" s="18">
        <f t="shared" si="2"/>
        <v>3.9264671236363644</v>
      </c>
      <c r="E16" s="18">
        <f t="shared" si="15"/>
        <v>7.7893931587878793</v>
      </c>
      <c r="G16" s="20">
        <f t="shared" si="6"/>
        <v>0.71678212939393937</v>
      </c>
      <c r="H16" s="21">
        <f t="shared" ref="H16:H21" si="17">H15+10</f>
        <v>420</v>
      </c>
      <c r="I16" s="20">
        <f t="shared" si="7"/>
        <v>4.5071599000000004</v>
      </c>
      <c r="J16" s="20">
        <f t="shared" si="8"/>
        <v>9.7250357466666664</v>
      </c>
      <c r="L16" s="13">
        <f t="shared" si="9"/>
        <v>0.70725547939393951</v>
      </c>
      <c r="M16" s="14">
        <f t="shared" si="10"/>
        <v>415.13532765957456</v>
      </c>
      <c r="N16" s="13">
        <f t="shared" ref="N16:N21" si="18">N15+0.15</f>
        <v>4.4500000000000011</v>
      </c>
      <c r="O16" s="13">
        <f t="shared" si="11"/>
        <v>9.5345027466666696</v>
      </c>
      <c r="Q16" s="9">
        <f t="shared" si="12"/>
        <v>0.67803034206060597</v>
      </c>
      <c r="R16" s="10">
        <f t="shared" si="13"/>
        <v>400.21185327659578</v>
      </c>
      <c r="S16" s="9">
        <f t="shared" si="14"/>
        <v>4.2746491760000005</v>
      </c>
      <c r="T16" s="9">
        <f t="shared" ref="T16:T21" si="19">T15+0.35</f>
        <v>8.9499999999999993</v>
      </c>
    </row>
    <row r="17" spans="1:20" x14ac:dyDescent="0.15">
      <c r="B17" s="18">
        <f t="shared" si="16"/>
        <v>0.64500000000000002</v>
      </c>
      <c r="C17" s="19">
        <f t="shared" si="1"/>
        <v>383.34529562862673</v>
      </c>
      <c r="D17" s="18">
        <f t="shared" si="2"/>
        <v>4.0764671236363643</v>
      </c>
      <c r="E17" s="18">
        <f t="shared" si="15"/>
        <v>8.2893931587878793</v>
      </c>
      <c r="G17" s="20">
        <f t="shared" si="6"/>
        <v>0.73636546272727266</v>
      </c>
      <c r="H17" s="21">
        <f t="shared" si="17"/>
        <v>430</v>
      </c>
      <c r="I17" s="20">
        <f t="shared" si="7"/>
        <v>4.6246599000000002</v>
      </c>
      <c r="J17" s="20">
        <f t="shared" si="8"/>
        <v>10.116702413333334</v>
      </c>
      <c r="L17" s="13">
        <f t="shared" si="9"/>
        <v>0.73225547939393953</v>
      </c>
      <c r="M17" s="14">
        <f t="shared" si="10"/>
        <v>427.90128510638306</v>
      </c>
      <c r="N17" s="13">
        <f t="shared" si="18"/>
        <v>4.6000000000000014</v>
      </c>
      <c r="O17" s="13">
        <f t="shared" si="11"/>
        <v>10.03450274666667</v>
      </c>
      <c r="Q17" s="9">
        <f t="shared" si="12"/>
        <v>0.69553034206060593</v>
      </c>
      <c r="R17" s="10">
        <f t="shared" si="13"/>
        <v>409.14802348936166</v>
      </c>
      <c r="S17" s="9">
        <f t="shared" si="14"/>
        <v>4.379649176</v>
      </c>
      <c r="T17" s="9">
        <f t="shared" si="19"/>
        <v>9.2999999999999989</v>
      </c>
    </row>
    <row r="18" spans="1:20" x14ac:dyDescent="0.15">
      <c r="B18" s="18">
        <f t="shared" si="16"/>
        <v>0.67</v>
      </c>
      <c r="C18" s="19">
        <f t="shared" si="1"/>
        <v>396.11125307543523</v>
      </c>
      <c r="D18" s="18">
        <f t="shared" si="2"/>
        <v>4.2264671236363647</v>
      </c>
      <c r="E18" s="18">
        <f t="shared" si="15"/>
        <v>8.7893931587878793</v>
      </c>
      <c r="G18" s="20">
        <f t="shared" si="6"/>
        <v>0.75594879606060605</v>
      </c>
      <c r="H18" s="21">
        <f t="shared" si="17"/>
        <v>440</v>
      </c>
      <c r="I18" s="20">
        <f t="shared" si="7"/>
        <v>4.7421599000000008</v>
      </c>
      <c r="J18" s="20">
        <f t="shared" si="8"/>
        <v>10.50836908</v>
      </c>
      <c r="L18" s="13">
        <f t="shared" si="9"/>
        <v>0.75725547939393956</v>
      </c>
      <c r="M18" s="14">
        <f t="shared" si="10"/>
        <v>440.66724255319156</v>
      </c>
      <c r="N18" s="13">
        <f t="shared" si="18"/>
        <v>4.7500000000000018</v>
      </c>
      <c r="O18" s="13">
        <f t="shared" si="11"/>
        <v>10.534502746666671</v>
      </c>
      <c r="Q18" s="9">
        <f t="shared" si="12"/>
        <v>0.71303034206060589</v>
      </c>
      <c r="R18" s="10">
        <f t="shared" si="13"/>
        <v>418.08419370212761</v>
      </c>
      <c r="S18" s="9">
        <f t="shared" si="14"/>
        <v>4.4846491759999996</v>
      </c>
      <c r="T18" s="9">
        <f t="shared" si="19"/>
        <v>9.6499999999999986</v>
      </c>
    </row>
    <row r="19" spans="1:20" x14ac:dyDescent="0.15">
      <c r="B19" s="18">
        <f t="shared" si="16"/>
        <v>0.69500000000000006</v>
      </c>
      <c r="C19" s="19">
        <f t="shared" si="1"/>
        <v>408.87721052224379</v>
      </c>
      <c r="D19" s="18">
        <f t="shared" si="2"/>
        <v>4.376467123636365</v>
      </c>
      <c r="E19" s="18">
        <f t="shared" si="15"/>
        <v>9.2893931587878811</v>
      </c>
      <c r="G19" s="20">
        <f t="shared" si="6"/>
        <v>0.77553212939393934</v>
      </c>
      <c r="H19" s="21">
        <f t="shared" si="17"/>
        <v>450</v>
      </c>
      <c r="I19" s="20">
        <f t="shared" si="7"/>
        <v>4.8596599000000005</v>
      </c>
      <c r="J19" s="20">
        <f t="shared" si="8"/>
        <v>10.900035746666667</v>
      </c>
      <c r="L19" s="13">
        <f t="shared" si="9"/>
        <v>0.78225547939393969</v>
      </c>
      <c r="M19" s="14">
        <f t="shared" si="10"/>
        <v>453.43320000000017</v>
      </c>
      <c r="N19" s="13">
        <f t="shared" si="18"/>
        <v>4.9000000000000021</v>
      </c>
      <c r="O19" s="13">
        <f t="shared" si="11"/>
        <v>11.034502746666673</v>
      </c>
      <c r="Q19" s="9">
        <f t="shared" si="12"/>
        <v>0.73053034206060596</v>
      </c>
      <c r="R19" s="10">
        <f t="shared" si="13"/>
        <v>427.02036391489355</v>
      </c>
      <c r="S19" s="9">
        <f t="shared" si="14"/>
        <v>4.589649176</v>
      </c>
      <c r="T19" s="9">
        <f t="shared" si="19"/>
        <v>9.9999999999999982</v>
      </c>
    </row>
    <row r="20" spans="1:20" x14ac:dyDescent="0.15">
      <c r="B20" s="18">
        <f t="shared" si="16"/>
        <v>0.72000000000000008</v>
      </c>
      <c r="C20" s="19">
        <f t="shared" si="1"/>
        <v>421.64316796905234</v>
      </c>
      <c r="D20" s="18">
        <f t="shared" si="2"/>
        <v>4.5264671236363645</v>
      </c>
      <c r="E20" s="18">
        <f t="shared" si="15"/>
        <v>9.7893931587878811</v>
      </c>
      <c r="G20" s="20">
        <f t="shared" si="6"/>
        <v>0.79511546272727263</v>
      </c>
      <c r="H20" s="21">
        <f t="shared" si="17"/>
        <v>460</v>
      </c>
      <c r="I20" s="20">
        <f t="shared" si="7"/>
        <v>4.9771599000000002</v>
      </c>
      <c r="J20" s="20">
        <f t="shared" si="8"/>
        <v>11.291702413333333</v>
      </c>
      <c r="L20" s="13">
        <f t="shared" si="9"/>
        <v>0.80725547939393971</v>
      </c>
      <c r="M20" s="14">
        <f t="shared" si="10"/>
        <v>466.19915744680867</v>
      </c>
      <c r="N20" s="13">
        <f t="shared" si="18"/>
        <v>5.0500000000000025</v>
      </c>
      <c r="O20" s="13">
        <f t="shared" si="11"/>
        <v>11.534502746666673</v>
      </c>
      <c r="Q20" s="9">
        <f t="shared" si="12"/>
        <v>0.74803034206060592</v>
      </c>
      <c r="R20" s="10">
        <f t="shared" si="13"/>
        <v>435.95653412765949</v>
      </c>
      <c r="S20" s="9">
        <f t="shared" si="14"/>
        <v>4.6946491759999995</v>
      </c>
      <c r="T20" s="9">
        <f t="shared" si="19"/>
        <v>10.349999999999998</v>
      </c>
    </row>
    <row r="21" spans="1:20" x14ac:dyDescent="0.15">
      <c r="B21" s="18">
        <f t="shared" si="16"/>
        <v>0.74500000000000011</v>
      </c>
      <c r="C21" s="19">
        <f t="shared" si="1"/>
        <v>434.40912541586079</v>
      </c>
      <c r="D21" s="18">
        <f t="shared" si="2"/>
        <v>4.6764671236363649</v>
      </c>
      <c r="E21" s="18">
        <f t="shared" si="15"/>
        <v>10.289393158787881</v>
      </c>
      <c r="G21" s="20">
        <f t="shared" si="6"/>
        <v>0.81469879606060602</v>
      </c>
      <c r="H21" s="21">
        <f t="shared" si="17"/>
        <v>470</v>
      </c>
      <c r="I21" s="20">
        <f t="shared" si="7"/>
        <v>5.0946598999999999</v>
      </c>
      <c r="J21" s="20">
        <f t="shared" si="8"/>
        <v>11.68336908</v>
      </c>
      <c r="L21" s="13">
        <f t="shared" si="9"/>
        <v>0.83225547939393962</v>
      </c>
      <c r="M21" s="14">
        <f t="shared" si="10"/>
        <v>478.96511489361723</v>
      </c>
      <c r="N21" s="13">
        <f t="shared" si="18"/>
        <v>5.2000000000000028</v>
      </c>
      <c r="O21" s="13">
        <f t="shared" si="11"/>
        <v>12.034502746666673</v>
      </c>
      <c r="Q21" s="9">
        <f t="shared" si="12"/>
        <v>0.76553034206060588</v>
      </c>
      <c r="R21" s="10">
        <f t="shared" si="13"/>
        <v>444.89270434042544</v>
      </c>
      <c r="S21" s="9">
        <f t="shared" si="14"/>
        <v>4.799649176</v>
      </c>
      <c r="T21" s="9">
        <f t="shared" si="19"/>
        <v>10.699999999999998</v>
      </c>
    </row>
    <row r="22" spans="1:20" x14ac:dyDescent="0.15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15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15">
      <c r="A24" s="1" t="s">
        <v>72</v>
      </c>
      <c r="B24" s="57">
        <f>Conventional!$L$30</f>
        <v>451.6511370454545</v>
      </c>
      <c r="C24" s="57">
        <f>Conventional!$N$30</f>
        <v>587.44880000000001</v>
      </c>
      <c r="D24" s="57">
        <f>Conventional!$P$30</f>
        <v>312.43165999999997</v>
      </c>
      <c r="E24" s="57">
        <f>Conventional!$R$30</f>
        <v>214.90944850000002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15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15">
      <c r="B26" s="406" t="s">
        <v>74</v>
      </c>
      <c r="C26" s="406"/>
      <c r="D26" s="406"/>
      <c r="E26" s="406"/>
      <c r="F26" s="29"/>
      <c r="G26" s="407" t="s">
        <v>75</v>
      </c>
      <c r="H26" s="407"/>
      <c r="I26" s="407"/>
      <c r="J26" s="407"/>
      <c r="K26" s="29"/>
      <c r="L26" s="408" t="s">
        <v>76</v>
      </c>
      <c r="M26" s="408"/>
      <c r="N26" s="408"/>
      <c r="O26" s="408"/>
      <c r="P26" s="29"/>
      <c r="Q26" s="409" t="s">
        <v>77</v>
      </c>
      <c r="R26" s="409"/>
      <c r="S26" s="409"/>
      <c r="T26" s="409"/>
    </row>
    <row r="27" spans="1:20" s="8" customFormat="1" ht="42" x14ac:dyDescent="0.15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15">
      <c r="B28" s="18">
        <f t="shared" ref="B28:B33" si="20">B29-0.025</f>
        <v>0.3949999999999998</v>
      </c>
      <c r="C28" s="19">
        <f t="shared" ref="C28:C42" si="21">(((B28*$B$25)-$B$24+$C$24)/$C$25)*2000</f>
        <v>254.14568409090904</v>
      </c>
      <c r="D28" s="18">
        <f t="shared" ref="D28:D42" si="22">(((B28*$B$25)-$B$24+$D$24)/$D$25)</f>
        <v>1.8474179171122975</v>
      </c>
      <c r="E28" s="18">
        <f t="shared" ref="E28:E42" si="23">(((B28*$B$25)-$B$24+$E$24)/$E$25)</f>
        <v>1.9836103818181783</v>
      </c>
      <c r="G28" s="20">
        <f>(((H28*$C$25/2000)-$C$24+$B$24)/$B$25)</f>
        <v>0.56693644939393928</v>
      </c>
      <c r="H28" s="21">
        <f t="shared" ref="H28:H33" si="24">H29-10</f>
        <v>330</v>
      </c>
      <c r="I28" s="20">
        <f>(((H28*$C$25/2000)-$C$24+$D$24)/$D$25)</f>
        <v>3.3645042352941172</v>
      </c>
      <c r="J28" s="20">
        <f>(((H28*$C$25/2000)-$C$24+$E$24)/$E$25)</f>
        <v>6.2820216166666674</v>
      </c>
      <c r="L28" s="17">
        <f>(((N28*$D$25)-$D$24+$B$24)/$B$25)</f>
        <v>0.53695930272727277</v>
      </c>
      <c r="M28" s="14">
        <f>(((N28*$D$25)-$D$24+$C$24)/$C$25)*2000</f>
        <v>316.77478823529418</v>
      </c>
      <c r="N28" s="13">
        <f t="shared" ref="N28:N33" si="25">N29-0.15</f>
        <v>3.1000000000000005</v>
      </c>
      <c r="O28" s="13">
        <f>(((N28*$D$25)-$D$24+$E$24)/$E$25)</f>
        <v>5.5325929500000042</v>
      </c>
      <c r="Q28" s="9">
        <f>(((T28*$E$25)-$E$24+$B$24)/$B$25)</f>
        <v>0.54765558472727272</v>
      </c>
      <c r="R28" s="10">
        <f>(((T28*$E$25)-$E$24+$C$24)/$C$25)*2000</f>
        <v>321.49373617647063</v>
      </c>
      <c r="S28" s="9">
        <f>(((T28*$E$25)-$E$24+$D$24)/$D$25)</f>
        <v>3.1943789588235298</v>
      </c>
      <c r="T28" s="9">
        <f t="shared" ref="T28:T33" si="26">T29-0.35</f>
        <v>5.8000000000000025</v>
      </c>
    </row>
    <row r="29" spans="1:20" x14ac:dyDescent="0.15">
      <c r="B29" s="18">
        <f t="shared" si="20"/>
        <v>0.41999999999999982</v>
      </c>
      <c r="C29" s="19">
        <f t="shared" si="21"/>
        <v>265.17509585561493</v>
      </c>
      <c r="D29" s="18">
        <f t="shared" si="22"/>
        <v>2.0680061524064159</v>
      </c>
      <c r="E29" s="18">
        <f t="shared" si="23"/>
        <v>2.6086103818181803</v>
      </c>
      <c r="G29" s="20">
        <f t="shared" ref="G29:G42" si="27">(((H29*$C$25/2000)-$C$24+$B$24)/$B$25)</f>
        <v>0.589603116060606</v>
      </c>
      <c r="H29" s="21">
        <f t="shared" si="24"/>
        <v>340</v>
      </c>
      <c r="I29" s="20">
        <f t="shared" ref="I29:I42" si="28">(((H29*$C$25/2000)-$C$24+$D$24)/$D$25)</f>
        <v>3.564504235294117</v>
      </c>
      <c r="J29" s="20">
        <f t="shared" ref="J29:J42" si="29">(((H29*$C$25/2000)-$C$24+$E$24)/$E$25)</f>
        <v>6.8486882833333338</v>
      </c>
      <c r="L29" s="17">
        <f t="shared" ref="L29:L42" si="30">(((N29*$D$25)-$D$24+$B$24)/$B$25)</f>
        <v>0.55395930272727278</v>
      </c>
      <c r="M29" s="14">
        <f t="shared" ref="M29:M42" si="31">(((N29*$D$25)-$D$24+$C$24)/$C$25)*2000</f>
        <v>324.27478823529418</v>
      </c>
      <c r="N29" s="13">
        <f t="shared" si="25"/>
        <v>3.2500000000000004</v>
      </c>
      <c r="O29" s="13">
        <f t="shared" ref="O29:O42" si="32">(((N29*$D$25)-$D$24+$E$24)/$E$25)</f>
        <v>5.957592950000004</v>
      </c>
      <c r="Q29" s="9">
        <f t="shared" ref="Q29:Q42" si="33">(((T29*$E$25)-$E$24+$B$24)/$B$25)</f>
        <v>0.56165558472727273</v>
      </c>
      <c r="R29" s="10">
        <f t="shared" ref="R29:R42" si="34">(((T29*$E$25)-$E$24+$C$24)/$C$25)*2000</f>
        <v>327.67020676470594</v>
      </c>
      <c r="S29" s="9">
        <f t="shared" ref="S29:S42" si="35">(((T29*$E$25)-$E$24+$D$24)/$D$25)</f>
        <v>3.3179083705882357</v>
      </c>
      <c r="T29" s="9">
        <f t="shared" si="26"/>
        <v>6.1500000000000021</v>
      </c>
    </row>
    <row r="30" spans="1:20" x14ac:dyDescent="0.15">
      <c r="B30" s="18">
        <f t="shared" si="20"/>
        <v>0.44499999999999984</v>
      </c>
      <c r="C30" s="19">
        <f t="shared" si="21"/>
        <v>276.20450762032084</v>
      </c>
      <c r="D30" s="18">
        <f t="shared" si="22"/>
        <v>2.2885943877005337</v>
      </c>
      <c r="E30" s="18">
        <f t="shared" si="23"/>
        <v>3.2336103818181803</v>
      </c>
      <c r="G30" s="20">
        <f t="shared" si="27"/>
        <v>0.61226978272727262</v>
      </c>
      <c r="H30" s="21">
        <f t="shared" si="24"/>
        <v>350</v>
      </c>
      <c r="I30" s="20">
        <f t="shared" si="28"/>
        <v>3.7645042352941172</v>
      </c>
      <c r="J30" s="20">
        <f t="shared" si="29"/>
        <v>7.4153549500000002</v>
      </c>
      <c r="L30" s="17">
        <f t="shared" si="30"/>
        <v>0.5709593027272728</v>
      </c>
      <c r="M30" s="14">
        <f t="shared" si="31"/>
        <v>331.77478823529424</v>
      </c>
      <c r="N30" s="13">
        <f t="shared" si="25"/>
        <v>3.4000000000000004</v>
      </c>
      <c r="O30" s="13">
        <f t="shared" si="32"/>
        <v>6.3825929500000038</v>
      </c>
      <c r="Q30" s="9">
        <f t="shared" si="33"/>
        <v>0.57565558472727263</v>
      </c>
      <c r="R30" s="10">
        <f t="shared" si="34"/>
        <v>333.84667735294119</v>
      </c>
      <c r="S30" s="9">
        <f t="shared" si="35"/>
        <v>3.4414377823529416</v>
      </c>
      <c r="T30" s="9">
        <f t="shared" si="26"/>
        <v>6.5000000000000018</v>
      </c>
    </row>
    <row r="31" spans="1:20" x14ac:dyDescent="0.15">
      <c r="B31" s="18">
        <f t="shared" si="20"/>
        <v>0.46999999999999986</v>
      </c>
      <c r="C31" s="19">
        <f t="shared" si="21"/>
        <v>287.2339193850267</v>
      </c>
      <c r="D31" s="18">
        <f t="shared" si="22"/>
        <v>2.509182622994651</v>
      </c>
      <c r="E31" s="18">
        <f t="shared" si="23"/>
        <v>3.8586103818181803</v>
      </c>
      <c r="G31" s="20">
        <f t="shared" si="27"/>
        <v>0.63493644939393934</v>
      </c>
      <c r="H31" s="21">
        <f t="shared" si="24"/>
        <v>360</v>
      </c>
      <c r="I31" s="20">
        <f t="shared" si="28"/>
        <v>3.9645042352941173</v>
      </c>
      <c r="J31" s="20">
        <f t="shared" si="29"/>
        <v>7.9820216166666675</v>
      </c>
      <c r="L31" s="17">
        <f t="shared" si="30"/>
        <v>0.5879593027272727</v>
      </c>
      <c r="M31" s="14">
        <f t="shared" si="31"/>
        <v>339.27478823529418</v>
      </c>
      <c r="N31" s="13">
        <f t="shared" si="25"/>
        <v>3.5500000000000003</v>
      </c>
      <c r="O31" s="13">
        <f t="shared" si="32"/>
        <v>6.8075929500000019</v>
      </c>
      <c r="Q31" s="9">
        <f t="shared" si="33"/>
        <v>0.58965558472727264</v>
      </c>
      <c r="R31" s="10">
        <f t="shared" si="34"/>
        <v>340.02314794117649</v>
      </c>
      <c r="S31" s="9">
        <f t="shared" si="35"/>
        <v>3.5649671941176475</v>
      </c>
      <c r="T31" s="9">
        <f t="shared" si="26"/>
        <v>6.8500000000000014</v>
      </c>
    </row>
    <row r="32" spans="1:20" x14ac:dyDescent="0.15">
      <c r="B32" s="18">
        <f t="shared" si="20"/>
        <v>0.49499999999999988</v>
      </c>
      <c r="C32" s="19">
        <f t="shared" si="21"/>
        <v>298.26333114973261</v>
      </c>
      <c r="D32" s="18">
        <f t="shared" si="22"/>
        <v>2.7297708582887688</v>
      </c>
      <c r="E32" s="18">
        <f t="shared" si="23"/>
        <v>4.4836103818181803</v>
      </c>
      <c r="G32" s="20">
        <f t="shared" si="27"/>
        <v>0.65760311606060595</v>
      </c>
      <c r="H32" s="21">
        <f t="shared" si="24"/>
        <v>370</v>
      </c>
      <c r="I32" s="20">
        <f t="shared" si="28"/>
        <v>4.1645042352941175</v>
      </c>
      <c r="J32" s="20">
        <f t="shared" si="29"/>
        <v>8.5486882833333357</v>
      </c>
      <c r="L32" s="17">
        <f t="shared" si="30"/>
        <v>0.60495930272727272</v>
      </c>
      <c r="M32" s="14">
        <f t="shared" si="31"/>
        <v>346.77478823529412</v>
      </c>
      <c r="N32" s="13">
        <f t="shared" si="25"/>
        <v>3.7</v>
      </c>
      <c r="O32" s="13">
        <f t="shared" si="32"/>
        <v>7.2325929500000017</v>
      </c>
      <c r="Q32" s="9">
        <f t="shared" si="33"/>
        <v>0.60365558472727265</v>
      </c>
      <c r="R32" s="10">
        <f t="shared" si="34"/>
        <v>346.19961852941179</v>
      </c>
      <c r="S32" s="9">
        <f t="shared" si="35"/>
        <v>3.6884966058823525</v>
      </c>
      <c r="T32" s="9">
        <f t="shared" si="26"/>
        <v>7.2000000000000011</v>
      </c>
    </row>
    <row r="33" spans="1:20" x14ac:dyDescent="0.15">
      <c r="B33" s="18">
        <f t="shared" si="20"/>
        <v>0.51999999999999991</v>
      </c>
      <c r="C33" s="19">
        <f t="shared" si="21"/>
        <v>309.29274291443846</v>
      </c>
      <c r="D33" s="18">
        <f t="shared" si="22"/>
        <v>2.9503590935828869</v>
      </c>
      <c r="E33" s="18">
        <f t="shared" si="23"/>
        <v>5.1086103818181821</v>
      </c>
      <c r="G33" s="20">
        <f t="shared" si="27"/>
        <v>0.68026978272727268</v>
      </c>
      <c r="H33" s="21">
        <f t="shared" si="24"/>
        <v>380</v>
      </c>
      <c r="I33" s="20">
        <f t="shared" si="28"/>
        <v>4.3645042352941168</v>
      </c>
      <c r="J33" s="20">
        <f t="shared" si="29"/>
        <v>9.1153549500000022</v>
      </c>
      <c r="L33" s="17">
        <f t="shared" si="30"/>
        <v>0.62195930272727273</v>
      </c>
      <c r="M33" s="14">
        <f t="shared" si="31"/>
        <v>354.27478823529412</v>
      </c>
      <c r="N33" s="13">
        <f t="shared" si="25"/>
        <v>3.85</v>
      </c>
      <c r="O33" s="13">
        <f t="shared" si="32"/>
        <v>7.6575929500000024</v>
      </c>
      <c r="Q33" s="9">
        <f t="shared" si="33"/>
        <v>0.61765558472727267</v>
      </c>
      <c r="R33" s="10">
        <f t="shared" si="34"/>
        <v>352.3760891176471</v>
      </c>
      <c r="S33" s="9">
        <f t="shared" si="35"/>
        <v>3.8120260176470584</v>
      </c>
      <c r="T33" s="9">
        <f t="shared" si="26"/>
        <v>7.5500000000000007</v>
      </c>
    </row>
    <row r="34" spans="1:20" ht="14" thickBot="1" x14ac:dyDescent="0.2">
      <c r="B34" s="18">
        <f>B35-0.025</f>
        <v>0.54499999999999993</v>
      </c>
      <c r="C34" s="19">
        <f t="shared" si="21"/>
        <v>320.32215467914438</v>
      </c>
      <c r="D34" s="18">
        <f t="shared" si="22"/>
        <v>3.1709473288770047</v>
      </c>
      <c r="E34" s="18">
        <f t="shared" si="23"/>
        <v>5.7336103818181821</v>
      </c>
      <c r="G34" s="20">
        <f t="shared" si="27"/>
        <v>0.70293644939393929</v>
      </c>
      <c r="H34" s="21">
        <f>H35-10</f>
        <v>390</v>
      </c>
      <c r="I34" s="20">
        <f t="shared" si="28"/>
        <v>4.564504235294117</v>
      </c>
      <c r="J34" s="20">
        <f t="shared" si="29"/>
        <v>9.6820216166666686</v>
      </c>
      <c r="L34" s="17">
        <f t="shared" si="30"/>
        <v>0.63895930272727275</v>
      </c>
      <c r="M34" s="14">
        <f t="shared" si="31"/>
        <v>361.77478823529412</v>
      </c>
      <c r="N34" s="13">
        <f>N35-0.15</f>
        <v>4</v>
      </c>
      <c r="O34" s="13">
        <f t="shared" si="32"/>
        <v>8.0825929500000022</v>
      </c>
      <c r="Q34" s="9">
        <f t="shared" si="33"/>
        <v>0.63165558472727268</v>
      </c>
      <c r="R34" s="10">
        <f t="shared" si="34"/>
        <v>358.55255970588235</v>
      </c>
      <c r="S34" s="9">
        <f t="shared" si="35"/>
        <v>3.9355554294117638</v>
      </c>
      <c r="T34" s="9">
        <f>T35-0.35</f>
        <v>7.9</v>
      </c>
    </row>
    <row r="35" spans="1:20" ht="14" thickBot="1" x14ac:dyDescent="0.2">
      <c r="B35" s="24">
        <f>Conventional!$B$8</f>
        <v>0.56999999999999995</v>
      </c>
      <c r="C35" s="19">
        <f t="shared" si="21"/>
        <v>331.35156644385029</v>
      </c>
      <c r="D35" s="18">
        <f t="shared" si="22"/>
        <v>3.3915355641711225</v>
      </c>
      <c r="E35" s="18">
        <f t="shared" si="23"/>
        <v>6.3586103818181821</v>
      </c>
      <c r="G35" s="20">
        <f t="shared" si="27"/>
        <v>0.7256031160606059</v>
      </c>
      <c r="H35" s="22">
        <f>Conventional!$D$8</f>
        <v>400</v>
      </c>
      <c r="I35" s="20">
        <f t="shared" si="28"/>
        <v>4.7645042352941172</v>
      </c>
      <c r="J35" s="20">
        <f t="shared" si="29"/>
        <v>10.248688283333335</v>
      </c>
      <c r="L35" s="17">
        <f t="shared" si="30"/>
        <v>0.65595930272727276</v>
      </c>
      <c r="M35" s="14">
        <f t="shared" si="31"/>
        <v>369.27478823529418</v>
      </c>
      <c r="N35" s="15">
        <f>Conventional!$F$8</f>
        <v>4.1500000000000004</v>
      </c>
      <c r="O35" s="13">
        <f t="shared" si="32"/>
        <v>8.5075929500000047</v>
      </c>
      <c r="Q35" s="9">
        <f t="shared" si="33"/>
        <v>0.64565558472727269</v>
      </c>
      <c r="R35" s="10">
        <f t="shared" si="34"/>
        <v>364.72903029411765</v>
      </c>
      <c r="S35" s="9">
        <f t="shared" si="35"/>
        <v>4.0590848411764693</v>
      </c>
      <c r="T35" s="11">
        <f>Conventional!$H$8</f>
        <v>8.25</v>
      </c>
    </row>
    <row r="36" spans="1:20" x14ac:dyDescent="0.15">
      <c r="B36" s="18">
        <f>B35+0.025</f>
        <v>0.59499999999999997</v>
      </c>
      <c r="C36" s="19">
        <f t="shared" si="21"/>
        <v>342.38097820855626</v>
      </c>
      <c r="D36" s="18">
        <f t="shared" si="22"/>
        <v>3.6121237994652406</v>
      </c>
      <c r="E36" s="18">
        <f t="shared" si="23"/>
        <v>6.9836103818181838</v>
      </c>
      <c r="G36" s="20">
        <f t="shared" si="27"/>
        <v>0.74826978272727263</v>
      </c>
      <c r="H36" s="21">
        <f>H35+10</f>
        <v>410</v>
      </c>
      <c r="I36" s="20">
        <f t="shared" si="28"/>
        <v>4.9645042352941173</v>
      </c>
      <c r="J36" s="20">
        <f t="shared" si="29"/>
        <v>10.815354950000001</v>
      </c>
      <c r="L36" s="17">
        <f t="shared" si="30"/>
        <v>0.67295930272727278</v>
      </c>
      <c r="M36" s="14">
        <f t="shared" si="31"/>
        <v>376.77478823529418</v>
      </c>
      <c r="N36" s="13">
        <f>N35+0.15</f>
        <v>4.3000000000000007</v>
      </c>
      <c r="O36" s="13">
        <f t="shared" si="32"/>
        <v>8.9325929500000036</v>
      </c>
      <c r="Q36" s="9">
        <f t="shared" si="33"/>
        <v>0.6596555847272727</v>
      </c>
      <c r="R36" s="10">
        <f t="shared" si="34"/>
        <v>370.9055008823529</v>
      </c>
      <c r="S36" s="9">
        <f t="shared" si="35"/>
        <v>4.1826142529411756</v>
      </c>
      <c r="T36" s="9">
        <f>T35+0.35</f>
        <v>8.6</v>
      </c>
    </row>
    <row r="37" spans="1:20" x14ac:dyDescent="0.15">
      <c r="B37" s="18">
        <f t="shared" ref="B37:B42" si="36">B36+0.025</f>
        <v>0.62</v>
      </c>
      <c r="C37" s="19">
        <f t="shared" si="21"/>
        <v>353.41038997326206</v>
      </c>
      <c r="D37" s="18">
        <f t="shared" si="22"/>
        <v>3.8327120347593584</v>
      </c>
      <c r="E37" s="18">
        <f t="shared" si="23"/>
        <v>7.6086103818181838</v>
      </c>
      <c r="G37" s="20">
        <f t="shared" si="27"/>
        <v>0.77093644939393924</v>
      </c>
      <c r="H37" s="21">
        <f t="shared" ref="H37:H42" si="37">H36+10</f>
        <v>420</v>
      </c>
      <c r="I37" s="20">
        <f t="shared" si="28"/>
        <v>5.1645042352941175</v>
      </c>
      <c r="J37" s="20">
        <f t="shared" si="29"/>
        <v>11.382021616666668</v>
      </c>
      <c r="L37" s="17">
        <f t="shared" si="30"/>
        <v>0.68995930272727279</v>
      </c>
      <c r="M37" s="14">
        <f t="shared" si="31"/>
        <v>384.27478823529418</v>
      </c>
      <c r="N37" s="13">
        <f t="shared" ref="N37:N42" si="38">N36+0.15</f>
        <v>4.4500000000000011</v>
      </c>
      <c r="O37" s="13">
        <f t="shared" si="32"/>
        <v>9.3575929500000061</v>
      </c>
      <c r="Q37" s="9">
        <f t="shared" si="33"/>
        <v>0.67365558472727272</v>
      </c>
      <c r="R37" s="10">
        <f t="shared" si="34"/>
        <v>377.0819714705882</v>
      </c>
      <c r="S37" s="9">
        <f t="shared" si="35"/>
        <v>4.3061436647058811</v>
      </c>
      <c r="T37" s="9">
        <f t="shared" ref="T37:T42" si="39">T36+0.35</f>
        <v>8.9499999999999993</v>
      </c>
    </row>
    <row r="38" spans="1:20" x14ac:dyDescent="0.15">
      <c r="B38" s="18">
        <f t="shared" si="36"/>
        <v>0.64500000000000002</v>
      </c>
      <c r="C38" s="19">
        <f t="shared" si="21"/>
        <v>364.43980173796797</v>
      </c>
      <c r="D38" s="18">
        <f t="shared" si="22"/>
        <v>4.0533002700534757</v>
      </c>
      <c r="E38" s="18">
        <f t="shared" si="23"/>
        <v>8.2336103818181847</v>
      </c>
      <c r="G38" s="20">
        <f t="shared" si="27"/>
        <v>0.79360311606060596</v>
      </c>
      <c r="H38" s="21">
        <f t="shared" si="37"/>
        <v>430</v>
      </c>
      <c r="I38" s="20">
        <f t="shared" si="28"/>
        <v>5.3645042352941168</v>
      </c>
      <c r="J38" s="20">
        <f t="shared" si="29"/>
        <v>11.948688283333334</v>
      </c>
      <c r="L38" s="17">
        <f t="shared" si="30"/>
        <v>0.70695930272727281</v>
      </c>
      <c r="M38" s="14">
        <f t="shared" si="31"/>
        <v>391.77478823529424</v>
      </c>
      <c r="N38" s="13">
        <f t="shared" si="38"/>
        <v>4.6000000000000014</v>
      </c>
      <c r="O38" s="13">
        <f t="shared" si="32"/>
        <v>9.7825929500000068</v>
      </c>
      <c r="Q38" s="9">
        <f t="shared" si="33"/>
        <v>0.68765558472727251</v>
      </c>
      <c r="R38" s="10">
        <f t="shared" si="34"/>
        <v>383.2584420588235</v>
      </c>
      <c r="S38" s="9">
        <f t="shared" si="35"/>
        <v>4.4296730764705874</v>
      </c>
      <c r="T38" s="9">
        <f t="shared" si="39"/>
        <v>9.2999999999999989</v>
      </c>
    </row>
    <row r="39" spans="1:20" x14ac:dyDescent="0.15">
      <c r="B39" s="18">
        <f t="shared" si="36"/>
        <v>0.67</v>
      </c>
      <c r="C39" s="19">
        <f t="shared" si="21"/>
        <v>375.46921350267388</v>
      </c>
      <c r="D39" s="18">
        <f t="shared" si="22"/>
        <v>4.2738885053475943</v>
      </c>
      <c r="E39" s="18">
        <f t="shared" si="23"/>
        <v>8.8586103818181865</v>
      </c>
      <c r="G39" s="20">
        <f t="shared" si="27"/>
        <v>0.81626978272727257</v>
      </c>
      <c r="H39" s="21">
        <f t="shared" si="37"/>
        <v>440</v>
      </c>
      <c r="I39" s="20">
        <f t="shared" si="28"/>
        <v>5.564504235294117</v>
      </c>
      <c r="J39" s="20">
        <f t="shared" si="29"/>
        <v>12.515354950000001</v>
      </c>
      <c r="L39" s="17">
        <f t="shared" si="30"/>
        <v>0.72395930272727294</v>
      </c>
      <c r="M39" s="14">
        <f t="shared" si="31"/>
        <v>399.27478823529424</v>
      </c>
      <c r="N39" s="13">
        <f t="shared" si="38"/>
        <v>4.7500000000000018</v>
      </c>
      <c r="O39" s="13">
        <f t="shared" si="32"/>
        <v>10.207592950000008</v>
      </c>
      <c r="Q39" s="9">
        <f t="shared" si="33"/>
        <v>0.70165558472727252</v>
      </c>
      <c r="R39" s="10">
        <f t="shared" si="34"/>
        <v>389.43491264705881</v>
      </c>
      <c r="S39" s="9">
        <f t="shared" si="35"/>
        <v>4.5532024882352928</v>
      </c>
      <c r="T39" s="9">
        <f t="shared" si="39"/>
        <v>9.6499999999999986</v>
      </c>
    </row>
    <row r="40" spans="1:20" x14ac:dyDescent="0.15">
      <c r="B40" s="18">
        <f t="shared" si="36"/>
        <v>0.69500000000000006</v>
      </c>
      <c r="C40" s="19">
        <f t="shared" si="21"/>
        <v>386.49862526737974</v>
      </c>
      <c r="D40" s="18">
        <f t="shared" si="22"/>
        <v>4.4944767406417112</v>
      </c>
      <c r="E40" s="18">
        <f t="shared" si="23"/>
        <v>9.4836103818181829</v>
      </c>
      <c r="G40" s="20">
        <f t="shared" si="27"/>
        <v>0.8389364493939393</v>
      </c>
      <c r="H40" s="21">
        <f t="shared" si="37"/>
        <v>450</v>
      </c>
      <c r="I40" s="20">
        <f t="shared" si="28"/>
        <v>5.7645042352941172</v>
      </c>
      <c r="J40" s="20">
        <f t="shared" si="29"/>
        <v>13.082021616666669</v>
      </c>
      <c r="L40" s="17">
        <f t="shared" si="30"/>
        <v>0.74095930272727295</v>
      </c>
      <c r="M40" s="14">
        <f t="shared" si="31"/>
        <v>406.77478823529424</v>
      </c>
      <c r="N40" s="13">
        <f t="shared" si="38"/>
        <v>4.9000000000000021</v>
      </c>
      <c r="O40" s="13">
        <f t="shared" si="32"/>
        <v>10.632592950000006</v>
      </c>
      <c r="Q40" s="9">
        <f t="shared" si="33"/>
        <v>0.71565558472727253</v>
      </c>
      <c r="R40" s="10">
        <f t="shared" si="34"/>
        <v>395.61138323529411</v>
      </c>
      <c r="S40" s="9">
        <f t="shared" si="35"/>
        <v>4.6767318999999992</v>
      </c>
      <c r="T40" s="9">
        <f t="shared" si="39"/>
        <v>9.9999999999999982</v>
      </c>
    </row>
    <row r="41" spans="1:20" x14ac:dyDescent="0.15">
      <c r="A41" s="2"/>
      <c r="B41" s="37">
        <f t="shared" si="36"/>
        <v>0.72000000000000008</v>
      </c>
      <c r="C41" s="38">
        <f t="shared" si="21"/>
        <v>397.52803703208559</v>
      </c>
      <c r="D41" s="37">
        <f t="shared" si="22"/>
        <v>4.7150649759358298</v>
      </c>
      <c r="E41" s="37">
        <f t="shared" si="23"/>
        <v>10.108610381818186</v>
      </c>
      <c r="G41" s="39">
        <f t="shared" si="27"/>
        <v>0.86160311606060591</v>
      </c>
      <c r="H41" s="40">
        <f t="shared" si="37"/>
        <v>460</v>
      </c>
      <c r="I41" s="39">
        <f t="shared" si="28"/>
        <v>5.9645042352941173</v>
      </c>
      <c r="J41" s="39">
        <f t="shared" si="29"/>
        <v>13.648688283333335</v>
      </c>
      <c r="L41" s="41">
        <f t="shared" si="30"/>
        <v>0.75795930272727308</v>
      </c>
      <c r="M41" s="42">
        <f t="shared" si="31"/>
        <v>414.2747882352943</v>
      </c>
      <c r="N41" s="43">
        <f t="shared" si="38"/>
        <v>5.0500000000000025</v>
      </c>
      <c r="O41" s="43">
        <f t="shared" si="32"/>
        <v>11.057592950000011</v>
      </c>
      <c r="Q41" s="44">
        <f t="shared" si="33"/>
        <v>0.72965558472727254</v>
      </c>
      <c r="R41" s="45">
        <f t="shared" si="34"/>
        <v>401.78785382352936</v>
      </c>
      <c r="S41" s="44">
        <f t="shared" si="35"/>
        <v>4.8002613117647046</v>
      </c>
      <c r="T41" s="44">
        <f t="shared" si="39"/>
        <v>10.349999999999998</v>
      </c>
    </row>
    <row r="42" spans="1:20" x14ac:dyDescent="0.15">
      <c r="A42" s="46"/>
      <c r="B42" s="47">
        <f t="shared" si="36"/>
        <v>0.74500000000000011</v>
      </c>
      <c r="C42" s="48">
        <f t="shared" si="21"/>
        <v>408.5574487967915</v>
      </c>
      <c r="D42" s="47">
        <f t="shared" si="22"/>
        <v>4.9356532112299476</v>
      </c>
      <c r="E42" s="47">
        <f t="shared" si="23"/>
        <v>10.733610381818186</v>
      </c>
      <c r="F42" s="46"/>
      <c r="G42" s="49">
        <f t="shared" si="27"/>
        <v>0.88426978272727264</v>
      </c>
      <c r="H42" s="50">
        <f t="shared" si="37"/>
        <v>470</v>
      </c>
      <c r="I42" s="49">
        <f t="shared" si="28"/>
        <v>6.1645042352941175</v>
      </c>
      <c r="J42" s="49">
        <f t="shared" si="29"/>
        <v>14.215354950000002</v>
      </c>
      <c r="K42" s="46"/>
      <c r="L42" s="51">
        <f t="shared" si="30"/>
        <v>0.77495930272727309</v>
      </c>
      <c r="M42" s="52">
        <f t="shared" si="31"/>
        <v>421.7747882352943</v>
      </c>
      <c r="N42" s="53">
        <f t="shared" si="38"/>
        <v>5.2000000000000028</v>
      </c>
      <c r="O42" s="53">
        <f t="shared" si="32"/>
        <v>11.48259295000001</v>
      </c>
      <c r="P42" s="46"/>
      <c r="Q42" s="54">
        <f t="shared" si="33"/>
        <v>0.74365558472727256</v>
      </c>
      <c r="R42" s="55">
        <f t="shared" si="34"/>
        <v>407.96432441176466</v>
      </c>
      <c r="S42" s="54">
        <f t="shared" si="35"/>
        <v>4.9237907235294109</v>
      </c>
      <c r="T42" s="54">
        <f t="shared" si="39"/>
        <v>10.699999999999998</v>
      </c>
    </row>
    <row r="43" spans="1:20" x14ac:dyDescent="0.15">
      <c r="A43" s="405" t="s">
        <v>84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</row>
    <row r="44" spans="1:20" x14ac:dyDescent="0.15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15">
      <c r="A45" s="1" t="s">
        <v>70</v>
      </c>
      <c r="B45" s="4">
        <f>'Strip-Till'!B$31</f>
        <v>563.09605527272731</v>
      </c>
      <c r="C45" s="4">
        <f>'Strip-Till'!D$31</f>
        <v>662.15780000000007</v>
      </c>
      <c r="D45" s="4">
        <f>'Strip-Till'!F$31</f>
        <v>587.67258000000004</v>
      </c>
      <c r="E45" s="4">
        <f>'Strip-Till'!H$31</f>
        <v>272.85334479999995</v>
      </c>
    </row>
    <row r="46" spans="1:20" x14ac:dyDescent="0.15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15">
      <c r="A47" s="6"/>
      <c r="B47" s="406" t="s">
        <v>74</v>
      </c>
      <c r="C47" s="406"/>
      <c r="D47" s="406"/>
      <c r="E47" s="406"/>
      <c r="F47" s="29"/>
      <c r="G47" s="407" t="s">
        <v>75</v>
      </c>
      <c r="H47" s="407"/>
      <c r="I47" s="407"/>
      <c r="J47" s="407"/>
      <c r="K47" s="29"/>
      <c r="L47" s="408" t="s">
        <v>76</v>
      </c>
      <c r="M47" s="408"/>
      <c r="N47" s="408"/>
      <c r="O47" s="408"/>
      <c r="P47" s="29"/>
      <c r="Q47" s="409" t="s">
        <v>77</v>
      </c>
      <c r="R47" s="409"/>
      <c r="S47" s="409"/>
      <c r="T47" s="409"/>
    </row>
    <row r="48" spans="1:20" ht="28" x14ac:dyDescent="0.15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15">
      <c r="B49" s="18">
        <f t="shared" ref="B49:B54" si="40">B50-0.025</f>
        <v>0.3949999999999998</v>
      </c>
      <c r="C49" s="19">
        <f>(((B49*$B$46)-$B$45+$C$45)/$C$46)*2000</f>
        <v>243.85606158607342</v>
      </c>
      <c r="D49" s="18">
        <f>(((B49*$B$46)-$B$45+$D$45)/$D$46)</f>
        <v>2.4928826236363624</v>
      </c>
      <c r="E49" s="18">
        <f>(((B49*$B$46)-$B$45+$E$45)/$E$46)</f>
        <v>3.0626214921212069</v>
      </c>
      <c r="G49" s="20">
        <f>(((H49*$C$46/2000)-$C$45+$B$45)/$B$46)</f>
        <v>0.56369854606060599</v>
      </c>
      <c r="H49" s="21">
        <f t="shared" ref="H49:H54" si="41">H50-10</f>
        <v>330</v>
      </c>
      <c r="I49" s="20">
        <f>(((H49*$C$46/2000)-$C$45+$D$45)/$D$46)</f>
        <v>3.5050738999999997</v>
      </c>
      <c r="J49" s="20">
        <f>(((H49*$C$46/2000)-$C$45+$E$45)/$E$46)</f>
        <v>6.4365924133333312</v>
      </c>
      <c r="L49" s="17">
        <f>(((N49*$D$46)-$D$45+$B$45)/$B$46)</f>
        <v>0.49618622939393947</v>
      </c>
      <c r="M49" s="14">
        <f>(((N49*$D$46)-$D$45+$C$45)/$C$46)*2000</f>
        <v>295.52562553191495</v>
      </c>
      <c r="N49" s="13">
        <f t="shared" ref="N49:N54" si="42">N50-0.15</f>
        <v>3.1000000000000005</v>
      </c>
      <c r="O49" s="13">
        <f>(((N49*$D$46)-$D$45+$E$45)/$E$46)</f>
        <v>5.0863460800000002</v>
      </c>
      <c r="Q49" s="36">
        <f>(((T49*$E$46)-$E$45+$B$45)/$B$46)</f>
        <v>0.53186892539393971</v>
      </c>
      <c r="R49" s="10">
        <f>(((T49*$E$46)-$E$45+$C$45)/$C$46)*2000</f>
        <v>313.74657668085121</v>
      </c>
      <c r="S49" s="9">
        <f>(((T49*$E$46)-$E$45+$D$45)/$D$46)</f>
        <v>3.3140961760000014</v>
      </c>
      <c r="T49" s="9">
        <f t="shared" ref="T49:T54" si="43">T50-0.35</f>
        <v>5.8000000000000025</v>
      </c>
    </row>
    <row r="50" spans="2:20" x14ac:dyDescent="0.15">
      <c r="B50" s="18">
        <f t="shared" si="40"/>
        <v>0.41999999999999982</v>
      </c>
      <c r="C50" s="19">
        <f t="shared" ref="C50:C63" si="44">(((B50*$B$46)-$B$45+$C$45)/$C$46)*2000</f>
        <v>256.62201903288189</v>
      </c>
      <c r="D50" s="18">
        <f t="shared" ref="D50:D63" si="45">(((B50*$B$46)-$B$45+$D$45)/$D$46)</f>
        <v>2.6428826236363623</v>
      </c>
      <c r="E50" s="18">
        <f t="shared" ref="E50:E63" si="46">(((B50*$B$46)-$B$45+$E$45)/$E$46)</f>
        <v>3.5626214921212069</v>
      </c>
      <c r="G50" s="20">
        <f t="shared" ref="G50:G63" si="47">(((H50*$C$46/2000)-$C$45+$B$45)/$B$46)</f>
        <v>0.58328187939393938</v>
      </c>
      <c r="H50" s="21">
        <f t="shared" si="41"/>
        <v>340</v>
      </c>
      <c r="I50" s="20">
        <f t="shared" ref="I50:I63" si="48">(((H50*$C$46/2000)-$C$45+$D$45)/$D$46)</f>
        <v>3.6225738999999999</v>
      </c>
      <c r="J50" s="20">
        <f t="shared" ref="J50:J63" si="49">(((H50*$C$46/2000)-$C$45+$E$45)/$E$46)</f>
        <v>6.8282590799999978</v>
      </c>
      <c r="L50" s="17">
        <f t="shared" ref="L50:L63" si="50">(((N50*$D$46)-$D$45+$B$45)/$B$46)</f>
        <v>0.52118622939393944</v>
      </c>
      <c r="M50" s="14">
        <f t="shared" ref="M50:M63" si="51">(((N50*$D$46)-$D$45+$C$45)/$C$46)*2000</f>
        <v>308.29158297872345</v>
      </c>
      <c r="N50" s="13">
        <f t="shared" si="42"/>
        <v>3.2500000000000004</v>
      </c>
      <c r="O50" s="13">
        <f t="shared" ref="O50:O63" si="52">(((N50*$D$46)-$D$45+$E$45)/$E$46)</f>
        <v>5.5863460800000002</v>
      </c>
      <c r="Q50" s="36">
        <f t="shared" ref="Q50:Q63" si="53">(((T50*$E$46)-$E$45+$B$45)/$B$46)</f>
        <v>0.54936892539393956</v>
      </c>
      <c r="R50" s="10">
        <f t="shared" ref="R50:R63" si="54">(((T50*$E$46)-$E$45+$C$45)/$C$46)*2000</f>
        <v>322.68274689361715</v>
      </c>
      <c r="S50" s="9">
        <f t="shared" ref="S50:S63" si="55">(((T50*$E$46)-$E$45+$D$45)/$D$46)</f>
        <v>3.4190961760000009</v>
      </c>
      <c r="T50" s="9">
        <f t="shared" si="43"/>
        <v>6.1500000000000021</v>
      </c>
    </row>
    <row r="51" spans="2:20" x14ac:dyDescent="0.15">
      <c r="B51" s="18">
        <f t="shared" si="40"/>
        <v>0.44499999999999984</v>
      </c>
      <c r="C51" s="19">
        <f t="shared" si="44"/>
        <v>269.38797647969045</v>
      </c>
      <c r="D51" s="18">
        <f t="shared" si="45"/>
        <v>2.7928826236363626</v>
      </c>
      <c r="E51" s="18">
        <f t="shared" si="46"/>
        <v>4.0626214921212069</v>
      </c>
      <c r="G51" s="20">
        <f t="shared" si="47"/>
        <v>0.60286521272727267</v>
      </c>
      <c r="H51" s="21">
        <f t="shared" si="41"/>
        <v>350</v>
      </c>
      <c r="I51" s="20">
        <f t="shared" si="48"/>
        <v>3.7400739000000001</v>
      </c>
      <c r="J51" s="20">
        <f t="shared" si="49"/>
        <v>7.2199257466666644</v>
      </c>
      <c r="L51" s="17">
        <f t="shared" si="50"/>
        <v>0.54618622939393946</v>
      </c>
      <c r="M51" s="14">
        <f t="shared" si="51"/>
        <v>321.05754042553195</v>
      </c>
      <c r="N51" s="13">
        <f t="shared" si="42"/>
        <v>3.4000000000000004</v>
      </c>
      <c r="O51" s="13">
        <f t="shared" si="52"/>
        <v>6.0863460800000002</v>
      </c>
      <c r="Q51" s="36">
        <f t="shared" si="53"/>
        <v>0.56686892539393952</v>
      </c>
      <c r="R51" s="10">
        <f t="shared" si="54"/>
        <v>331.61891710638309</v>
      </c>
      <c r="S51" s="9">
        <f t="shared" si="55"/>
        <v>3.5240961760000009</v>
      </c>
      <c r="T51" s="9">
        <f t="shared" si="43"/>
        <v>6.5000000000000018</v>
      </c>
    </row>
    <row r="52" spans="2:20" x14ac:dyDescent="0.15">
      <c r="B52" s="18">
        <f t="shared" si="40"/>
        <v>0.46999999999999986</v>
      </c>
      <c r="C52" s="19">
        <f t="shared" si="44"/>
        <v>282.15393392649901</v>
      </c>
      <c r="D52" s="18">
        <f t="shared" si="45"/>
        <v>2.942882623636363</v>
      </c>
      <c r="E52" s="18">
        <f t="shared" si="46"/>
        <v>4.5626214921212087</v>
      </c>
      <c r="G52" s="20">
        <f t="shared" si="47"/>
        <v>0.62244854606060607</v>
      </c>
      <c r="H52" s="21">
        <f t="shared" si="41"/>
        <v>360</v>
      </c>
      <c r="I52" s="20">
        <f t="shared" si="48"/>
        <v>3.8575738999999998</v>
      </c>
      <c r="J52" s="20">
        <f t="shared" si="49"/>
        <v>7.611592413333331</v>
      </c>
      <c r="L52" s="17">
        <f t="shared" si="50"/>
        <v>0.57118622939393937</v>
      </c>
      <c r="M52" s="14">
        <f t="shared" si="51"/>
        <v>333.82349787234045</v>
      </c>
      <c r="N52" s="13">
        <f t="shared" si="42"/>
        <v>3.5500000000000003</v>
      </c>
      <c r="O52" s="13">
        <f t="shared" si="52"/>
        <v>6.5863460799999984</v>
      </c>
      <c r="Q52" s="36">
        <f t="shared" si="53"/>
        <v>0.58436892539393959</v>
      </c>
      <c r="R52" s="10">
        <f t="shared" si="54"/>
        <v>340.55508731914904</v>
      </c>
      <c r="S52" s="9">
        <f t="shared" si="55"/>
        <v>3.6290961760000009</v>
      </c>
      <c r="T52" s="9">
        <f t="shared" si="43"/>
        <v>6.8500000000000014</v>
      </c>
    </row>
    <row r="53" spans="2:20" x14ac:dyDescent="0.15">
      <c r="B53" s="18">
        <f t="shared" si="40"/>
        <v>0.49499999999999988</v>
      </c>
      <c r="C53" s="19">
        <f t="shared" si="44"/>
        <v>294.91989137330751</v>
      </c>
      <c r="D53" s="18">
        <f t="shared" si="45"/>
        <v>3.0928826236363629</v>
      </c>
      <c r="E53" s="18">
        <f t="shared" si="46"/>
        <v>5.0626214921212087</v>
      </c>
      <c r="G53" s="20">
        <f t="shared" si="47"/>
        <v>0.64203187939393935</v>
      </c>
      <c r="H53" s="21">
        <f t="shared" si="41"/>
        <v>370</v>
      </c>
      <c r="I53" s="20">
        <f t="shared" si="48"/>
        <v>3.9750738999999999</v>
      </c>
      <c r="J53" s="20">
        <f t="shared" si="49"/>
        <v>8.0032590799999976</v>
      </c>
      <c r="L53" s="17">
        <f t="shared" si="50"/>
        <v>0.59618622939393939</v>
      </c>
      <c r="M53" s="14">
        <f t="shared" si="51"/>
        <v>346.5894553191489</v>
      </c>
      <c r="N53" s="13">
        <f t="shared" si="42"/>
        <v>3.7</v>
      </c>
      <c r="O53" s="13">
        <f t="shared" si="52"/>
        <v>7.0863460799999984</v>
      </c>
      <c r="Q53" s="36">
        <f t="shared" si="53"/>
        <v>0.60186892539393944</v>
      </c>
      <c r="R53" s="10">
        <f t="shared" si="54"/>
        <v>349.49125753191498</v>
      </c>
      <c r="S53" s="9">
        <f t="shared" si="55"/>
        <v>3.7340961760000004</v>
      </c>
      <c r="T53" s="9">
        <f t="shared" si="43"/>
        <v>7.2000000000000011</v>
      </c>
    </row>
    <row r="54" spans="2:20" x14ac:dyDescent="0.15">
      <c r="B54" s="18">
        <f t="shared" si="40"/>
        <v>0.51999999999999991</v>
      </c>
      <c r="C54" s="19">
        <f t="shared" si="44"/>
        <v>307.68584882011601</v>
      </c>
      <c r="D54" s="18">
        <f t="shared" si="45"/>
        <v>3.2428826236363633</v>
      </c>
      <c r="E54" s="18">
        <f t="shared" si="46"/>
        <v>5.5626214921212087</v>
      </c>
      <c r="G54" s="20">
        <f t="shared" si="47"/>
        <v>0.66161521272727275</v>
      </c>
      <c r="H54" s="21">
        <f t="shared" si="41"/>
        <v>380</v>
      </c>
      <c r="I54" s="20">
        <f t="shared" si="48"/>
        <v>4.0925738999999997</v>
      </c>
      <c r="J54" s="20">
        <f t="shared" si="49"/>
        <v>8.3949257466666651</v>
      </c>
      <c r="L54" s="17">
        <f t="shared" si="50"/>
        <v>0.62118622939393942</v>
      </c>
      <c r="M54" s="14">
        <f t="shared" si="51"/>
        <v>359.35541276595745</v>
      </c>
      <c r="N54" s="13">
        <f t="shared" si="42"/>
        <v>3.85</v>
      </c>
      <c r="O54" s="13">
        <f t="shared" si="52"/>
        <v>7.5863460799999984</v>
      </c>
      <c r="Q54" s="36">
        <f t="shared" si="53"/>
        <v>0.61936892539393951</v>
      </c>
      <c r="R54" s="10">
        <f t="shared" si="54"/>
        <v>358.42742774468087</v>
      </c>
      <c r="S54" s="9">
        <f t="shared" si="55"/>
        <v>3.8390961760000004</v>
      </c>
      <c r="T54" s="9">
        <f t="shared" si="43"/>
        <v>7.5500000000000007</v>
      </c>
    </row>
    <row r="55" spans="2:20" ht="14" thickBot="1" x14ac:dyDescent="0.2">
      <c r="B55" s="18">
        <f>B56-0.025</f>
        <v>0.54499999999999993</v>
      </c>
      <c r="C55" s="19">
        <f t="shared" si="44"/>
        <v>320.45180626692456</v>
      </c>
      <c r="D55" s="18">
        <f t="shared" si="45"/>
        <v>3.3928826236363632</v>
      </c>
      <c r="E55" s="18">
        <f t="shared" si="46"/>
        <v>6.0626214921212087</v>
      </c>
      <c r="G55" s="20">
        <f t="shared" si="47"/>
        <v>0.68119854606060604</v>
      </c>
      <c r="H55" s="21">
        <f>H56-10</f>
        <v>390</v>
      </c>
      <c r="I55" s="20">
        <f t="shared" si="48"/>
        <v>4.2100739000000003</v>
      </c>
      <c r="J55" s="20">
        <f t="shared" si="49"/>
        <v>8.7865924133333309</v>
      </c>
      <c r="L55" s="17">
        <f t="shared" si="50"/>
        <v>0.64618622939393944</v>
      </c>
      <c r="M55" s="14">
        <f t="shared" si="51"/>
        <v>372.12137021276595</v>
      </c>
      <c r="N55" s="13">
        <f>N56-0.15</f>
        <v>4</v>
      </c>
      <c r="O55" s="13">
        <f t="shared" si="52"/>
        <v>8.0863460799999984</v>
      </c>
      <c r="Q55" s="36">
        <f t="shared" si="53"/>
        <v>0.63686892539393947</v>
      </c>
      <c r="R55" s="10">
        <f t="shared" si="54"/>
        <v>367.36359795744687</v>
      </c>
      <c r="S55" s="9">
        <f t="shared" si="55"/>
        <v>3.9440961760000004</v>
      </c>
      <c r="T55" s="9">
        <f>T56-0.35</f>
        <v>7.9</v>
      </c>
    </row>
    <row r="56" spans="2:20" ht="14" thickBot="1" x14ac:dyDescent="0.2">
      <c r="B56" s="24">
        <f>Conventional!$B$8</f>
        <v>0.56999999999999995</v>
      </c>
      <c r="C56" s="19">
        <f t="shared" si="44"/>
        <v>333.21776371373301</v>
      </c>
      <c r="D56" s="18">
        <f t="shared" si="45"/>
        <v>3.5428826236363631</v>
      </c>
      <c r="E56" s="18">
        <f t="shared" si="46"/>
        <v>6.5626214921212087</v>
      </c>
      <c r="G56" s="20">
        <f t="shared" si="47"/>
        <v>0.70078187939393932</v>
      </c>
      <c r="H56" s="22">
        <f>Conventional!$D$8</f>
        <v>400</v>
      </c>
      <c r="I56" s="20">
        <f t="shared" si="48"/>
        <v>4.3275739</v>
      </c>
      <c r="J56" s="20">
        <f t="shared" si="49"/>
        <v>9.1782590799999983</v>
      </c>
      <c r="L56" s="17">
        <f t="shared" si="50"/>
        <v>0.67118622939393946</v>
      </c>
      <c r="M56" s="14">
        <f t="shared" si="51"/>
        <v>384.88732765957451</v>
      </c>
      <c r="N56" s="15">
        <f>Conventional!$F$8</f>
        <v>4.1500000000000004</v>
      </c>
      <c r="O56" s="13">
        <f t="shared" si="52"/>
        <v>8.5863460800000002</v>
      </c>
      <c r="Q56" s="36">
        <f t="shared" si="53"/>
        <v>0.65436892539393943</v>
      </c>
      <c r="R56" s="10">
        <f t="shared" si="54"/>
        <v>376.29976817021281</v>
      </c>
      <c r="S56" s="9">
        <f t="shared" si="55"/>
        <v>4.0490961760000008</v>
      </c>
      <c r="T56" s="11">
        <f>Conventional!$H$8</f>
        <v>8.25</v>
      </c>
    </row>
    <row r="57" spans="2:20" x14ac:dyDescent="0.15">
      <c r="B57" s="18">
        <f>B56+0.025</f>
        <v>0.59499999999999997</v>
      </c>
      <c r="C57" s="19">
        <f t="shared" si="44"/>
        <v>345.98372116054162</v>
      </c>
      <c r="D57" s="18">
        <f t="shared" si="45"/>
        <v>3.6928826236363634</v>
      </c>
      <c r="E57" s="18">
        <f t="shared" si="46"/>
        <v>7.0626214921212105</v>
      </c>
      <c r="G57" s="20">
        <f t="shared" si="47"/>
        <v>0.72036521272727272</v>
      </c>
      <c r="H57" s="21">
        <f>H56+10</f>
        <v>410</v>
      </c>
      <c r="I57" s="20">
        <f t="shared" si="48"/>
        <v>4.4450738999999997</v>
      </c>
      <c r="J57" s="20">
        <f t="shared" si="49"/>
        <v>9.5699257466666641</v>
      </c>
      <c r="L57" s="17">
        <f t="shared" si="50"/>
        <v>0.69618622939393948</v>
      </c>
      <c r="M57" s="14">
        <f t="shared" si="51"/>
        <v>397.65328510638301</v>
      </c>
      <c r="N57" s="13">
        <f>N56+0.15</f>
        <v>4.3000000000000007</v>
      </c>
      <c r="O57" s="13">
        <f t="shared" si="52"/>
        <v>9.0863460800000002</v>
      </c>
      <c r="Q57" s="36">
        <f t="shared" si="53"/>
        <v>0.6718689253939395</v>
      </c>
      <c r="R57" s="10">
        <f t="shared" si="54"/>
        <v>385.23593838297876</v>
      </c>
      <c r="S57" s="9">
        <f t="shared" si="55"/>
        <v>4.1540961760000004</v>
      </c>
      <c r="T57" s="9">
        <f>T56+0.35</f>
        <v>8.6</v>
      </c>
    </row>
    <row r="58" spans="2:20" x14ac:dyDescent="0.15">
      <c r="B58" s="18">
        <f t="shared" ref="B58:B63" si="56">B57+0.025</f>
        <v>0.62</v>
      </c>
      <c r="C58" s="19">
        <f t="shared" si="44"/>
        <v>358.74967860735012</v>
      </c>
      <c r="D58" s="18">
        <f t="shared" si="45"/>
        <v>3.8428826236363638</v>
      </c>
      <c r="E58" s="18">
        <f t="shared" si="46"/>
        <v>7.5626214921212105</v>
      </c>
      <c r="G58" s="20">
        <f t="shared" si="47"/>
        <v>0.739948546060606</v>
      </c>
      <c r="H58" s="21">
        <f t="shared" ref="H58:H63" si="57">H57+10</f>
        <v>420</v>
      </c>
      <c r="I58" s="20">
        <f t="shared" si="48"/>
        <v>4.5625739000000003</v>
      </c>
      <c r="J58" s="20">
        <f t="shared" si="49"/>
        <v>9.9615924133333316</v>
      </c>
      <c r="L58" s="17">
        <f t="shared" si="50"/>
        <v>0.72118622939393962</v>
      </c>
      <c r="M58" s="14">
        <f t="shared" si="51"/>
        <v>410.41924255319162</v>
      </c>
      <c r="N58" s="13">
        <f t="shared" ref="N58:N63" si="58">N57+0.15</f>
        <v>4.4500000000000011</v>
      </c>
      <c r="O58" s="13">
        <f t="shared" si="52"/>
        <v>9.586346080000002</v>
      </c>
      <c r="Q58" s="36">
        <f t="shared" si="53"/>
        <v>0.68936892539393946</v>
      </c>
      <c r="R58" s="10">
        <f t="shared" si="54"/>
        <v>394.17210859574476</v>
      </c>
      <c r="S58" s="9">
        <f t="shared" si="55"/>
        <v>4.2590961760000008</v>
      </c>
      <c r="T58" s="9">
        <f t="shared" ref="T58:T63" si="59">T57+0.35</f>
        <v>8.9499999999999993</v>
      </c>
    </row>
    <row r="59" spans="2:20" x14ac:dyDescent="0.15">
      <c r="B59" s="18">
        <f t="shared" si="56"/>
        <v>0.64500000000000002</v>
      </c>
      <c r="C59" s="19">
        <f t="shared" si="44"/>
        <v>371.51563605415862</v>
      </c>
      <c r="D59" s="18">
        <f t="shared" si="45"/>
        <v>3.9928826236363637</v>
      </c>
      <c r="E59" s="18">
        <f t="shared" si="46"/>
        <v>8.0626214921212114</v>
      </c>
      <c r="G59" s="20">
        <f t="shared" si="47"/>
        <v>0.7595318793939394</v>
      </c>
      <c r="H59" s="21">
        <f t="shared" si="57"/>
        <v>430</v>
      </c>
      <c r="I59" s="20">
        <f t="shared" si="48"/>
        <v>4.6800739</v>
      </c>
      <c r="J59" s="20">
        <f t="shared" si="49"/>
        <v>10.353259079999997</v>
      </c>
      <c r="L59" s="17">
        <f t="shared" si="50"/>
        <v>0.74618622939393964</v>
      </c>
      <c r="M59" s="14">
        <f t="shared" si="51"/>
        <v>423.18520000000012</v>
      </c>
      <c r="N59" s="13">
        <f t="shared" si="58"/>
        <v>4.6000000000000014</v>
      </c>
      <c r="O59" s="13">
        <f t="shared" si="52"/>
        <v>10.086346080000002</v>
      </c>
      <c r="Q59" s="36">
        <f t="shared" si="53"/>
        <v>0.70686892539393942</v>
      </c>
      <c r="R59" s="10">
        <f t="shared" si="54"/>
        <v>403.10827880851065</v>
      </c>
      <c r="S59" s="9">
        <f t="shared" si="55"/>
        <v>4.3640961760000003</v>
      </c>
      <c r="T59" s="9">
        <f t="shared" si="59"/>
        <v>9.2999999999999989</v>
      </c>
    </row>
    <row r="60" spans="2:20" x14ac:dyDescent="0.15">
      <c r="B60" s="18">
        <f t="shared" si="56"/>
        <v>0.67</v>
      </c>
      <c r="C60" s="19">
        <f t="shared" si="44"/>
        <v>384.28159350096712</v>
      </c>
      <c r="D60" s="18">
        <f t="shared" si="45"/>
        <v>4.1428826236363641</v>
      </c>
      <c r="E60" s="18">
        <f t="shared" si="46"/>
        <v>8.5626214921212114</v>
      </c>
      <c r="G60" s="20">
        <f t="shared" si="47"/>
        <v>0.77911521272727269</v>
      </c>
      <c r="H60" s="21">
        <f t="shared" si="57"/>
        <v>440</v>
      </c>
      <c r="I60" s="20">
        <f t="shared" si="48"/>
        <v>4.7975738999999997</v>
      </c>
      <c r="J60" s="20">
        <f t="shared" si="49"/>
        <v>10.744925746666665</v>
      </c>
      <c r="L60" s="17">
        <f t="shared" si="50"/>
        <v>0.77118622939393966</v>
      </c>
      <c r="M60" s="14">
        <f t="shared" si="51"/>
        <v>435.95115744680874</v>
      </c>
      <c r="N60" s="13">
        <f t="shared" si="58"/>
        <v>4.7500000000000018</v>
      </c>
      <c r="O60" s="13">
        <f t="shared" si="52"/>
        <v>10.586346080000004</v>
      </c>
      <c r="Q60" s="36">
        <f t="shared" si="53"/>
        <v>0.72436892539393938</v>
      </c>
      <c r="R60" s="10">
        <f t="shared" si="54"/>
        <v>412.04444902127659</v>
      </c>
      <c r="S60" s="9">
        <f t="shared" si="55"/>
        <v>4.4690961759999999</v>
      </c>
      <c r="T60" s="9">
        <f t="shared" si="59"/>
        <v>9.6499999999999986</v>
      </c>
    </row>
    <row r="61" spans="2:20" x14ac:dyDescent="0.15">
      <c r="B61" s="18">
        <f t="shared" si="56"/>
        <v>0.69500000000000006</v>
      </c>
      <c r="C61" s="19">
        <f t="shared" si="44"/>
        <v>397.04755094777568</v>
      </c>
      <c r="D61" s="18">
        <f t="shared" si="45"/>
        <v>4.2928826236363644</v>
      </c>
      <c r="E61" s="18">
        <f t="shared" si="46"/>
        <v>9.0626214921212132</v>
      </c>
      <c r="G61" s="20">
        <f t="shared" si="47"/>
        <v>0.79869854606060608</v>
      </c>
      <c r="H61" s="21">
        <f t="shared" si="57"/>
        <v>450</v>
      </c>
      <c r="I61" s="20">
        <f t="shared" si="48"/>
        <v>4.9150738999999994</v>
      </c>
      <c r="J61" s="20">
        <f t="shared" si="49"/>
        <v>11.13659241333333</v>
      </c>
      <c r="L61" s="17">
        <f t="shared" si="50"/>
        <v>0.79618622939393979</v>
      </c>
      <c r="M61" s="14">
        <f t="shared" si="51"/>
        <v>448.71711489361724</v>
      </c>
      <c r="N61" s="13">
        <f t="shared" si="58"/>
        <v>4.9000000000000021</v>
      </c>
      <c r="O61" s="13">
        <f t="shared" si="52"/>
        <v>11.086346080000006</v>
      </c>
      <c r="Q61" s="36">
        <f t="shared" si="53"/>
        <v>0.74186892539393934</v>
      </c>
      <c r="R61" s="10">
        <f t="shared" si="54"/>
        <v>420.98061923404254</v>
      </c>
      <c r="S61" s="9">
        <f t="shared" si="55"/>
        <v>4.5740961760000003</v>
      </c>
      <c r="T61" s="9">
        <f t="shared" si="59"/>
        <v>9.9999999999999982</v>
      </c>
    </row>
    <row r="62" spans="2:20" x14ac:dyDescent="0.15">
      <c r="B62" s="18">
        <f t="shared" si="56"/>
        <v>0.72000000000000008</v>
      </c>
      <c r="C62" s="19">
        <f t="shared" si="44"/>
        <v>409.81350839458418</v>
      </c>
      <c r="D62" s="18">
        <f t="shared" si="45"/>
        <v>4.4428826236363639</v>
      </c>
      <c r="E62" s="18">
        <f t="shared" si="46"/>
        <v>9.5626214921212132</v>
      </c>
      <c r="G62" s="20">
        <f t="shared" si="47"/>
        <v>0.81828187939393937</v>
      </c>
      <c r="H62" s="21">
        <f t="shared" si="57"/>
        <v>460</v>
      </c>
      <c r="I62" s="20">
        <f t="shared" si="48"/>
        <v>5.0325739</v>
      </c>
      <c r="J62" s="20">
        <f t="shared" si="49"/>
        <v>11.528259079999998</v>
      </c>
      <c r="L62" s="17">
        <f t="shared" si="50"/>
        <v>0.82118622939393981</v>
      </c>
      <c r="M62" s="14">
        <f t="shared" si="51"/>
        <v>461.48307234042574</v>
      </c>
      <c r="N62" s="13">
        <f t="shared" si="58"/>
        <v>5.0500000000000025</v>
      </c>
      <c r="O62" s="13">
        <f t="shared" si="52"/>
        <v>11.586346080000006</v>
      </c>
      <c r="Q62" s="36">
        <f t="shared" si="53"/>
        <v>0.75936892539393941</v>
      </c>
      <c r="R62" s="10">
        <f t="shared" si="54"/>
        <v>429.91678944680848</v>
      </c>
      <c r="S62" s="9">
        <f t="shared" si="55"/>
        <v>4.6790961759999998</v>
      </c>
      <c r="T62" s="9">
        <f t="shared" si="59"/>
        <v>10.349999999999998</v>
      </c>
    </row>
    <row r="63" spans="2:20" x14ac:dyDescent="0.15">
      <c r="B63" s="18">
        <f t="shared" si="56"/>
        <v>0.74500000000000011</v>
      </c>
      <c r="C63" s="19">
        <f t="shared" si="44"/>
        <v>422.57946584139273</v>
      </c>
      <c r="D63" s="18">
        <f t="shared" si="45"/>
        <v>4.5928826236363642</v>
      </c>
      <c r="E63" s="18">
        <f t="shared" si="46"/>
        <v>10.062621492121213</v>
      </c>
      <c r="G63" s="20">
        <f t="shared" si="47"/>
        <v>0.83786521272727266</v>
      </c>
      <c r="H63" s="21">
        <f t="shared" si="57"/>
        <v>470</v>
      </c>
      <c r="I63" s="20">
        <f t="shared" si="48"/>
        <v>5.1500738999999998</v>
      </c>
      <c r="J63" s="20">
        <f t="shared" si="49"/>
        <v>11.919925746666665</v>
      </c>
      <c r="L63" s="17">
        <f t="shared" si="50"/>
        <v>0.84618622939393973</v>
      </c>
      <c r="M63" s="14">
        <f t="shared" si="51"/>
        <v>474.24902978723429</v>
      </c>
      <c r="N63" s="13">
        <f t="shared" si="58"/>
        <v>5.2000000000000028</v>
      </c>
      <c r="O63" s="13">
        <f t="shared" si="52"/>
        <v>12.086346080000006</v>
      </c>
      <c r="Q63" s="36">
        <f t="shared" si="53"/>
        <v>0.77686892539393937</v>
      </c>
      <c r="R63" s="10">
        <f t="shared" si="54"/>
        <v>438.85295965957448</v>
      </c>
      <c r="S63" s="9">
        <f t="shared" si="55"/>
        <v>4.7840961760000003</v>
      </c>
      <c r="T63" s="9">
        <f t="shared" si="59"/>
        <v>10.699999999999998</v>
      </c>
    </row>
    <row r="64" spans="2:20" x14ac:dyDescent="0.15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15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15">
      <c r="A66" s="1" t="s">
        <v>72</v>
      </c>
      <c r="B66" s="57">
        <f>'Strip-Till'!L$31</f>
        <v>468.23413704545459</v>
      </c>
      <c r="C66" s="57">
        <f>'Strip-Till'!N$31</f>
        <v>575.70679999999993</v>
      </c>
      <c r="D66" s="57">
        <f>'Strip-Till'!P$31</f>
        <v>307.13745999999998</v>
      </c>
      <c r="E66" s="57">
        <f>'Strip-Till'!R$31</f>
        <v>217.36084849999997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15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15">
      <c r="A68" s="6"/>
      <c r="B68" s="406" t="s">
        <v>74</v>
      </c>
      <c r="C68" s="406"/>
      <c r="D68" s="406"/>
      <c r="E68" s="406"/>
      <c r="F68" s="29"/>
      <c r="G68" s="407" t="s">
        <v>75</v>
      </c>
      <c r="H68" s="407"/>
      <c r="I68" s="407"/>
      <c r="J68" s="407"/>
      <c r="K68" s="29"/>
      <c r="L68" s="408" t="s">
        <v>76</v>
      </c>
      <c r="M68" s="408"/>
      <c r="N68" s="408"/>
      <c r="O68" s="408"/>
      <c r="P68" s="29"/>
      <c r="Q68" s="409" t="s">
        <v>77</v>
      </c>
      <c r="R68" s="409"/>
      <c r="S68" s="409"/>
      <c r="T68" s="409"/>
    </row>
    <row r="69" spans="1:20" ht="42" x14ac:dyDescent="0.15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15">
      <c r="B70" s="18">
        <f t="shared" ref="B70:B75" si="60">B71-0.025</f>
        <v>0.3949999999999998</v>
      </c>
      <c r="C70" s="19">
        <f>(((B70*$B$67)-$B$66+$C$66)/$C$67)*2000</f>
        <v>237.48391938502658</v>
      </c>
      <c r="D70" s="18">
        <f>(((B70*$B$67)-$B$66+$D$66)/$D$67)</f>
        <v>1.590039093582885</v>
      </c>
      <c r="E70" s="18">
        <f>(((B70*$B$67)-$B$66+$E$66)/$E$67)</f>
        <v>1.5125570484848405</v>
      </c>
      <c r="G70" s="20">
        <f>(((H70*$C$67/2000)-$C$66+$B$66)/$B$67)</f>
        <v>0.60470311606060623</v>
      </c>
      <c r="H70" s="21">
        <f t="shared" ref="H70:H75" si="61">H71-10</f>
        <v>330</v>
      </c>
      <c r="I70" s="20">
        <f>(((H70*$C$67/2000)-$C$66+$D$66)/$D$67)</f>
        <v>3.4403607058823535</v>
      </c>
      <c r="J70" s="20">
        <f>(((H70*$C$67/2000)-$C$66+$E$66)/$E$67)</f>
        <v>6.7551349500000013</v>
      </c>
      <c r="L70" s="17">
        <f>(((N70*$D$67)-$D$66+$B$66)/$B$67)</f>
        <v>0.5661289027272729</v>
      </c>
      <c r="M70" s="14">
        <f>(((N70*$D$67)-$D$66+$C$66)/$C$67)*2000</f>
        <v>312.98196470588238</v>
      </c>
      <c r="N70" s="13">
        <f t="shared" ref="N70:N75" si="62">N71-0.15</f>
        <v>3.1000000000000005</v>
      </c>
      <c r="O70" s="13">
        <f>(((N70*$D$67)-$D$66+$E$66)/$E$67)</f>
        <v>5.7907796166666685</v>
      </c>
      <c r="Q70" s="9">
        <f>(((T70*$E$67)-$E$66+$B$66)/$B$67)</f>
        <v>0.56649771806060623</v>
      </c>
      <c r="R70" s="10">
        <f>(((T70*$E$67)-$E$66+$C$66)/$C$67)*2000</f>
        <v>313.14467735294119</v>
      </c>
      <c r="S70" s="9">
        <f>(((T70*$E$67)-$E$66+$D$66)/$D$67)</f>
        <v>3.1032542529411771</v>
      </c>
      <c r="T70" s="9">
        <f t="shared" ref="T70:T75" si="63">T71-0.35</f>
        <v>5.8000000000000025</v>
      </c>
    </row>
    <row r="71" spans="1:20" x14ac:dyDescent="0.15">
      <c r="B71" s="18">
        <f t="shared" si="60"/>
        <v>0.41999999999999982</v>
      </c>
      <c r="C71" s="19">
        <f t="shared" ref="C71:C84" si="64">(((B71*$B$67)-$B$66+$C$66)/$C$67)*2000</f>
        <v>248.51333114973249</v>
      </c>
      <c r="D71" s="18">
        <f t="shared" ref="D71:D84" si="65">(((B71*$B$67)-$B$66+$D$66)/$D$67)</f>
        <v>1.8106273288770032</v>
      </c>
      <c r="E71" s="18">
        <f t="shared" ref="E71:E84" si="66">(((B71*$B$67)-$B$66+$E$66)/$E$67)</f>
        <v>2.1375570484848425</v>
      </c>
      <c r="G71" s="20">
        <f t="shared" ref="G71:G84" si="67">(((H71*$C$67/2000)-$C$66+$B$66)/$B$67)</f>
        <v>0.62736978272727284</v>
      </c>
      <c r="H71" s="21">
        <f t="shared" si="61"/>
        <v>340</v>
      </c>
      <c r="I71" s="20">
        <f t="shared" ref="I71:I84" si="68">(((H71*$C$67/2000)-$C$66+$D$66)/$D$67)</f>
        <v>3.6403607058823533</v>
      </c>
      <c r="J71" s="20">
        <f t="shared" ref="J71:J84" si="69">(((H71*$C$67/2000)-$C$66+$E$66)/$E$67)</f>
        <v>7.3218016166666677</v>
      </c>
      <c r="L71" s="17">
        <f t="shared" ref="L71:L84" si="70">(((N71*$D$67)-$D$66+$B$66)/$B$67)</f>
        <v>0.58312890272727291</v>
      </c>
      <c r="M71" s="14">
        <f t="shared" ref="M71:M84" si="71">(((N71*$D$67)-$D$66+$C$66)/$C$67)*2000</f>
        <v>320.48196470588238</v>
      </c>
      <c r="N71" s="13">
        <f t="shared" si="62"/>
        <v>3.2500000000000004</v>
      </c>
      <c r="O71" s="13">
        <f t="shared" ref="O71:O84" si="72">(((N71*$D$67)-$D$66+$E$66)/$E$67)</f>
        <v>6.2157796166666683</v>
      </c>
      <c r="Q71" s="9">
        <f t="shared" ref="Q71:Q84" si="73">(((T71*$E$67)-$E$66+$B$66)/$B$67)</f>
        <v>0.58049771806060624</v>
      </c>
      <c r="R71" s="10">
        <f t="shared" ref="R71:R84" si="74">(((T71*$E$67)-$E$66+$C$66)/$C$67)*2000</f>
        <v>319.32114794117643</v>
      </c>
      <c r="S71" s="9">
        <f t="shared" ref="S71:S84" si="75">(((T71*$E$67)-$E$66+$D$66)/$D$67)</f>
        <v>3.226783664705883</v>
      </c>
      <c r="T71" s="9">
        <f t="shared" si="63"/>
        <v>6.1500000000000021</v>
      </c>
    </row>
    <row r="72" spans="1:20" x14ac:dyDescent="0.15">
      <c r="B72" s="18">
        <f t="shared" si="60"/>
        <v>0.44499999999999984</v>
      </c>
      <c r="C72" s="19">
        <f t="shared" si="64"/>
        <v>259.54274291443835</v>
      </c>
      <c r="D72" s="18">
        <f t="shared" si="65"/>
        <v>2.0312155641711209</v>
      </c>
      <c r="E72" s="18">
        <f t="shared" si="66"/>
        <v>2.7625570484848425</v>
      </c>
      <c r="G72" s="20">
        <f t="shared" si="67"/>
        <v>0.65003644939393956</v>
      </c>
      <c r="H72" s="21">
        <f t="shared" si="61"/>
        <v>350</v>
      </c>
      <c r="I72" s="20">
        <f t="shared" si="68"/>
        <v>3.8403607058823535</v>
      </c>
      <c r="J72" s="20">
        <f t="shared" si="69"/>
        <v>7.8884682833333351</v>
      </c>
      <c r="L72" s="17">
        <f t="shared" si="70"/>
        <v>0.60012890272727293</v>
      </c>
      <c r="M72" s="14">
        <f t="shared" si="71"/>
        <v>327.98196470588238</v>
      </c>
      <c r="N72" s="13">
        <f t="shared" si="62"/>
        <v>3.4000000000000004</v>
      </c>
      <c r="O72" s="13">
        <f t="shared" si="72"/>
        <v>6.6407796166666682</v>
      </c>
      <c r="Q72" s="9">
        <f t="shared" si="73"/>
        <v>0.59449771806060625</v>
      </c>
      <c r="R72" s="10">
        <f t="shared" si="74"/>
        <v>325.49761852941174</v>
      </c>
      <c r="S72" s="9">
        <f t="shared" si="75"/>
        <v>3.3503130764705888</v>
      </c>
      <c r="T72" s="9">
        <f t="shared" si="63"/>
        <v>6.5000000000000018</v>
      </c>
    </row>
    <row r="73" spans="1:20" x14ac:dyDescent="0.15">
      <c r="B73" s="18">
        <f t="shared" si="60"/>
        <v>0.46999999999999986</v>
      </c>
      <c r="C73" s="19">
        <f t="shared" si="64"/>
        <v>270.57215467914426</v>
      </c>
      <c r="D73" s="18">
        <f t="shared" si="65"/>
        <v>2.2518037994652387</v>
      </c>
      <c r="E73" s="18">
        <f t="shared" si="66"/>
        <v>3.3875570484848425</v>
      </c>
      <c r="G73" s="20">
        <f t="shared" si="67"/>
        <v>0.67270311606060618</v>
      </c>
      <c r="H73" s="21">
        <f t="shared" si="61"/>
        <v>360</v>
      </c>
      <c r="I73" s="20">
        <f t="shared" si="68"/>
        <v>4.0403607058823532</v>
      </c>
      <c r="J73" s="20">
        <f t="shared" si="69"/>
        <v>8.4551349500000015</v>
      </c>
      <c r="L73" s="17">
        <f t="shared" si="70"/>
        <v>0.61712890272727283</v>
      </c>
      <c r="M73" s="14">
        <f t="shared" si="71"/>
        <v>335.48196470588238</v>
      </c>
      <c r="N73" s="13">
        <f t="shared" si="62"/>
        <v>3.5500000000000003</v>
      </c>
      <c r="O73" s="13">
        <f t="shared" si="72"/>
        <v>7.0657796166666662</v>
      </c>
      <c r="Q73" s="9">
        <f t="shared" si="73"/>
        <v>0.60849771806060626</v>
      </c>
      <c r="R73" s="10">
        <f t="shared" si="74"/>
        <v>331.67408911764699</v>
      </c>
      <c r="S73" s="9">
        <f t="shared" si="75"/>
        <v>3.4738424882352947</v>
      </c>
      <c r="T73" s="9">
        <f t="shared" si="63"/>
        <v>6.8500000000000014</v>
      </c>
    </row>
    <row r="74" spans="1:20" x14ac:dyDescent="0.15">
      <c r="B74" s="18">
        <f t="shared" si="60"/>
        <v>0.49499999999999988</v>
      </c>
      <c r="C74" s="19">
        <f t="shared" si="64"/>
        <v>281.60156644385017</v>
      </c>
      <c r="D74" s="18">
        <f t="shared" si="65"/>
        <v>2.472392034759356</v>
      </c>
      <c r="E74" s="18">
        <f t="shared" si="66"/>
        <v>4.0125570484848421</v>
      </c>
      <c r="G74" s="20">
        <f t="shared" si="67"/>
        <v>0.6953697827272729</v>
      </c>
      <c r="H74" s="21">
        <f t="shared" si="61"/>
        <v>370</v>
      </c>
      <c r="I74" s="20">
        <f t="shared" si="68"/>
        <v>4.2403607058823534</v>
      </c>
      <c r="J74" s="20">
        <f t="shared" si="69"/>
        <v>9.0218016166666679</v>
      </c>
      <c r="L74" s="17">
        <f t="shared" si="70"/>
        <v>0.63412890272727285</v>
      </c>
      <c r="M74" s="14">
        <f t="shared" si="71"/>
        <v>342.98196470588238</v>
      </c>
      <c r="N74" s="13">
        <f t="shared" si="62"/>
        <v>3.7</v>
      </c>
      <c r="O74" s="13">
        <f t="shared" si="72"/>
        <v>7.4907796166666669</v>
      </c>
      <c r="Q74" s="9">
        <f t="shared" si="73"/>
        <v>0.62249771806060628</v>
      </c>
      <c r="R74" s="10">
        <f t="shared" si="74"/>
        <v>337.85055970588235</v>
      </c>
      <c r="S74" s="9">
        <f t="shared" si="75"/>
        <v>3.5973719000000006</v>
      </c>
      <c r="T74" s="9">
        <f t="shared" si="63"/>
        <v>7.2000000000000011</v>
      </c>
    </row>
    <row r="75" spans="1:20" x14ac:dyDescent="0.15">
      <c r="B75" s="18">
        <f t="shared" si="60"/>
        <v>0.51999999999999991</v>
      </c>
      <c r="C75" s="19">
        <f t="shared" si="64"/>
        <v>292.63097820855603</v>
      </c>
      <c r="D75" s="18">
        <f t="shared" si="65"/>
        <v>2.6929802700534746</v>
      </c>
      <c r="E75" s="18">
        <f t="shared" si="66"/>
        <v>4.6375570484848447</v>
      </c>
      <c r="G75" s="20">
        <f t="shared" si="67"/>
        <v>0.71803644939393962</v>
      </c>
      <c r="H75" s="21">
        <f t="shared" si="61"/>
        <v>380</v>
      </c>
      <c r="I75" s="20">
        <f t="shared" si="68"/>
        <v>4.4403607058823535</v>
      </c>
      <c r="J75" s="20">
        <f t="shared" si="69"/>
        <v>9.5884682833333343</v>
      </c>
      <c r="L75" s="17">
        <f t="shared" si="70"/>
        <v>0.65112890272727286</v>
      </c>
      <c r="M75" s="14">
        <f t="shared" si="71"/>
        <v>350.48196470588232</v>
      </c>
      <c r="N75" s="13">
        <f t="shared" si="62"/>
        <v>3.85</v>
      </c>
      <c r="O75" s="13">
        <f t="shared" si="72"/>
        <v>7.9157796166666667</v>
      </c>
      <c r="Q75" s="9">
        <f t="shared" si="73"/>
        <v>0.63649771806060618</v>
      </c>
      <c r="R75" s="10">
        <f t="shared" si="74"/>
        <v>344.02703029411765</v>
      </c>
      <c r="S75" s="9">
        <f t="shared" si="75"/>
        <v>3.7209013117647065</v>
      </c>
      <c r="T75" s="9">
        <f t="shared" si="63"/>
        <v>7.5500000000000007</v>
      </c>
    </row>
    <row r="76" spans="1:20" ht="14" thickBot="1" x14ac:dyDescent="0.2">
      <c r="B76" s="18">
        <f>B77-0.025</f>
        <v>0.54499999999999993</v>
      </c>
      <c r="C76" s="19">
        <f t="shared" si="64"/>
        <v>303.66038997326194</v>
      </c>
      <c r="D76" s="18">
        <f t="shared" si="65"/>
        <v>2.9135685053475919</v>
      </c>
      <c r="E76" s="18">
        <f t="shared" si="66"/>
        <v>5.2625570484848447</v>
      </c>
      <c r="G76" s="20">
        <f t="shared" si="67"/>
        <v>0.74070311606060624</v>
      </c>
      <c r="H76" s="21">
        <f>H77-10</f>
        <v>390</v>
      </c>
      <c r="I76" s="20">
        <f t="shared" si="68"/>
        <v>4.6403607058823537</v>
      </c>
      <c r="J76" s="20">
        <f t="shared" si="69"/>
        <v>10.155134950000001</v>
      </c>
      <c r="L76" s="17">
        <f t="shared" si="70"/>
        <v>0.66812890272727277</v>
      </c>
      <c r="M76" s="14">
        <f t="shared" si="71"/>
        <v>357.98196470588232</v>
      </c>
      <c r="N76" s="13">
        <f>N77-0.15</f>
        <v>4</v>
      </c>
      <c r="O76" s="13">
        <f t="shared" si="72"/>
        <v>8.3407796166666675</v>
      </c>
      <c r="Q76" s="9">
        <f t="shared" si="73"/>
        <v>0.65049771806060619</v>
      </c>
      <c r="R76" s="10">
        <f t="shared" si="74"/>
        <v>350.2035008823529</v>
      </c>
      <c r="S76" s="9">
        <f t="shared" si="75"/>
        <v>3.844430723529412</v>
      </c>
      <c r="T76" s="9">
        <f>T77-0.35</f>
        <v>7.9</v>
      </c>
    </row>
    <row r="77" spans="1:20" ht="14" thickBot="1" x14ac:dyDescent="0.2">
      <c r="B77" s="24">
        <f>Conventional!$B$8</f>
        <v>0.56999999999999995</v>
      </c>
      <c r="C77" s="19">
        <f t="shared" si="64"/>
        <v>314.6898017379678</v>
      </c>
      <c r="D77" s="18">
        <f t="shared" si="65"/>
        <v>3.1341567406417097</v>
      </c>
      <c r="E77" s="18">
        <f t="shared" si="66"/>
        <v>5.8875570484848447</v>
      </c>
      <c r="G77" s="20">
        <f t="shared" si="67"/>
        <v>0.76336978272727296</v>
      </c>
      <c r="H77" s="22">
        <f>Conventional!$D$8</f>
        <v>400</v>
      </c>
      <c r="I77" s="20">
        <f t="shared" si="68"/>
        <v>4.8403607058823539</v>
      </c>
      <c r="J77" s="20">
        <f t="shared" si="69"/>
        <v>10.721801616666669</v>
      </c>
      <c r="L77" s="17">
        <f t="shared" si="70"/>
        <v>0.685128902727273</v>
      </c>
      <c r="M77" s="14">
        <f t="shared" si="71"/>
        <v>365.48196470588232</v>
      </c>
      <c r="N77" s="15">
        <f>Conventional!$F$8</f>
        <v>4.1500000000000004</v>
      </c>
      <c r="O77" s="13">
        <f t="shared" si="72"/>
        <v>8.7657796166666682</v>
      </c>
      <c r="Q77" s="9">
        <f t="shared" si="73"/>
        <v>0.6644977180606062</v>
      </c>
      <c r="R77" s="10">
        <f t="shared" si="74"/>
        <v>356.3799714705882</v>
      </c>
      <c r="S77" s="9">
        <f t="shared" si="75"/>
        <v>3.9679601352941178</v>
      </c>
      <c r="T77" s="11">
        <f>Conventional!$H$8</f>
        <v>8.25</v>
      </c>
    </row>
    <row r="78" spans="1:20" x14ac:dyDescent="0.15">
      <c r="B78" s="18">
        <f>B77+0.025</f>
        <v>0.59499999999999997</v>
      </c>
      <c r="C78" s="19">
        <f t="shared" si="64"/>
        <v>325.71921350267371</v>
      </c>
      <c r="D78" s="18">
        <f t="shared" si="65"/>
        <v>3.3547449759358279</v>
      </c>
      <c r="E78" s="18">
        <f t="shared" si="66"/>
        <v>6.5125570484848465</v>
      </c>
      <c r="G78" s="20">
        <f t="shared" si="67"/>
        <v>0.78603644939393957</v>
      </c>
      <c r="H78" s="21">
        <f>H77+10</f>
        <v>410</v>
      </c>
      <c r="I78" s="20">
        <f t="shared" si="68"/>
        <v>5.0403607058823532</v>
      </c>
      <c r="J78" s="20">
        <f t="shared" si="69"/>
        <v>11.288468283333335</v>
      </c>
      <c r="L78" s="17">
        <f t="shared" si="70"/>
        <v>0.70212890272727302</v>
      </c>
      <c r="M78" s="14">
        <f t="shared" si="71"/>
        <v>372.98196470588238</v>
      </c>
      <c r="N78" s="13">
        <f>N77+0.15</f>
        <v>4.3000000000000007</v>
      </c>
      <c r="O78" s="13">
        <f t="shared" si="72"/>
        <v>9.1907796166666689</v>
      </c>
      <c r="Q78" s="9">
        <f t="shared" si="73"/>
        <v>0.6784977180606061</v>
      </c>
      <c r="R78" s="10">
        <f t="shared" si="74"/>
        <v>362.55644205882351</v>
      </c>
      <c r="S78" s="9">
        <f t="shared" si="75"/>
        <v>4.0914895470588233</v>
      </c>
      <c r="T78" s="9">
        <f>T77+0.35</f>
        <v>8.6</v>
      </c>
    </row>
    <row r="79" spans="1:20" x14ac:dyDescent="0.15">
      <c r="B79" s="18">
        <f t="shared" ref="B79:B84" si="76">B78+0.025</f>
        <v>0.62</v>
      </c>
      <c r="C79" s="19">
        <f t="shared" si="64"/>
        <v>336.74862526737957</v>
      </c>
      <c r="D79" s="18">
        <f t="shared" si="65"/>
        <v>3.5753332112299456</v>
      </c>
      <c r="E79" s="18">
        <f t="shared" si="66"/>
        <v>7.1375570484848465</v>
      </c>
      <c r="G79" s="20">
        <f t="shared" si="67"/>
        <v>0.8087031160606063</v>
      </c>
      <c r="H79" s="21">
        <f t="shared" ref="H79:H84" si="77">H78+10</f>
        <v>420</v>
      </c>
      <c r="I79" s="20">
        <f t="shared" si="68"/>
        <v>5.2403607058823534</v>
      </c>
      <c r="J79" s="20">
        <f t="shared" si="69"/>
        <v>11.855134950000002</v>
      </c>
      <c r="L79" s="17">
        <f t="shared" si="70"/>
        <v>0.71912890272727292</v>
      </c>
      <c r="M79" s="14">
        <f t="shared" si="71"/>
        <v>380.48196470588238</v>
      </c>
      <c r="N79" s="13">
        <f t="shared" ref="N79:N84" si="78">N78+0.15</f>
        <v>4.4500000000000011</v>
      </c>
      <c r="O79" s="13">
        <f t="shared" si="72"/>
        <v>9.6157796166666696</v>
      </c>
      <c r="Q79" s="9">
        <f t="shared" si="73"/>
        <v>0.69249771806060623</v>
      </c>
      <c r="R79" s="10">
        <f t="shared" si="74"/>
        <v>368.73291264705881</v>
      </c>
      <c r="S79" s="9">
        <f t="shared" si="75"/>
        <v>4.2150189588235296</v>
      </c>
      <c r="T79" s="9">
        <f t="shared" ref="T79:T84" si="79">T78+0.35</f>
        <v>8.9499999999999993</v>
      </c>
    </row>
    <row r="80" spans="1:20" x14ac:dyDescent="0.15">
      <c r="B80" s="18">
        <f t="shared" si="76"/>
        <v>0.64500000000000002</v>
      </c>
      <c r="C80" s="19">
        <f t="shared" si="64"/>
        <v>347.77803703208548</v>
      </c>
      <c r="D80" s="18">
        <f t="shared" si="65"/>
        <v>3.7959214465240634</v>
      </c>
      <c r="E80" s="18">
        <f t="shared" si="66"/>
        <v>7.7625570484848465</v>
      </c>
      <c r="G80" s="20">
        <f t="shared" si="67"/>
        <v>0.83136978272727291</v>
      </c>
      <c r="H80" s="21">
        <f t="shared" si="77"/>
        <v>430</v>
      </c>
      <c r="I80" s="20">
        <f t="shared" si="68"/>
        <v>5.4403607058823535</v>
      </c>
      <c r="J80" s="20">
        <f t="shared" si="69"/>
        <v>12.421801616666668</v>
      </c>
      <c r="L80" s="17">
        <f t="shared" si="70"/>
        <v>0.73612890272727294</v>
      </c>
      <c r="M80" s="14">
        <f t="shared" si="71"/>
        <v>387.98196470588238</v>
      </c>
      <c r="N80" s="13">
        <f t="shared" si="78"/>
        <v>4.6000000000000014</v>
      </c>
      <c r="O80" s="13">
        <f t="shared" si="72"/>
        <v>10.04077961666667</v>
      </c>
      <c r="Q80" s="9">
        <f t="shared" si="73"/>
        <v>0.70649771806060613</v>
      </c>
      <c r="R80" s="10">
        <f t="shared" si="74"/>
        <v>374.90938323529411</v>
      </c>
      <c r="S80" s="9">
        <f t="shared" si="75"/>
        <v>4.3385483705882351</v>
      </c>
      <c r="T80" s="9">
        <f t="shared" si="79"/>
        <v>9.2999999999999989</v>
      </c>
    </row>
    <row r="81" spans="1:20" x14ac:dyDescent="0.15">
      <c r="B81" s="18">
        <f t="shared" si="76"/>
        <v>0.67</v>
      </c>
      <c r="C81" s="19">
        <f t="shared" si="64"/>
        <v>358.80744879679139</v>
      </c>
      <c r="D81" s="18">
        <f t="shared" si="65"/>
        <v>4.0165096818181816</v>
      </c>
      <c r="E81" s="18">
        <f t="shared" si="66"/>
        <v>8.3875570484848474</v>
      </c>
      <c r="G81" s="20">
        <f t="shared" si="67"/>
        <v>0.85403644939393963</v>
      </c>
      <c r="H81" s="21">
        <f t="shared" si="77"/>
        <v>440</v>
      </c>
      <c r="I81" s="20">
        <f t="shared" si="68"/>
        <v>5.6403607058823537</v>
      </c>
      <c r="J81" s="20">
        <f t="shared" si="69"/>
        <v>12.988468283333335</v>
      </c>
      <c r="L81" s="17">
        <f t="shared" si="70"/>
        <v>0.75312890272727295</v>
      </c>
      <c r="M81" s="14">
        <f t="shared" si="71"/>
        <v>395.48196470588243</v>
      </c>
      <c r="N81" s="13">
        <f t="shared" si="78"/>
        <v>4.7500000000000018</v>
      </c>
      <c r="O81" s="13">
        <f t="shared" si="72"/>
        <v>10.465779616666673</v>
      </c>
      <c r="Q81" s="9">
        <f t="shared" si="73"/>
        <v>0.72049771806060603</v>
      </c>
      <c r="R81" s="10">
        <f t="shared" si="74"/>
        <v>381.08585382352936</v>
      </c>
      <c r="S81" s="9">
        <f t="shared" si="75"/>
        <v>4.4620777823529405</v>
      </c>
      <c r="T81" s="9">
        <f t="shared" si="79"/>
        <v>9.6499999999999986</v>
      </c>
    </row>
    <row r="82" spans="1:20" x14ac:dyDescent="0.15">
      <c r="B82" s="18">
        <f t="shared" si="76"/>
        <v>0.69500000000000006</v>
      </c>
      <c r="C82" s="19">
        <f t="shared" si="64"/>
        <v>369.83686056149725</v>
      </c>
      <c r="D82" s="18">
        <f t="shared" si="65"/>
        <v>4.2370979171122984</v>
      </c>
      <c r="E82" s="18">
        <f t="shared" si="66"/>
        <v>9.0125570484848456</v>
      </c>
      <c r="G82" s="20">
        <f t="shared" si="67"/>
        <v>0.87670311606060625</v>
      </c>
      <c r="H82" s="21">
        <f t="shared" si="77"/>
        <v>450</v>
      </c>
      <c r="I82" s="20">
        <f t="shared" si="68"/>
        <v>5.8403607058823539</v>
      </c>
      <c r="J82" s="20">
        <f t="shared" si="69"/>
        <v>13.555134950000001</v>
      </c>
      <c r="L82" s="17">
        <f t="shared" si="70"/>
        <v>0.77012890272727297</v>
      </c>
      <c r="M82" s="14">
        <f t="shared" si="71"/>
        <v>402.98196470588243</v>
      </c>
      <c r="N82" s="13">
        <f t="shared" si="78"/>
        <v>4.9000000000000021</v>
      </c>
      <c r="O82" s="13">
        <f t="shared" si="72"/>
        <v>10.890779616666672</v>
      </c>
      <c r="Q82" s="9">
        <f t="shared" si="73"/>
        <v>0.73449771806060604</v>
      </c>
      <c r="R82" s="10">
        <f t="shared" si="74"/>
        <v>387.26232441176467</v>
      </c>
      <c r="S82" s="9">
        <f t="shared" si="75"/>
        <v>4.5856071941176468</v>
      </c>
      <c r="T82" s="9">
        <f t="shared" si="79"/>
        <v>9.9999999999999982</v>
      </c>
    </row>
    <row r="83" spans="1:20" x14ac:dyDescent="0.15">
      <c r="B83" s="18">
        <f t="shared" si="76"/>
        <v>0.72000000000000008</v>
      </c>
      <c r="C83" s="19">
        <f t="shared" si="64"/>
        <v>380.86627232620322</v>
      </c>
      <c r="D83" s="18">
        <f t="shared" si="65"/>
        <v>4.457686152406418</v>
      </c>
      <c r="E83" s="18">
        <f t="shared" si="66"/>
        <v>9.6375570484848492</v>
      </c>
      <c r="G83" s="20">
        <f t="shared" si="67"/>
        <v>0.89936978272727297</v>
      </c>
      <c r="H83" s="21">
        <f t="shared" si="77"/>
        <v>460</v>
      </c>
      <c r="I83" s="20">
        <f t="shared" si="68"/>
        <v>6.0403607058823532</v>
      </c>
      <c r="J83" s="20">
        <f t="shared" si="69"/>
        <v>14.121801616666668</v>
      </c>
      <c r="L83" s="17">
        <f t="shared" si="70"/>
        <v>0.78712890272727309</v>
      </c>
      <c r="M83" s="14">
        <f t="shared" si="71"/>
        <v>410.48196470588249</v>
      </c>
      <c r="N83" s="13">
        <f t="shared" si="78"/>
        <v>5.0500000000000025</v>
      </c>
      <c r="O83" s="13">
        <f t="shared" si="72"/>
        <v>11.315779616666674</v>
      </c>
      <c r="Q83" s="9">
        <f t="shared" si="73"/>
        <v>0.74849771806060605</v>
      </c>
      <c r="R83" s="10">
        <f t="shared" si="74"/>
        <v>393.43879499999997</v>
      </c>
      <c r="S83" s="9">
        <f t="shared" si="75"/>
        <v>4.7091366058823523</v>
      </c>
      <c r="T83" s="9">
        <f t="shared" si="79"/>
        <v>10.349999999999998</v>
      </c>
    </row>
    <row r="84" spans="1:20" x14ac:dyDescent="0.15">
      <c r="A84" s="46"/>
      <c r="B84" s="47">
        <f t="shared" si="76"/>
        <v>0.74500000000000011</v>
      </c>
      <c r="C84" s="48">
        <f t="shared" si="64"/>
        <v>391.89568409090913</v>
      </c>
      <c r="D84" s="47">
        <f t="shared" si="65"/>
        <v>4.6782743877005357</v>
      </c>
      <c r="E84" s="47">
        <f t="shared" si="66"/>
        <v>10.262557048484849</v>
      </c>
      <c r="F84" s="46"/>
      <c r="G84" s="49">
        <f t="shared" si="67"/>
        <v>0.92203644939393958</v>
      </c>
      <c r="H84" s="50">
        <f t="shared" si="77"/>
        <v>470</v>
      </c>
      <c r="I84" s="49">
        <f t="shared" si="68"/>
        <v>6.2403607058823525</v>
      </c>
      <c r="J84" s="49">
        <f t="shared" si="69"/>
        <v>14.688468283333334</v>
      </c>
      <c r="K84" s="46"/>
      <c r="L84" s="51">
        <f t="shared" si="70"/>
        <v>0.80412890272727311</v>
      </c>
      <c r="M84" s="52">
        <f t="shared" si="71"/>
        <v>417.98196470588249</v>
      </c>
      <c r="N84" s="53">
        <f t="shared" si="78"/>
        <v>5.2000000000000028</v>
      </c>
      <c r="O84" s="53">
        <f t="shared" si="72"/>
        <v>11.740779616666675</v>
      </c>
      <c r="P84" s="46"/>
      <c r="Q84" s="54">
        <f t="shared" si="73"/>
        <v>0.76249771806060607</v>
      </c>
      <c r="R84" s="55">
        <f t="shared" si="74"/>
        <v>399.61526558823527</v>
      </c>
      <c r="S84" s="54">
        <f t="shared" si="75"/>
        <v>4.8326660176470586</v>
      </c>
      <c r="T84" s="54">
        <f t="shared" si="79"/>
        <v>10.699999999999998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P218"/>
  <sheetViews>
    <sheetView zoomScale="180" zoomScaleNormal="180" zoomScalePageLayoutView="170" workbookViewId="0">
      <pane xSplit="1" ySplit="8" topLeftCell="B26" activePane="bottomRight" state="frozen"/>
      <selection activeCell="A3" sqref="A3"/>
      <selection pane="topRight" activeCell="A3" sqref="A3"/>
      <selection pane="bottomLeft" activeCell="A3" sqref="A3"/>
      <selection pane="bottomRight" activeCell="B6" sqref="B6:C6"/>
    </sheetView>
  </sheetViews>
  <sheetFormatPr baseColWidth="10" defaultColWidth="8.83203125" defaultRowHeight="14" x14ac:dyDescent="0.2"/>
  <cols>
    <col min="1" max="1" width="28.332031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5" style="101" bestFit="1" customWidth="1"/>
    <col min="13" max="13" width="3" style="101" bestFit="1" customWidth="1"/>
    <col min="14" max="14" width="5.5" style="101" bestFit="1" customWidth="1"/>
    <col min="15" max="15" width="4" style="101" bestFit="1" customWidth="1"/>
    <col min="16" max="16" width="5.5" style="101" bestFit="1" customWidth="1"/>
    <col min="17" max="17" width="3.5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8.83203125" style="101"/>
    <col min="23" max="23" width="9" style="100" bestFit="1" customWidth="1"/>
    <col min="24" max="24" width="2" style="100" bestFit="1" customWidth="1"/>
    <col min="25" max="25" width="6" style="100" bestFit="1" customWidth="1"/>
    <col min="26" max="26" width="2" style="100" bestFit="1" customWidth="1"/>
    <col min="27" max="27" width="7" style="100" bestFit="1" customWidth="1"/>
    <col min="28" max="28" width="2" style="100" bestFit="1" customWidth="1"/>
    <col min="29" max="29" width="9" style="100" bestFit="1" customWidth="1"/>
    <col min="30" max="30" width="2" style="100" bestFit="1" customWidth="1"/>
    <col min="31" max="31" width="7" style="100" bestFit="1" customWidth="1"/>
    <col min="32" max="32" width="2" style="100" bestFit="1" customWidth="1"/>
    <col min="33" max="33" width="8" style="100" bestFit="1" customWidth="1"/>
    <col min="34" max="34" width="2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3203125" style="101"/>
  </cols>
  <sheetData>
    <row r="1" spans="1:34" s="96" customFormat="1" ht="12" x14ac:dyDescent="0.15">
      <c r="A1" s="94" t="str">
        <f>Conventional!A1</f>
        <v>Estimate of 2020 Relative Row Crop Costs and Net Returns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" x14ac:dyDescent="0.15">
      <c r="A2" s="316" t="str">
        <f>Conventional!A2</f>
        <v>By A.R. Smith, A.N. Rabinowitz and Yangxuan Liu, UGA Extension Economists, Department of Agricultural &amp; Applied Economics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April 2020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402" t="s">
        <v>0</v>
      </c>
      <c r="C4" s="403"/>
      <c r="D4" s="403"/>
      <c r="E4" s="403"/>
      <c r="F4" s="403"/>
      <c r="G4" s="403"/>
      <c r="H4" s="403"/>
      <c r="I4" s="403"/>
      <c r="J4" s="403"/>
      <c r="K4" s="103"/>
      <c r="L4" s="396" t="s">
        <v>1</v>
      </c>
      <c r="M4" s="396"/>
      <c r="N4" s="396"/>
      <c r="O4" s="396"/>
      <c r="P4" s="396"/>
      <c r="Q4" s="396"/>
      <c r="R4" s="396"/>
      <c r="S4" s="396"/>
      <c r="T4" s="396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92" t="s">
        <v>23</v>
      </c>
      <c r="K5" s="436"/>
      <c r="L5" s="107"/>
      <c r="M5" s="107"/>
      <c r="N5" s="295"/>
      <c r="O5" s="296"/>
      <c r="P5" s="259"/>
      <c r="Q5" s="248"/>
      <c r="R5" s="235"/>
      <c r="S5" s="248"/>
      <c r="T5" s="438" t="s">
        <v>23</v>
      </c>
      <c r="U5" s="439"/>
      <c r="V5" s="100"/>
    </row>
    <row r="6" spans="1:34" x14ac:dyDescent="0.2">
      <c r="A6" s="105"/>
      <c r="B6" s="398" t="s">
        <v>2</v>
      </c>
      <c r="C6" s="396"/>
      <c r="D6" s="433" t="s">
        <v>3</v>
      </c>
      <c r="E6" s="434"/>
      <c r="F6" s="401" t="s">
        <v>4</v>
      </c>
      <c r="G6" s="435"/>
      <c r="H6" s="396" t="s">
        <v>5</v>
      </c>
      <c r="I6" s="435"/>
      <c r="J6" s="396" t="s">
        <v>6</v>
      </c>
      <c r="K6" s="437"/>
      <c r="L6" s="398" t="s">
        <v>2</v>
      </c>
      <c r="M6" s="396"/>
      <c r="N6" s="433" t="s">
        <v>3</v>
      </c>
      <c r="O6" s="434"/>
      <c r="P6" s="401" t="s">
        <v>4</v>
      </c>
      <c r="Q6" s="435"/>
      <c r="R6" s="396" t="s">
        <v>5</v>
      </c>
      <c r="S6" s="435"/>
      <c r="T6" s="396" t="s">
        <v>6</v>
      </c>
      <c r="U6" s="397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5" thickBot="1" x14ac:dyDescent="0.25">
      <c r="A8" s="109" t="s">
        <v>124</v>
      </c>
      <c r="B8" s="290">
        <f>Conventional!B8</f>
        <v>0.56999999999999995</v>
      </c>
      <c r="C8" s="276" t="s">
        <v>159</v>
      </c>
      <c r="D8" s="280">
        <f>'Peanut Price Calculator'!B17</f>
        <v>400</v>
      </c>
      <c r="E8" s="294" t="s">
        <v>160</v>
      </c>
      <c r="F8" s="290">
        <f>Conventional!F8</f>
        <v>4.1500000000000004</v>
      </c>
      <c r="G8" s="270" t="s">
        <v>162</v>
      </c>
      <c r="H8" s="290">
        <f>Conventional!H8</f>
        <v>8.25</v>
      </c>
      <c r="I8" s="270" t="s">
        <v>162</v>
      </c>
      <c r="J8" s="290">
        <f>Conventional!J8</f>
        <v>3.7350000000000003</v>
      </c>
      <c r="K8" s="275" t="s">
        <v>162</v>
      </c>
      <c r="L8" s="274">
        <f>Conventional!B8</f>
        <v>0.56999999999999995</v>
      </c>
      <c r="M8" s="276" t="s">
        <v>159</v>
      </c>
      <c r="N8" s="280">
        <f>'Peanut Price Calculator'!B28</f>
        <v>400</v>
      </c>
      <c r="O8" s="294" t="s">
        <v>160</v>
      </c>
      <c r="P8" s="273">
        <f>Conventional!F8</f>
        <v>4.1500000000000004</v>
      </c>
      <c r="Q8" s="270" t="s">
        <v>162</v>
      </c>
      <c r="R8" s="274">
        <f>Conventional!H8</f>
        <v>8.25</v>
      </c>
      <c r="S8" s="270" t="s">
        <v>162</v>
      </c>
      <c r="T8" s="274">
        <f>Conventional!J8</f>
        <v>3.7350000000000003</v>
      </c>
      <c r="U8" s="272" t="s">
        <v>162</v>
      </c>
      <c r="V8" s="100"/>
    </row>
    <row r="9" spans="1:34" x14ac:dyDescent="0.2">
      <c r="A9" s="110" t="s">
        <v>155</v>
      </c>
      <c r="B9" s="384">
        <f>B7*B8</f>
        <v>683.99999999999989</v>
      </c>
      <c r="C9" s="379"/>
      <c r="D9" s="387">
        <f>D8*(D7/2000)</f>
        <v>940</v>
      </c>
      <c r="E9" s="379"/>
      <c r="F9" s="387">
        <f>F7*F8</f>
        <v>830.00000000000011</v>
      </c>
      <c r="G9" s="431"/>
      <c r="H9" s="379">
        <f>H7*H8</f>
        <v>495</v>
      </c>
      <c r="I9" s="431"/>
      <c r="J9" s="379">
        <f>J7*J8</f>
        <v>373.50000000000006</v>
      </c>
      <c r="K9" s="432"/>
      <c r="L9" s="384">
        <f>L7*L8</f>
        <v>427.49999999999994</v>
      </c>
      <c r="M9" s="379"/>
      <c r="N9" s="387">
        <f>N8*(N7/2000)</f>
        <v>680</v>
      </c>
      <c r="O9" s="379"/>
      <c r="P9" s="387">
        <f>P7*P8</f>
        <v>352.75000000000006</v>
      </c>
      <c r="Q9" s="431"/>
      <c r="R9" s="379">
        <f>R7*R8</f>
        <v>247.5</v>
      </c>
      <c r="S9" s="431"/>
      <c r="T9" s="440">
        <f>T7*T8</f>
        <v>242.77500000000003</v>
      </c>
      <c r="U9" s="441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86">
        <f>(111.1+106.7)/2</f>
        <v>108.9</v>
      </c>
      <c r="C11" s="377"/>
      <c r="D11" s="385">
        <v>126</v>
      </c>
      <c r="E11" s="377"/>
      <c r="F11" s="385">
        <v>116.8</v>
      </c>
      <c r="G11" s="442"/>
      <c r="H11" s="382">
        <f>(55+60*3)/4</f>
        <v>58.75</v>
      </c>
      <c r="I11" s="382"/>
      <c r="J11" s="377">
        <v>23.4</v>
      </c>
      <c r="K11" s="443"/>
      <c r="L11" s="386">
        <f>(111.1+106.7)/2</f>
        <v>108.9</v>
      </c>
      <c r="M11" s="377"/>
      <c r="N11" s="385">
        <v>126</v>
      </c>
      <c r="O11" s="377"/>
      <c r="P11" s="385">
        <v>73</v>
      </c>
      <c r="Q11" s="442"/>
      <c r="R11" s="382">
        <f>(55+60*3)/4</f>
        <v>58.75</v>
      </c>
      <c r="S11" s="382"/>
      <c r="T11" s="377">
        <v>14.3</v>
      </c>
      <c r="U11" s="378"/>
      <c r="V11" s="100"/>
    </row>
    <row r="12" spans="1:34" x14ac:dyDescent="0.2">
      <c r="A12" s="105" t="s">
        <v>30</v>
      </c>
      <c r="B12" s="348"/>
      <c r="C12" s="349"/>
      <c r="D12" s="336"/>
      <c r="E12" s="349"/>
      <c r="F12" s="336"/>
      <c r="G12" s="337"/>
      <c r="H12" s="349"/>
      <c r="I12" s="337"/>
      <c r="J12" s="349"/>
      <c r="K12" s="424"/>
      <c r="L12" s="348"/>
      <c r="M12" s="349"/>
      <c r="N12" s="336"/>
      <c r="O12" s="349"/>
      <c r="P12" s="336"/>
      <c r="Q12" s="337"/>
      <c r="R12" s="349"/>
      <c r="S12" s="337"/>
      <c r="T12" s="349"/>
      <c r="U12" s="356"/>
      <c r="V12" s="100"/>
    </row>
    <row r="13" spans="1:34" x14ac:dyDescent="0.2">
      <c r="A13" s="105" t="s">
        <v>8</v>
      </c>
      <c r="B13" s="348">
        <f>B7/495*0.75</f>
        <v>1.8181818181818183</v>
      </c>
      <c r="C13" s="349"/>
      <c r="D13" s="251"/>
      <c r="E13" s="116"/>
      <c r="F13" s="251"/>
      <c r="G13" s="252"/>
      <c r="H13" s="116"/>
      <c r="I13" s="252"/>
      <c r="J13" s="116"/>
      <c r="K13" s="117"/>
      <c r="L13" s="348">
        <f>L7/495*0.75</f>
        <v>1.1363636363636362</v>
      </c>
      <c r="M13" s="349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48">
        <f>14.85+6+B7*0.075*$D$48+0.0583*B7*$F$48+0.0583*B7*$H$48</f>
        <v>111.02159999999999</v>
      </c>
      <c r="C14" s="337"/>
      <c r="D14" s="339">
        <f>9.25+52.5+3</f>
        <v>64.75</v>
      </c>
      <c r="E14" s="339"/>
      <c r="F14" s="336">
        <f>22.5+1.2*F7*$D$48+0.5*F7*$F$48+F7*$H$48</f>
        <v>234.5</v>
      </c>
      <c r="G14" s="337"/>
      <c r="H14" s="349">
        <f>6.5+14.85+0.6667*H7*$F$48+1.333*H7*$H$48+1.6</f>
        <v>64.544159999999991</v>
      </c>
      <c r="I14" s="337"/>
      <c r="J14" s="349">
        <f>22.5+1.25*J7*$D$48+0.6*J7*$F$48+0.9*J7*$H$48</f>
        <v>131.25</v>
      </c>
      <c r="K14" s="424"/>
      <c r="L14" s="348">
        <f>14.85+6+0.08*L7*$D$48+0.0667*L7*$F$48+0.0667*L7*$H$48</f>
        <v>83.367750000000001</v>
      </c>
      <c r="M14" s="349"/>
      <c r="N14" s="339">
        <f>9.25+52.5+3</f>
        <v>64.75</v>
      </c>
      <c r="O14" s="339"/>
      <c r="P14" s="336">
        <f>11.25+P7*1.1765*$D$48+0.4706*P7*$F$48+0.7059*P7*$H$48</f>
        <v>91.25200000000001</v>
      </c>
      <c r="Q14" s="337"/>
      <c r="R14" s="349">
        <f>6.5+14.85+1.3333*R7*$F$48+2.6667*R7*$H$48+1.6</f>
        <v>64.549949999999995</v>
      </c>
      <c r="S14" s="337"/>
      <c r="T14" s="349">
        <f>11.25+1.2308*T7*$D$48+0.6154*T7*$F$48+0.9231*T7*$H$48</f>
        <v>82.251774999999995</v>
      </c>
      <c r="U14" s="356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48">
        <f>72.66+20.75+1.33+14.26</f>
        <v>109</v>
      </c>
      <c r="C16" s="349"/>
      <c r="D16" s="336">
        <f>53.46+54.2+92.22</f>
        <v>199.88</v>
      </c>
      <c r="E16" s="349"/>
      <c r="F16" s="336">
        <f>20.25+9.5+19.45</f>
        <v>49.2</v>
      </c>
      <c r="G16" s="337"/>
      <c r="H16" s="349">
        <f>36.34+4.55+24</f>
        <v>64.89</v>
      </c>
      <c r="I16" s="337"/>
      <c r="J16" s="349">
        <f>17.5+11.45</f>
        <v>28.95</v>
      </c>
      <c r="K16" s="424"/>
      <c r="L16" s="348">
        <f>72.66+20.75+1.33+14.26</f>
        <v>109</v>
      </c>
      <c r="M16" s="349"/>
      <c r="N16" s="336">
        <f>62+54.2+54.02</f>
        <v>170.22</v>
      </c>
      <c r="O16" s="349"/>
      <c r="P16" s="336">
        <f>15.75+9.5+19.45</f>
        <v>44.7</v>
      </c>
      <c r="Q16" s="337"/>
      <c r="R16" s="349">
        <f>31.64+4.55</f>
        <v>36.19</v>
      </c>
      <c r="S16" s="337"/>
      <c r="T16" s="349">
        <f>17.5+11.45</f>
        <v>28.95</v>
      </c>
      <c r="U16" s="356"/>
      <c r="V16" s="100"/>
    </row>
    <row r="17" spans="1:42" x14ac:dyDescent="0.2">
      <c r="A17" s="105" t="s">
        <v>172</v>
      </c>
      <c r="B17" s="348"/>
      <c r="C17" s="349"/>
      <c r="D17" s="251"/>
      <c r="E17" s="116"/>
      <c r="F17" s="251"/>
      <c r="G17" s="252"/>
      <c r="H17" s="116"/>
      <c r="I17" s="252"/>
      <c r="J17" s="116"/>
      <c r="K17" s="117"/>
      <c r="L17" s="348"/>
      <c r="M17" s="349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42" x14ac:dyDescent="0.2">
      <c r="A18" s="105" t="s">
        <v>174</v>
      </c>
      <c r="B18" s="348">
        <f>Conventional!B17</f>
        <v>15</v>
      </c>
      <c r="C18" s="349"/>
      <c r="D18" s="336">
        <f>Conventional!D17</f>
        <v>15</v>
      </c>
      <c r="E18" s="337"/>
      <c r="F18" s="251"/>
      <c r="G18" s="252"/>
      <c r="H18" s="116"/>
      <c r="I18" s="252"/>
      <c r="J18" s="116"/>
      <c r="K18" s="117"/>
      <c r="L18" s="348">
        <f>Conventional!L17</f>
        <v>15</v>
      </c>
      <c r="M18" s="349"/>
      <c r="N18" s="336">
        <f>Conventional!N17</f>
        <v>15</v>
      </c>
      <c r="O18" s="337"/>
      <c r="P18" s="251"/>
      <c r="Q18" s="252"/>
      <c r="R18" s="116"/>
      <c r="S18" s="252"/>
      <c r="T18" s="116"/>
      <c r="U18" s="118"/>
      <c r="V18" s="100"/>
    </row>
    <row r="19" spans="1:42" x14ac:dyDescent="0.2">
      <c r="A19" s="105" t="s">
        <v>10</v>
      </c>
      <c r="B19" s="348">
        <f>Conventional!B18</f>
        <v>10</v>
      </c>
      <c r="C19" s="349"/>
      <c r="D19" s="336">
        <f>Conventional!D18</f>
        <v>10</v>
      </c>
      <c r="E19" s="337"/>
      <c r="F19" s="251"/>
      <c r="G19" s="252"/>
      <c r="H19" s="116"/>
      <c r="I19" s="252"/>
      <c r="J19" s="116"/>
      <c r="K19" s="117"/>
      <c r="L19" s="348">
        <f>Conventional!L18</f>
        <v>10</v>
      </c>
      <c r="M19" s="349"/>
      <c r="N19" s="336">
        <f>Conventional!N18</f>
        <v>10</v>
      </c>
      <c r="O19" s="337"/>
      <c r="P19" s="251"/>
      <c r="Q19" s="252"/>
      <c r="R19" s="116"/>
      <c r="S19" s="252"/>
      <c r="T19" s="116"/>
      <c r="U19" s="118"/>
      <c r="V19" s="100"/>
    </row>
    <row r="20" spans="1:42" x14ac:dyDescent="0.2">
      <c r="A20" s="105" t="s">
        <v>32</v>
      </c>
      <c r="B20" s="348">
        <f>(4.5+6.4)*$B$50</f>
        <v>21.8</v>
      </c>
      <c r="C20" s="349"/>
      <c r="D20" s="336">
        <f>(5.2+7.9)*$B$50</f>
        <v>26.200000000000003</v>
      </c>
      <c r="E20" s="349"/>
      <c r="F20" s="336">
        <f>6.1*$B$50</f>
        <v>12.2</v>
      </c>
      <c r="G20" s="337"/>
      <c r="H20" s="349">
        <f>5.5*$B$50</f>
        <v>11</v>
      </c>
      <c r="I20" s="337"/>
      <c r="J20" s="349">
        <f>6.3*$B$50</f>
        <v>12.6</v>
      </c>
      <c r="K20" s="424"/>
      <c r="L20" s="348">
        <f>(4.5+6.4)*$B$50</f>
        <v>21.8</v>
      </c>
      <c r="M20" s="349"/>
      <c r="N20" s="336">
        <f>(5.2+7.9)*$B$50</f>
        <v>26.200000000000003</v>
      </c>
      <c r="O20" s="349"/>
      <c r="P20" s="336">
        <f>6.1*$B$50</f>
        <v>12.2</v>
      </c>
      <c r="Q20" s="337"/>
      <c r="R20" s="349">
        <f>5.5*$B$50</f>
        <v>11</v>
      </c>
      <c r="S20" s="337"/>
      <c r="T20" s="349">
        <f>6.3*$B$50</f>
        <v>12.6</v>
      </c>
      <c r="U20" s="356"/>
      <c r="V20" s="100"/>
    </row>
    <row r="21" spans="1:42" x14ac:dyDescent="0.2">
      <c r="A21" s="105" t="s">
        <v>11</v>
      </c>
      <c r="B21" s="348">
        <f>(11.92+23.34+11.92+27.4)/2</f>
        <v>37.29</v>
      </c>
      <c r="C21" s="349"/>
      <c r="D21" s="336">
        <f>12.7+28.68</f>
        <v>41.379999999999995</v>
      </c>
      <c r="E21" s="337"/>
      <c r="F21" s="336">
        <f>9.59+8.43</f>
        <v>18.02</v>
      </c>
      <c r="G21" s="337"/>
      <c r="H21" s="336">
        <f>7.82+7.63</f>
        <v>15.45</v>
      </c>
      <c r="I21" s="337"/>
      <c r="J21" s="336">
        <f>10.02+7.21</f>
        <v>17.23</v>
      </c>
      <c r="K21" s="356"/>
      <c r="L21" s="348">
        <f>(11.92+23.34+11.92+27.4)/2</f>
        <v>37.29</v>
      </c>
      <c r="M21" s="349"/>
      <c r="N21" s="336">
        <f>12.7+28.68</f>
        <v>41.379999999999995</v>
      </c>
      <c r="O21" s="337"/>
      <c r="P21" s="336">
        <f>9.59+8.43</f>
        <v>18.02</v>
      </c>
      <c r="Q21" s="337"/>
      <c r="R21" s="336">
        <f>7.82+7.63</f>
        <v>15.45</v>
      </c>
      <c r="S21" s="337"/>
      <c r="T21" s="336">
        <f>10.02+7.21</f>
        <v>17.23</v>
      </c>
      <c r="U21" s="356"/>
      <c r="V21" s="100"/>
      <c r="AJ21" s="100"/>
      <c r="AK21" s="100"/>
      <c r="AL21" s="100"/>
      <c r="AM21" s="100"/>
      <c r="AN21" s="100"/>
      <c r="AO21" s="100"/>
      <c r="AP21" s="100"/>
    </row>
    <row r="22" spans="1:42" x14ac:dyDescent="0.2">
      <c r="A22" s="105" t="s">
        <v>33</v>
      </c>
      <c r="B22" s="348">
        <f>((7*7)*0.67+(4.8*$B$50*7)*0.33)</f>
        <v>55.006000000000007</v>
      </c>
      <c r="C22" s="337"/>
      <c r="D22" s="336">
        <f>((7*5)*0.67+(4.8*$B$50*5)*0.33)</f>
        <v>39.290000000000006</v>
      </c>
      <c r="E22" s="337"/>
      <c r="F22" s="336">
        <f>((7*7)*0.67+(4.8*$B$50*7)*0.33)</f>
        <v>55.006000000000007</v>
      </c>
      <c r="G22" s="337"/>
      <c r="H22" s="336">
        <f>((7*4)*0.67+(4.8*$B$50*4)*0.33)</f>
        <v>31.432000000000002</v>
      </c>
      <c r="I22" s="337"/>
      <c r="J22" s="349">
        <f>((7*3)*0.67+(4.8*$B$50*3)*0.33)</f>
        <v>23.573999999999998</v>
      </c>
      <c r="K22" s="424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</row>
    <row r="23" spans="1:42" x14ac:dyDescent="0.2">
      <c r="A23" s="105" t="s">
        <v>13</v>
      </c>
      <c r="B23" s="348">
        <v>23.34</v>
      </c>
      <c r="C23" s="349"/>
      <c r="D23" s="336">
        <v>27.51</v>
      </c>
      <c r="E23" s="349"/>
      <c r="F23" s="336">
        <v>11.66</v>
      </c>
      <c r="G23" s="337"/>
      <c r="H23" s="349">
        <v>10.09</v>
      </c>
      <c r="I23" s="337"/>
      <c r="J23" s="349">
        <v>12.13</v>
      </c>
      <c r="K23" s="356"/>
      <c r="L23" s="348">
        <v>23.34</v>
      </c>
      <c r="M23" s="349"/>
      <c r="N23" s="336">
        <v>27.51</v>
      </c>
      <c r="O23" s="349"/>
      <c r="P23" s="336">
        <v>11.66</v>
      </c>
      <c r="Q23" s="337"/>
      <c r="R23" s="349">
        <v>10.09</v>
      </c>
      <c r="S23" s="337"/>
      <c r="T23" s="349">
        <v>12.13</v>
      </c>
      <c r="U23" s="356"/>
      <c r="V23" s="100"/>
    </row>
    <row r="24" spans="1:42" x14ac:dyDescent="0.2">
      <c r="A24" s="105" t="s">
        <v>14</v>
      </c>
      <c r="B24" s="349">
        <f>Conventional!B23</f>
        <v>7.5</v>
      </c>
      <c r="C24" s="337"/>
      <c r="D24" s="349">
        <f>Conventional!D23</f>
        <v>17</v>
      </c>
      <c r="E24" s="337"/>
      <c r="F24" s="349">
        <f>Conventional!F23</f>
        <v>13.5</v>
      </c>
      <c r="G24" s="337"/>
      <c r="H24" s="349">
        <f>Conventional!H23</f>
        <v>8.75</v>
      </c>
      <c r="I24" s="337"/>
      <c r="J24" s="349">
        <f>Conventional!J23</f>
        <v>17.5</v>
      </c>
      <c r="K24" s="424"/>
      <c r="L24" s="116">
        <f>Conventional!L23</f>
        <v>16</v>
      </c>
      <c r="M24" s="252"/>
      <c r="N24" s="349">
        <f>Conventional!N23</f>
        <v>23</v>
      </c>
      <c r="O24" s="337"/>
      <c r="P24" s="349">
        <f>Conventional!P23</f>
        <v>22</v>
      </c>
      <c r="Q24" s="337"/>
      <c r="R24" s="349">
        <f>Conventional!R23</f>
        <v>15</v>
      </c>
      <c r="S24" s="337"/>
      <c r="T24" s="349">
        <f>Conventional!T23</f>
        <v>16</v>
      </c>
      <c r="U24" s="356"/>
      <c r="V24" s="100"/>
    </row>
    <row r="25" spans="1:42" x14ac:dyDescent="0.2">
      <c r="A25" s="105" t="s">
        <v>126</v>
      </c>
      <c r="B25" s="348"/>
      <c r="C25" s="337"/>
      <c r="D25" s="336"/>
      <c r="E25" s="337"/>
      <c r="F25" s="336"/>
      <c r="G25" s="337"/>
      <c r="H25" s="336"/>
      <c r="I25" s="337"/>
      <c r="J25" s="336"/>
      <c r="K25" s="424"/>
      <c r="L25" s="348"/>
      <c r="M25" s="337"/>
      <c r="N25" s="336"/>
      <c r="O25" s="337"/>
      <c r="P25" s="336"/>
      <c r="Q25" s="337"/>
      <c r="R25" s="336"/>
      <c r="S25" s="337"/>
      <c r="T25" s="336"/>
      <c r="U25" s="356"/>
      <c r="V25" s="100"/>
    </row>
    <row r="26" spans="1:42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42" x14ac:dyDescent="0.2">
      <c r="A27" s="105" t="s">
        <v>17</v>
      </c>
      <c r="B27" s="388">
        <f>(SUM(B11:B26))*0.5*0.06</f>
        <v>15.020273454545455</v>
      </c>
      <c r="C27" s="367"/>
      <c r="D27" s="412">
        <f>(SUM(D11:D26))*0.5*0.06</f>
        <v>17.010300000000001</v>
      </c>
      <c r="E27" s="367"/>
      <c r="F27" s="412">
        <f>(SUM(F11:F26))*0.5*0.06</f>
        <v>15.32658</v>
      </c>
      <c r="G27" s="413"/>
      <c r="H27" s="367">
        <f>(SUM(H11:H26))*0.5*0.06</f>
        <v>7.9471847999999978</v>
      </c>
      <c r="I27" s="413"/>
      <c r="J27" s="367">
        <f>(SUM(J11:J26))*0.5*0.06</f>
        <v>7.999019999999998</v>
      </c>
      <c r="K27" s="425"/>
      <c r="L27" s="388">
        <f>(SUM(L11:L26))*0.5*0.06</f>
        <v>12.77502340909091</v>
      </c>
      <c r="M27" s="367"/>
      <c r="N27" s="412">
        <f>(SUM(N11:N26))*0.5*0.06</f>
        <v>15.1218</v>
      </c>
      <c r="O27" s="367"/>
      <c r="P27" s="412">
        <f>(SUM(P11:P26))*0.5*0.06</f>
        <v>8.1849600000000002</v>
      </c>
      <c r="Q27" s="413"/>
      <c r="R27" s="367">
        <f>(SUM(R11:R26))*0.5*0.06</f>
        <v>6.3308984999999991</v>
      </c>
      <c r="S27" s="413"/>
      <c r="T27" s="367">
        <f>(SUM(T11:T26))*0.5*0.06</f>
        <v>5.5038532499999997</v>
      </c>
      <c r="U27" s="368"/>
      <c r="V27" s="100"/>
    </row>
    <row r="28" spans="1:42" x14ac:dyDescent="0.2">
      <c r="A28" s="105" t="s">
        <v>171</v>
      </c>
      <c r="B28" s="388">
        <f>0.0395*B7</f>
        <v>47.4</v>
      </c>
      <c r="C28" s="367"/>
      <c r="D28" s="253"/>
      <c r="E28" s="120"/>
      <c r="F28" s="253"/>
      <c r="G28" s="254"/>
      <c r="H28" s="120"/>
      <c r="I28" s="254"/>
      <c r="J28" s="120"/>
      <c r="K28" s="121"/>
      <c r="L28" s="388">
        <f>0.0395*L7</f>
        <v>29.625</v>
      </c>
      <c r="M28" s="367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42" x14ac:dyDescent="0.2">
      <c r="A29" s="105" t="s">
        <v>15</v>
      </c>
      <c r="B29" s="123"/>
      <c r="C29" s="120"/>
      <c r="D29" s="412">
        <f>D7/2000*0.33*20+D7/2000*0.67*30</f>
        <v>62.745000000000005</v>
      </c>
      <c r="E29" s="367"/>
      <c r="F29" s="412">
        <f>F7*1.0975*0.28</f>
        <v>61.46</v>
      </c>
      <c r="G29" s="413"/>
      <c r="H29" s="120"/>
      <c r="I29" s="254"/>
      <c r="J29" s="367">
        <f>J7*1.0975*0.28</f>
        <v>30.73</v>
      </c>
      <c r="K29" s="425"/>
      <c r="L29" s="120"/>
      <c r="M29" s="120"/>
      <c r="N29" s="412">
        <f>N7/2000*0.33*20+N7/2000*0.67*30</f>
        <v>45.39</v>
      </c>
      <c r="O29" s="367"/>
      <c r="P29" s="412">
        <f>P7*1.0975*0.28</f>
        <v>26.1205</v>
      </c>
      <c r="Q29" s="413"/>
      <c r="R29" s="120"/>
      <c r="S29" s="254"/>
      <c r="T29" s="367">
        <f>T7*1.0975*0.28</f>
        <v>19.974499999999999</v>
      </c>
      <c r="U29" s="368"/>
      <c r="V29" s="100"/>
    </row>
    <row r="30" spans="1:42" x14ac:dyDescent="0.2">
      <c r="A30" s="105" t="s">
        <v>18</v>
      </c>
      <c r="B30" s="123"/>
      <c r="C30" s="120"/>
      <c r="D30" s="421">
        <f>D7/2000*3+D7/2000*355*0.01</f>
        <v>15.3925</v>
      </c>
      <c r="E30" s="351"/>
      <c r="F30" s="253"/>
      <c r="G30" s="254"/>
      <c r="H30" s="120"/>
      <c r="I30" s="254"/>
      <c r="J30" s="120"/>
      <c r="K30" s="121"/>
      <c r="L30" s="120"/>
      <c r="M30" s="120"/>
      <c r="N30" s="421">
        <f>N7/2000*3+N7/2000*355*0.01</f>
        <v>11.135</v>
      </c>
      <c r="O30" s="351"/>
      <c r="P30" s="253"/>
      <c r="Q30" s="254"/>
      <c r="R30" s="120"/>
      <c r="S30" s="254"/>
      <c r="T30" s="120"/>
      <c r="U30" s="124"/>
      <c r="V30" s="100"/>
    </row>
    <row r="31" spans="1:42" ht="15" thickBot="1" x14ac:dyDescent="0.25">
      <c r="A31" s="125" t="s">
        <v>157</v>
      </c>
      <c r="B31" s="363">
        <f t="shared" ref="B31:T31" si="0">SUM(B11:B30)</f>
        <v>563.09605527272731</v>
      </c>
      <c r="C31" s="362"/>
      <c r="D31" s="416">
        <f t="shared" si="0"/>
        <v>662.15780000000007</v>
      </c>
      <c r="E31" s="362"/>
      <c r="F31" s="416">
        <f t="shared" si="0"/>
        <v>587.67258000000004</v>
      </c>
      <c r="G31" s="417"/>
      <c r="H31" s="362">
        <f t="shared" si="0"/>
        <v>272.85334479999995</v>
      </c>
      <c r="I31" s="417"/>
      <c r="J31" s="362">
        <f t="shared" si="0"/>
        <v>305.36301999999995</v>
      </c>
      <c r="K31" s="411"/>
      <c r="L31" s="363">
        <f t="shared" si="0"/>
        <v>468.23413704545459</v>
      </c>
      <c r="M31" s="362"/>
      <c r="N31" s="416">
        <f t="shared" si="0"/>
        <v>575.70679999999993</v>
      </c>
      <c r="O31" s="362"/>
      <c r="P31" s="416">
        <f t="shared" si="0"/>
        <v>307.13745999999998</v>
      </c>
      <c r="Q31" s="417"/>
      <c r="R31" s="362">
        <f t="shared" si="0"/>
        <v>217.36084849999997</v>
      </c>
      <c r="S31" s="417"/>
      <c r="T31" s="362">
        <f t="shared" si="0"/>
        <v>208.94012824999999</v>
      </c>
      <c r="U31" s="365"/>
      <c r="V31" s="100"/>
    </row>
    <row r="32" spans="1:42" x14ac:dyDescent="0.2">
      <c r="A32" s="126" t="s">
        <v>163</v>
      </c>
      <c r="B32" s="389">
        <f t="shared" ref="B32:T32" si="1">B9-B31</f>
        <v>120.90394472727257</v>
      </c>
      <c r="C32" s="371"/>
      <c r="D32" s="414">
        <f t="shared" si="1"/>
        <v>277.84219999999993</v>
      </c>
      <c r="E32" s="371"/>
      <c r="F32" s="414">
        <f t="shared" si="1"/>
        <v>242.32742000000007</v>
      </c>
      <c r="G32" s="415"/>
      <c r="H32" s="371">
        <f t="shared" si="1"/>
        <v>222.14665520000005</v>
      </c>
      <c r="I32" s="415"/>
      <c r="J32" s="371">
        <f t="shared" si="1"/>
        <v>68.136980000000108</v>
      </c>
      <c r="K32" s="430"/>
      <c r="L32" s="389">
        <f t="shared" si="1"/>
        <v>-40.734137045454645</v>
      </c>
      <c r="M32" s="371"/>
      <c r="N32" s="414">
        <f t="shared" si="1"/>
        <v>104.29320000000007</v>
      </c>
      <c r="O32" s="371"/>
      <c r="P32" s="414">
        <f t="shared" si="1"/>
        <v>45.612540000000081</v>
      </c>
      <c r="Q32" s="415"/>
      <c r="R32" s="371">
        <f t="shared" si="1"/>
        <v>30.139151500000025</v>
      </c>
      <c r="S32" s="415"/>
      <c r="T32" s="371">
        <f t="shared" si="1"/>
        <v>33.834871750000048</v>
      </c>
      <c r="U32" s="372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0.46924671272727275</v>
      </c>
      <c r="C33" s="129" t="s">
        <v>159</v>
      </c>
      <c r="D33" s="239">
        <f>D31/D7*2000</f>
        <v>281.76927659574471</v>
      </c>
      <c r="E33" s="129" t="s">
        <v>160</v>
      </c>
      <c r="F33" s="240">
        <f>F31/F7</f>
        <v>2.9383629</v>
      </c>
      <c r="G33" s="238" t="s">
        <v>162</v>
      </c>
      <c r="H33" s="130">
        <f>H31/H7</f>
        <v>4.5475557466666654</v>
      </c>
      <c r="I33" s="238" t="s">
        <v>162</v>
      </c>
      <c r="J33" s="130">
        <f>J31/J7</f>
        <v>3.0536301999999993</v>
      </c>
      <c r="K33" s="131" t="s">
        <v>162</v>
      </c>
      <c r="L33" s="130">
        <f>L31/L7</f>
        <v>0.62431218272727274</v>
      </c>
      <c r="M33" s="129" t="s">
        <v>159</v>
      </c>
      <c r="N33" s="260">
        <f>N31/N7*2000</f>
        <v>338.65105882352935</v>
      </c>
      <c r="O33" s="129" t="s">
        <v>160</v>
      </c>
      <c r="P33" s="240">
        <f>P31/P7</f>
        <v>3.6133818823529409</v>
      </c>
      <c r="Q33" s="238" t="s">
        <v>162</v>
      </c>
      <c r="R33" s="130">
        <f>R31/R7</f>
        <v>7.2453616166666661</v>
      </c>
      <c r="S33" s="238" t="s">
        <v>162</v>
      </c>
      <c r="T33" s="130">
        <f>T31/T7</f>
        <v>3.2144635115384612</v>
      </c>
      <c r="U33" s="132" t="s">
        <v>162</v>
      </c>
      <c r="V33" s="100"/>
    </row>
    <row r="34" spans="1:34" x14ac:dyDescent="0.2">
      <c r="A34" s="322" t="str">
        <f>Conventional!A33</f>
        <v>BREAKEVEN YIELD per ACRE (Variable Cost)</v>
      </c>
      <c r="B34" s="328">
        <f>B31/B8</f>
        <v>987.88781626794275</v>
      </c>
      <c r="C34" s="329" t="s">
        <v>158</v>
      </c>
      <c r="D34" s="330">
        <f>D31/D8*2000</f>
        <v>3310.7890000000002</v>
      </c>
      <c r="E34" s="329" t="s">
        <v>158</v>
      </c>
      <c r="F34" s="330">
        <f>F31/F8</f>
        <v>141.60785060240963</v>
      </c>
      <c r="G34" s="331" t="s">
        <v>161</v>
      </c>
      <c r="H34" s="330">
        <f>H31/H8</f>
        <v>33.073132703030296</v>
      </c>
      <c r="I34" s="331" t="s">
        <v>161</v>
      </c>
      <c r="J34" s="330">
        <f>J31/J8</f>
        <v>81.757167336010696</v>
      </c>
      <c r="K34" s="332" t="s">
        <v>161</v>
      </c>
      <c r="L34" s="328">
        <f>L31/L8</f>
        <v>821.46339832535898</v>
      </c>
      <c r="M34" s="329" t="s">
        <v>158</v>
      </c>
      <c r="N34" s="330">
        <f>N31/N8*2000</f>
        <v>2878.5339999999997</v>
      </c>
      <c r="O34" s="329" t="s">
        <v>158</v>
      </c>
      <c r="P34" s="330">
        <f>P31/P8</f>
        <v>74.009026506024085</v>
      </c>
      <c r="Q34" s="331" t="s">
        <v>161</v>
      </c>
      <c r="R34" s="330">
        <f>R31/R8</f>
        <v>26.346769515151511</v>
      </c>
      <c r="S34" s="331" t="s">
        <v>161</v>
      </c>
      <c r="T34" s="330">
        <f>T31/T8</f>
        <v>55.941132061579644</v>
      </c>
      <c r="U34" s="333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48">
        <f>(41.46+92.86+41.46+126.84)/2</f>
        <v>151.31</v>
      </c>
      <c r="C36" s="349"/>
      <c r="D36" s="336">
        <f>33.64+85.95</f>
        <v>119.59</v>
      </c>
      <c r="E36" s="349"/>
      <c r="F36" s="336">
        <f>25.57+41.04</f>
        <v>66.61</v>
      </c>
      <c r="G36" s="337"/>
      <c r="H36" s="349">
        <f>21.96+37.47</f>
        <v>59.43</v>
      </c>
      <c r="I36" s="337"/>
      <c r="J36" s="349">
        <f>26.56+37.47</f>
        <v>64.03</v>
      </c>
      <c r="K36" s="356"/>
      <c r="L36" s="348">
        <f>(41.46+92.86+41.46+126.84)/2</f>
        <v>151.31</v>
      </c>
      <c r="M36" s="349"/>
      <c r="N36" s="336">
        <f>33.64+85.95</f>
        <v>119.59</v>
      </c>
      <c r="O36" s="349"/>
      <c r="P36" s="336">
        <f>25.57+41.04</f>
        <v>66.61</v>
      </c>
      <c r="Q36" s="337"/>
      <c r="R36" s="349">
        <f>21.96+37.47</f>
        <v>59.43</v>
      </c>
      <c r="S36" s="337"/>
      <c r="T36" s="349">
        <f>26.56+37.47</f>
        <v>64.03</v>
      </c>
      <c r="U36" s="356"/>
      <c r="V36" s="100"/>
    </row>
    <row r="37" spans="1:34" x14ac:dyDescent="0.2">
      <c r="A37" s="105" t="s">
        <v>12</v>
      </c>
      <c r="B37" s="348">
        <f>Conventional!B36</f>
        <v>130</v>
      </c>
      <c r="C37" s="349"/>
      <c r="D37" s="336">
        <f>Conventional!D36</f>
        <v>130</v>
      </c>
      <c r="E37" s="349"/>
      <c r="F37" s="336">
        <f>Conventional!F36</f>
        <v>130</v>
      </c>
      <c r="G37" s="337"/>
      <c r="H37" s="349">
        <f>Conventional!H36</f>
        <v>130</v>
      </c>
      <c r="I37" s="337"/>
      <c r="J37" s="349">
        <f>Conventional!J36</f>
        <v>130</v>
      </c>
      <c r="K37" s="424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50">
        <f>0.05*B31</f>
        <v>28.154802763636368</v>
      </c>
      <c r="C39" s="351"/>
      <c r="D39" s="421">
        <f>0.05*D31</f>
        <v>33.107890000000005</v>
      </c>
      <c r="E39" s="351"/>
      <c r="F39" s="421">
        <f>0.05*F31</f>
        <v>29.383629000000003</v>
      </c>
      <c r="G39" s="426"/>
      <c r="H39" s="351">
        <f>0.05*H31</f>
        <v>13.642667239999998</v>
      </c>
      <c r="I39" s="426"/>
      <c r="J39" s="351">
        <f>0.05*J31</f>
        <v>15.268150999999998</v>
      </c>
      <c r="K39" s="428"/>
      <c r="L39" s="350">
        <f>0.05*L31</f>
        <v>23.411706852272729</v>
      </c>
      <c r="M39" s="351"/>
      <c r="N39" s="421">
        <f>0.05*N31</f>
        <v>28.785339999999998</v>
      </c>
      <c r="O39" s="351"/>
      <c r="P39" s="421">
        <f>0.05*P31</f>
        <v>15.356873</v>
      </c>
      <c r="Q39" s="426"/>
      <c r="R39" s="351">
        <f>0.05*R31</f>
        <v>10.868042424999999</v>
      </c>
      <c r="S39" s="426"/>
      <c r="T39" s="351">
        <f>0.05*T31</f>
        <v>10.4470064125</v>
      </c>
      <c r="U39" s="360"/>
      <c r="V39" s="100"/>
    </row>
    <row r="40" spans="1:34" x14ac:dyDescent="0.2">
      <c r="A40" s="133" t="s">
        <v>165</v>
      </c>
      <c r="B40" s="352">
        <f>SUM(B36:B39)</f>
        <v>309.46480276363638</v>
      </c>
      <c r="C40" s="353"/>
      <c r="D40" s="419">
        <f>SUM(D36:D39)</f>
        <v>282.69789000000003</v>
      </c>
      <c r="E40" s="353"/>
      <c r="F40" s="419">
        <f>SUM(F36:F39)</f>
        <v>225.99362900000003</v>
      </c>
      <c r="G40" s="427"/>
      <c r="H40" s="353">
        <f>SUM(H36:H39)</f>
        <v>203.07266724000002</v>
      </c>
      <c r="I40" s="427"/>
      <c r="J40" s="353">
        <f>SUM(J36:J39)</f>
        <v>209.29815099999999</v>
      </c>
      <c r="K40" s="429"/>
      <c r="L40" s="352">
        <f>SUM(L36:L39)</f>
        <v>174.72170685227275</v>
      </c>
      <c r="M40" s="353"/>
      <c r="N40" s="419">
        <f>SUM(N36:N39)</f>
        <v>148.37533999999999</v>
      </c>
      <c r="O40" s="353"/>
      <c r="P40" s="419">
        <f>SUM(P36:P39)</f>
        <v>81.966872999999993</v>
      </c>
      <c r="Q40" s="427"/>
      <c r="R40" s="353">
        <f>SUM(R36:R39)</f>
        <v>70.298042425000006</v>
      </c>
      <c r="S40" s="427"/>
      <c r="T40" s="353">
        <f>SUM(T36:T39)</f>
        <v>74.477006412500003</v>
      </c>
      <c r="U40" s="359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5" thickBot="1" x14ac:dyDescent="0.25">
      <c r="A42" s="139" t="s">
        <v>166</v>
      </c>
      <c r="B42" s="363">
        <f>B40+B31</f>
        <v>872.5608580363637</v>
      </c>
      <c r="C42" s="362"/>
      <c r="D42" s="416">
        <f>D40+D31</f>
        <v>944.8556900000001</v>
      </c>
      <c r="E42" s="362"/>
      <c r="F42" s="416">
        <f>F40+F31</f>
        <v>813.66620900000009</v>
      </c>
      <c r="G42" s="417"/>
      <c r="H42" s="362">
        <f>H40+H31</f>
        <v>475.92601203999993</v>
      </c>
      <c r="I42" s="417"/>
      <c r="J42" s="362">
        <f>J40+J31</f>
        <v>514.66117099999997</v>
      </c>
      <c r="K42" s="411"/>
      <c r="L42" s="363">
        <f>L40+L31</f>
        <v>642.95584389772739</v>
      </c>
      <c r="M42" s="362"/>
      <c r="N42" s="416">
        <f>N40+N31</f>
        <v>724.08213999999998</v>
      </c>
      <c r="O42" s="362"/>
      <c r="P42" s="416">
        <f>P40+P31</f>
        <v>389.104333</v>
      </c>
      <c r="Q42" s="417"/>
      <c r="R42" s="362">
        <f>R40+R31</f>
        <v>287.65889092499998</v>
      </c>
      <c r="S42" s="417"/>
      <c r="T42" s="362">
        <f>T40+T31</f>
        <v>283.41713466249996</v>
      </c>
      <c r="U42" s="365"/>
      <c r="V42" s="100"/>
    </row>
    <row r="43" spans="1:34" ht="15" thickBot="1" x14ac:dyDescent="0.25">
      <c r="A43" s="140" t="s">
        <v>167</v>
      </c>
      <c r="B43" s="354">
        <f>B9-B42</f>
        <v>-188.56085803636381</v>
      </c>
      <c r="C43" s="355"/>
      <c r="D43" s="422">
        <f>D9-D42</f>
        <v>-4.8556900000000951</v>
      </c>
      <c r="E43" s="355"/>
      <c r="F43" s="422">
        <f>F9-F42</f>
        <v>16.333791000000019</v>
      </c>
      <c r="G43" s="423"/>
      <c r="H43" s="355">
        <f>H9-H42</f>
        <v>19.073987960000068</v>
      </c>
      <c r="I43" s="423"/>
      <c r="J43" s="355">
        <f>J9-J42</f>
        <v>-141.16117099999991</v>
      </c>
      <c r="K43" s="410"/>
      <c r="L43" s="354">
        <f>L9-L42</f>
        <v>-215.45584389772745</v>
      </c>
      <c r="M43" s="355"/>
      <c r="N43" s="422">
        <f>N9-N42</f>
        <v>-44.082139999999981</v>
      </c>
      <c r="O43" s="355"/>
      <c r="P43" s="422">
        <f>P9-P42</f>
        <v>-36.35433299999994</v>
      </c>
      <c r="Q43" s="423"/>
      <c r="R43" s="355">
        <f>R9-R42</f>
        <v>-40.15889092499998</v>
      </c>
      <c r="S43" s="423"/>
      <c r="T43" s="355">
        <f>T9-T42</f>
        <v>-40.642134662499927</v>
      </c>
      <c r="U43" s="366"/>
      <c r="V43" s="100"/>
    </row>
    <row r="44" spans="1:34" ht="1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0.72713404836363638</v>
      </c>
      <c r="C45" s="146" t="s">
        <v>159</v>
      </c>
      <c r="D45" s="242">
        <f>D42/D7*2000</f>
        <v>402.06625106382984</v>
      </c>
      <c r="E45" s="129" t="s">
        <v>160</v>
      </c>
      <c r="F45" s="243">
        <f>F42/F7</f>
        <v>4.0683310450000008</v>
      </c>
      <c r="G45" s="238" t="s">
        <v>162</v>
      </c>
      <c r="H45" s="147">
        <f>H42/H7</f>
        <v>7.9321002006666657</v>
      </c>
      <c r="I45" s="238" t="s">
        <v>162</v>
      </c>
      <c r="J45" s="147">
        <f>J42/J7</f>
        <v>5.1466117099999993</v>
      </c>
      <c r="K45" s="131" t="s">
        <v>162</v>
      </c>
      <c r="L45" s="147">
        <f>L42/L7</f>
        <v>0.85727445853030315</v>
      </c>
      <c r="M45" s="146" t="s">
        <v>159</v>
      </c>
      <c r="N45" s="242">
        <f>N42/N7*2000</f>
        <v>425.93067058823533</v>
      </c>
      <c r="O45" s="129" t="s">
        <v>160</v>
      </c>
      <c r="P45" s="243">
        <f>P42/P7</f>
        <v>4.5776980352941177</v>
      </c>
      <c r="Q45" s="238" t="s">
        <v>162</v>
      </c>
      <c r="R45" s="147">
        <f>R42/R7</f>
        <v>9.5886296975</v>
      </c>
      <c r="S45" s="238" t="s">
        <v>162</v>
      </c>
      <c r="T45" s="147">
        <f>T42/T7</f>
        <v>4.3602636101923071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1530.8085228708137</v>
      </c>
      <c r="C46" s="150" t="s">
        <v>158</v>
      </c>
      <c r="D46" s="245">
        <f>D42/D8*2000</f>
        <v>4724.2784500000007</v>
      </c>
      <c r="E46" s="150" t="s">
        <v>158</v>
      </c>
      <c r="F46" s="246">
        <f>F42/F8</f>
        <v>196.06414674698794</v>
      </c>
      <c r="G46" s="238" t="s">
        <v>161</v>
      </c>
      <c r="H46" s="151">
        <f>H42/H8</f>
        <v>57.688001459393931</v>
      </c>
      <c r="I46" s="238" t="s">
        <v>161</v>
      </c>
      <c r="J46" s="151">
        <f>J42/J8</f>
        <v>137.79415555555553</v>
      </c>
      <c r="K46" s="131" t="s">
        <v>161</v>
      </c>
      <c r="L46" s="151">
        <f>L42/L8</f>
        <v>1127.9927085925042</v>
      </c>
      <c r="M46" s="150" t="s">
        <v>158</v>
      </c>
      <c r="N46" s="245">
        <f>N42/N8*2000</f>
        <v>3620.4106999999999</v>
      </c>
      <c r="O46" s="150" t="s">
        <v>158</v>
      </c>
      <c r="P46" s="246">
        <f>P42/P8</f>
        <v>93.760080240963845</v>
      </c>
      <c r="Q46" s="238" t="s">
        <v>161</v>
      </c>
      <c r="R46" s="151">
        <f>R42/R8</f>
        <v>34.867744354545451</v>
      </c>
      <c r="S46" s="238" t="s">
        <v>161</v>
      </c>
      <c r="T46" s="151">
        <f>T42/T8</f>
        <v>75.881428289825948</v>
      </c>
      <c r="U46" s="132" t="s">
        <v>161</v>
      </c>
      <c r="V46" s="100"/>
    </row>
    <row r="47" spans="1:34" s="154" customFormat="1" ht="12" x14ac:dyDescent="0.15">
      <c r="A47" s="420" t="s">
        <v>177</v>
      </c>
      <c r="B47" s="420"/>
      <c r="C47" s="420"/>
      <c r="D47" s="420"/>
      <c r="E47" s="420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15">
      <c r="A48" s="97" t="s">
        <v>178</v>
      </c>
      <c r="B48" s="97"/>
      <c r="C48" s="155" t="s">
        <v>169</v>
      </c>
      <c r="D48" s="236">
        <f>Conventional!D46</f>
        <v>0.45</v>
      </c>
      <c r="E48" s="156" t="s">
        <v>65</v>
      </c>
      <c r="F48" s="247">
        <f>Conventional!F46</f>
        <v>0.38</v>
      </c>
      <c r="G48" s="156" t="s">
        <v>66</v>
      </c>
      <c r="H48" s="247">
        <f>Conventional!H46</f>
        <v>0.33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15">
      <c r="A49" s="418" t="str">
        <f>Conventional!A48</f>
        <v>*** Weighted average of diesel and electric irrigation application costs.  Electric is estimated at $7/appl and diesel is estimated at $9.60/appl when diesel cost $2.00/gal.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15">
      <c r="A50" s="158" t="s">
        <v>152</v>
      </c>
      <c r="B50" s="159">
        <f>Conventional!B47</f>
        <v>2</v>
      </c>
      <c r="C50" s="418" t="s">
        <v>67</v>
      </c>
      <c r="D50" s="41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28"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9" zoomScale="160" zoomScaleNormal="160" zoomScalePageLayoutView="160" workbookViewId="0">
      <selection activeCell="B28" sqref="B28"/>
    </sheetView>
  </sheetViews>
  <sheetFormatPr baseColWidth="10" defaultColWidth="8.83203125" defaultRowHeight="13" x14ac:dyDescent="0.15"/>
  <cols>
    <col min="1" max="1" width="32.1640625" style="200" bestFit="1" customWidth="1"/>
    <col min="2" max="2" width="22" style="200" bestFit="1" customWidth="1"/>
    <col min="3" max="3" width="16.6640625" style="199" customWidth="1"/>
    <col min="4" max="8" width="8.83203125" style="199"/>
    <col min="9" max="9" width="12.1640625" style="199" customWidth="1"/>
    <col min="10" max="16384" width="8.83203125" style="200"/>
  </cols>
  <sheetData>
    <row r="1" spans="1:9" hidden="1" x14ac:dyDescent="0.15">
      <c r="A1" s="445" t="s">
        <v>141</v>
      </c>
      <c r="B1" s="445"/>
    </row>
    <row r="2" spans="1:9" hidden="1" x14ac:dyDescent="0.15">
      <c r="A2" s="59" t="s">
        <v>143</v>
      </c>
      <c r="B2" s="201">
        <v>420000</v>
      </c>
    </row>
    <row r="3" spans="1:9" hidden="1" x14ac:dyDescent="0.15">
      <c r="A3" s="59" t="s">
        <v>142</v>
      </c>
      <c r="B3" s="202">
        <v>0.25</v>
      </c>
    </row>
    <row r="4" spans="1:9" hidden="1" x14ac:dyDescent="0.15">
      <c r="A4" s="59" t="s">
        <v>144</v>
      </c>
      <c r="B4" s="203">
        <f>B2*B3</f>
        <v>105000</v>
      </c>
    </row>
    <row r="5" spans="1:9" hidden="1" x14ac:dyDescent="0.15">
      <c r="A5" s="59" t="s">
        <v>145</v>
      </c>
      <c r="B5" s="204">
        <v>100</v>
      </c>
    </row>
    <row r="6" spans="1:9" hidden="1" x14ac:dyDescent="0.15">
      <c r="A6" s="59" t="s">
        <v>132</v>
      </c>
      <c r="B6" s="204">
        <f>B4/B5</f>
        <v>1050</v>
      </c>
    </row>
    <row r="7" spans="1:9" hidden="1" x14ac:dyDescent="0.15">
      <c r="A7" s="59"/>
      <c r="B7" s="204"/>
    </row>
    <row r="8" spans="1:9" hidden="1" x14ac:dyDescent="0.15">
      <c r="A8" s="199"/>
      <c r="B8" s="204"/>
    </row>
    <row r="9" spans="1:9" ht="14" x14ac:dyDescent="0.15">
      <c r="A9" s="448" t="s">
        <v>135</v>
      </c>
      <c r="B9" s="448"/>
    </row>
    <row r="10" spans="1:9" ht="14" x14ac:dyDescent="0.15">
      <c r="A10" s="205" t="s">
        <v>139</v>
      </c>
      <c r="B10" s="206">
        <v>4700</v>
      </c>
      <c r="D10" s="447" t="s">
        <v>146</v>
      </c>
      <c r="E10" s="447"/>
      <c r="F10" s="447"/>
      <c r="G10" s="447"/>
      <c r="H10" s="447"/>
      <c r="I10" s="447"/>
    </row>
    <row r="11" spans="1:9" ht="14" x14ac:dyDescent="0.15">
      <c r="A11" s="207" t="s">
        <v>132</v>
      </c>
      <c r="B11" s="207" t="s">
        <v>133</v>
      </c>
    </row>
    <row r="12" spans="1:9" x14ac:dyDescent="0.15">
      <c r="A12" s="208">
        <v>2000</v>
      </c>
      <c r="B12" s="209">
        <v>400</v>
      </c>
      <c r="D12" s="447" t="s">
        <v>147</v>
      </c>
      <c r="E12" s="447"/>
      <c r="F12" s="447"/>
      <c r="G12" s="447"/>
      <c r="H12" s="447"/>
      <c r="I12" s="447"/>
    </row>
    <row r="13" spans="1:9" x14ac:dyDescent="0.15">
      <c r="A13" s="210">
        <v>0</v>
      </c>
      <c r="B13" s="211"/>
      <c r="D13" s="447"/>
      <c r="E13" s="447"/>
      <c r="F13" s="447"/>
      <c r="G13" s="447"/>
      <c r="H13" s="447"/>
      <c r="I13" s="447"/>
    </row>
    <row r="14" spans="1:9" x14ac:dyDescent="0.15">
      <c r="A14" s="212">
        <v>0</v>
      </c>
      <c r="B14" s="213"/>
      <c r="D14" s="447"/>
      <c r="E14" s="447"/>
      <c r="F14" s="447"/>
      <c r="G14" s="447"/>
      <c r="H14" s="447"/>
      <c r="I14" s="447"/>
    </row>
    <row r="15" spans="1:9" ht="28" x14ac:dyDescent="0.15">
      <c r="A15" s="214" t="s">
        <v>131</v>
      </c>
      <c r="B15" s="215" t="s">
        <v>134</v>
      </c>
    </row>
    <row r="16" spans="1:9" x14ac:dyDescent="0.15">
      <c r="A16" s="216">
        <f>B10-(SUM('Peanut Price Calculator'!A12:A14))</f>
        <v>2700</v>
      </c>
      <c r="B16" s="217">
        <v>400</v>
      </c>
      <c r="D16" s="447" t="s">
        <v>148</v>
      </c>
      <c r="E16" s="447"/>
      <c r="F16" s="447"/>
      <c r="G16" s="447"/>
      <c r="H16" s="447"/>
      <c r="I16" s="447"/>
    </row>
    <row r="17" spans="1:9" ht="14" x14ac:dyDescent="0.15">
      <c r="A17" s="218" t="s">
        <v>137</v>
      </c>
      <c r="B17" s="219">
        <f>(A12/(SUM(A12:A14,A16:A16))*B12+A13/(SUM(A12:A14,A16:A16))*B13+A14/(SUM(A12:A14,A16:A16))*B14+A16/(SUM(A12:A14,A16:A16))*B16)</f>
        <v>400</v>
      </c>
    </row>
    <row r="18" spans="1:9" x14ac:dyDescent="0.15">
      <c r="A18" s="220"/>
      <c r="B18" s="221"/>
    </row>
    <row r="19" spans="1:9" s="199" customFormat="1" x14ac:dyDescent="0.15"/>
    <row r="20" spans="1:9" s="199" customFormat="1" x14ac:dyDescent="0.15">
      <c r="A20" s="446" t="s">
        <v>138</v>
      </c>
      <c r="B20" s="446"/>
    </row>
    <row r="21" spans="1:9" s="199" customFormat="1" ht="14" x14ac:dyDescent="0.15">
      <c r="A21" s="205" t="s">
        <v>140</v>
      </c>
      <c r="B21" s="222">
        <v>3400</v>
      </c>
      <c r="D21" s="447" t="s">
        <v>149</v>
      </c>
      <c r="E21" s="447"/>
      <c r="F21" s="447"/>
      <c r="G21" s="447"/>
      <c r="H21" s="447"/>
      <c r="I21" s="447"/>
    </row>
    <row r="22" spans="1:9" s="199" customFormat="1" ht="14" x14ac:dyDescent="0.15">
      <c r="A22" s="207" t="s">
        <v>132</v>
      </c>
      <c r="B22" s="207" t="s">
        <v>133</v>
      </c>
    </row>
    <row r="23" spans="1:9" s="199" customFormat="1" x14ac:dyDescent="0.15">
      <c r="A23" s="223">
        <v>2000</v>
      </c>
      <c r="B23" s="224">
        <v>400</v>
      </c>
      <c r="D23" s="447" t="s">
        <v>150</v>
      </c>
      <c r="E23" s="447"/>
      <c r="F23" s="447"/>
      <c r="G23" s="447"/>
      <c r="H23" s="447"/>
      <c r="I23" s="447"/>
    </row>
    <row r="24" spans="1:9" s="199" customFormat="1" x14ac:dyDescent="0.15">
      <c r="A24" s="225">
        <v>0</v>
      </c>
      <c r="B24" s="226"/>
      <c r="D24" s="447"/>
      <c r="E24" s="447"/>
      <c r="F24" s="447"/>
      <c r="G24" s="447"/>
      <c r="H24" s="447"/>
      <c r="I24" s="447"/>
    </row>
    <row r="25" spans="1:9" s="199" customFormat="1" x14ac:dyDescent="0.15">
      <c r="A25" s="227">
        <v>0</v>
      </c>
      <c r="B25" s="228"/>
      <c r="D25" s="447"/>
      <c r="E25" s="447"/>
      <c r="F25" s="447"/>
      <c r="G25" s="447"/>
      <c r="H25" s="447"/>
      <c r="I25" s="447"/>
    </row>
    <row r="26" spans="1:9" s="199" customFormat="1" ht="28" x14ac:dyDescent="0.15">
      <c r="A26" s="214" t="s">
        <v>131</v>
      </c>
      <c r="B26" s="215" t="s">
        <v>134</v>
      </c>
    </row>
    <row r="27" spans="1:9" s="199" customFormat="1" ht="15.75" customHeight="1" x14ac:dyDescent="0.15">
      <c r="A27" s="216">
        <f>B21-(SUM('Peanut Price Calculator'!A23:A25))</f>
        <v>1400</v>
      </c>
      <c r="B27" s="229">
        <v>400</v>
      </c>
      <c r="D27" s="444" t="s">
        <v>151</v>
      </c>
      <c r="E27" s="444"/>
      <c r="F27" s="444"/>
      <c r="G27" s="444"/>
      <c r="H27" s="444"/>
      <c r="I27" s="444"/>
    </row>
    <row r="28" spans="1:9" s="199" customFormat="1" ht="14" x14ac:dyDescent="0.15">
      <c r="A28" s="218" t="s">
        <v>136</v>
      </c>
      <c r="B28" s="219">
        <f>(A23/(SUM(A23:A25,A27:A27))*B23+A24/(SUM(A23:A25,A27:A27))*B24+A25/(SUM(A23:A25,A27:A27))*B25+A27/(SUM(A23:A25,A27:A27))*B27)</f>
        <v>400</v>
      </c>
      <c r="D28" s="444"/>
      <c r="E28" s="444"/>
      <c r="F28" s="444"/>
      <c r="G28" s="444"/>
      <c r="H28" s="444"/>
      <c r="I28" s="444"/>
    </row>
    <row r="29" spans="1:9" s="199" customFormat="1" x14ac:dyDescent="0.15"/>
    <row r="30" spans="1:9" s="199" customFormat="1" x14ac:dyDescent="0.15"/>
    <row r="31" spans="1:9" s="199" customFormat="1" x14ac:dyDescent="0.15"/>
    <row r="32" spans="1:9" s="199" customFormat="1" x14ac:dyDescent="0.15"/>
    <row r="33" s="199" customFormat="1" x14ac:dyDescent="0.15"/>
    <row r="34" s="199" customFormat="1" x14ac:dyDescent="0.15"/>
    <row r="35" s="199" customFormat="1" x14ac:dyDescent="0.15"/>
    <row r="36" s="199" customFormat="1" x14ac:dyDescent="0.15"/>
    <row r="37" s="199" customFormat="1" x14ac:dyDescent="0.15"/>
    <row r="38" s="199" customFormat="1" x14ac:dyDescent="0.15"/>
    <row r="39" s="199" customFormat="1" x14ac:dyDescent="0.15"/>
    <row r="40" s="199" customFormat="1" x14ac:dyDescent="0.15"/>
    <row r="41" s="199" customFormat="1" x14ac:dyDescent="0.15"/>
    <row r="42" s="199" customFormat="1" x14ac:dyDescent="0.15"/>
    <row r="43" s="199" customFormat="1" x14ac:dyDescent="0.15"/>
    <row r="44" s="199" customFormat="1" x14ac:dyDescent="0.15"/>
    <row r="45" s="199" customFormat="1" x14ac:dyDescent="0.15"/>
    <row r="46" s="199" customFormat="1" x14ac:dyDescent="0.15"/>
    <row r="47" s="199" customFormat="1" x14ac:dyDescent="0.15"/>
    <row r="48" s="199" customFormat="1" x14ac:dyDescent="0.15"/>
    <row r="49" s="199" customFormat="1" x14ac:dyDescent="0.15"/>
    <row r="50" s="199" customFormat="1" x14ac:dyDescent="0.15"/>
    <row r="51" s="199" customFormat="1" x14ac:dyDescent="0.15"/>
    <row r="52" s="199" customFormat="1" x14ac:dyDescent="0.15"/>
    <row r="53" s="199" customFormat="1" x14ac:dyDescent="0.15"/>
    <row r="54" s="199" customFormat="1" x14ac:dyDescent="0.15"/>
    <row r="55" s="199" customFormat="1" x14ac:dyDescent="0.15"/>
    <row r="56" s="199" customFormat="1" x14ac:dyDescent="0.15"/>
    <row r="57" s="199" customFormat="1" x14ac:dyDescent="0.15"/>
    <row r="58" s="199" customFormat="1" x14ac:dyDescent="0.15"/>
    <row r="59" s="199" customFormat="1" x14ac:dyDescent="0.15"/>
    <row r="60" s="199" customFormat="1" x14ac:dyDescent="0.15"/>
    <row r="61" s="199" customFormat="1" x14ac:dyDescent="0.15"/>
    <row r="62" s="199" customFormat="1" x14ac:dyDescent="0.15"/>
    <row r="63" s="199" customFormat="1" x14ac:dyDescent="0.15"/>
    <row r="64" s="199" customFormat="1" x14ac:dyDescent="0.1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 and A.N. Rabinowitz, 
UGA Extension Economists&amp;C&amp;G&amp;RAg and Applied Economics, 4/2018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6"/>
  <sheetViews>
    <sheetView zoomScale="150" zoomScaleNormal="150" zoomScalePageLayoutView="150" workbookViewId="0">
      <selection sqref="A1:I1"/>
    </sheetView>
  </sheetViews>
  <sheetFormatPr baseColWidth="10" defaultColWidth="8.83203125" defaultRowHeight="14" x14ac:dyDescent="0.2"/>
  <cols>
    <col min="1" max="1" width="7.33203125" style="101" customWidth="1"/>
    <col min="2" max="2" width="15.6640625" style="101" bestFit="1" customWidth="1"/>
    <col min="3" max="3" width="6.33203125" style="101" customWidth="1"/>
    <col min="4" max="4" width="15.83203125" style="101" bestFit="1" customWidth="1"/>
    <col min="5" max="5" width="6.33203125" style="101" customWidth="1"/>
    <col min="6" max="6" width="14" style="101" bestFit="1" customWidth="1"/>
    <col min="7" max="7" width="7" style="101" customWidth="1"/>
    <col min="8" max="8" width="15.83203125" style="101" bestFit="1" customWidth="1"/>
    <col min="9" max="9" width="8.5" style="101" customWidth="1"/>
    <col min="10" max="21" width="8.83203125" style="177" customWidth="1"/>
    <col min="22" max="16384" width="8.83203125" style="101"/>
  </cols>
  <sheetData>
    <row r="1" spans="1:21" ht="30" customHeight="1" x14ac:dyDescent="0.2">
      <c r="A1" s="449" t="s">
        <v>118</v>
      </c>
      <c r="B1" s="450"/>
      <c r="C1" s="450"/>
      <c r="D1" s="450"/>
      <c r="E1" s="450"/>
      <c r="F1" s="450"/>
      <c r="G1" s="450"/>
      <c r="H1" s="450"/>
      <c r="I1" s="451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2" t="s">
        <v>117</v>
      </c>
      <c r="B2" s="453"/>
      <c r="C2" s="453"/>
      <c r="D2" s="453"/>
      <c r="E2" s="453"/>
      <c r="F2" s="453"/>
      <c r="G2" s="453"/>
      <c r="H2" s="453"/>
      <c r="I2" s="454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5" thickBot="1" x14ac:dyDescent="0.2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5" thickBot="1" x14ac:dyDescent="0.2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5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49" t="s">
        <v>119</v>
      </c>
      <c r="B11" s="450"/>
      <c r="C11" s="450"/>
      <c r="D11" s="450"/>
      <c r="E11" s="450"/>
      <c r="F11" s="450"/>
      <c r="G11" s="450"/>
      <c r="H11" s="450"/>
      <c r="I11" s="451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2" t="s">
        <v>117</v>
      </c>
      <c r="B12" s="453"/>
      <c r="C12" s="453"/>
      <c r="D12" s="453"/>
      <c r="E12" s="453"/>
      <c r="F12" s="453"/>
      <c r="G12" s="453"/>
      <c r="H12" s="453"/>
      <c r="I12" s="454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5" thickBot="1" x14ac:dyDescent="0.2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5" thickBot="1" x14ac:dyDescent="0.2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zoomScale="120" zoomScaleNormal="120" zoomScaleSheetLayoutView="100" zoomScalePageLayoutView="120" workbookViewId="0">
      <selection activeCell="B32" sqref="B32:I32"/>
    </sheetView>
  </sheetViews>
  <sheetFormatPr baseColWidth="10" defaultColWidth="8.83203125" defaultRowHeight="14" x14ac:dyDescent="0.2"/>
  <cols>
    <col min="1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",Conventional!$D$7," lbs. and irrigated cotton yield is ",Conventional!$B$7,"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104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",Conventional!$F$7," bu. and irrigated cotton yield is ",Conventional!$B$7,"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104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",Conventional!$H$7," bu. and irrigated cotton yield is ",Conventional!$B$7,"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104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",Conventional!$B$7," lbs. and irrigated peanut yield is ",Conventional!$D$7,"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104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",Conventional!$F$7," bu. and irrigated peanut yield is ",Conventional!$D$7,"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",Conventional!$H$7," bu. and irrigated peanut yield is ",Conventional!$D$7,"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104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",Conventional!$B$7," lbs. and irrigated corn yield is ",Conventional!$F$7,"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104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",Conventional!$D$7," lbs. and irrigated corn yield is ",Conventional!$F$7,"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104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",Conventional!$H$7," bu. and irrigated corn yield is ",Conventional!$F$7,"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104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",Conventional!$B$7," lbs. and irrigated soybean yield is ",Conventional!$H$7,"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104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",Conventional!$D$7," lbs. and irrigated soybean yield is ",Conventional!$H$7,"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104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",Conventional!$F$7," bu. and irrigated soybean yield is ",Conventional!$H$7,"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104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Smith, A.N. Rabinowitz and Yangxuan Liu&amp;RAg and Applied Economics, 12/2018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/>
  </sheetViews>
  <sheetFormatPr baseColWidth="10" defaultColWidth="8.83203125" defaultRowHeight="14" x14ac:dyDescent="0.2"/>
  <cols>
    <col min="1" max="1" width="8.83203125" style="100"/>
    <col min="2" max="2" width="8.83203125" style="174"/>
    <col min="3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",'Strip-Till'!$D$7," lbs. and irrigated cotton yield is ",'Strip-Till'!B7,"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103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",'Strip-Till'!F7," bu. and irrigated cotton yield is ",'Strip-Till'!B7,"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",'Strip-Till'!P7," bu. and non-irrigated cotton yield is ",'Strip-Till'!L7,"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103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",'Strip-Till'!H7," bu. and irrigated cotton yield is ",'Strip-Till'!B7,"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103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",'Strip-Till'!B7," lbs. and irrigated peanut yield is ",'Strip-Till'!D7,"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103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",'Strip-Till'!$F$7," bu. and irrigated peanut yield is ",'Strip-Till'!$D$7,"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",'Strip-Till'!$H$7," bu. and irrigated peanut yield is ",'Strip-Till'!$D$7,"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103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",'Strip-Till'!$B$7," lbs. and irrigated corn yield is ",'Strip-Till'!$F$7,"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103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",'Strip-Till'!$D$7," lbs. and irrigated corn yield is ",'Strip-Till'!$F$7,"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103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",'Strip-Till'!$H$7," bu. and irrigated corn yield is ",'Strip-Till'!$F$7,"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103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",'Strip-Till'!$B$7," lbs. and irrigated soybean yield is ",'Strip-Till'!$H$7,"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103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",'Strip-Till'!$D$7," lbs. and irrigated soybean yield is ",'Strip-Till'!$H$7,"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103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",'Strip-Till'!$F$7," bu. and irrigated soybean yield is ",'Strip-Till'!$H$7,"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103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Smith, A.N. Rabinowitz and Yangxuan Liu&amp;RAg and Applied Economics,12/2018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8" width="9.33203125" style="75" customWidth="1"/>
    <col min="9" max="16384" width="9.33203125" style="75"/>
  </cols>
  <sheetData>
    <row r="1" spans="1:13" s="62" customFormat="1" ht="12" hidden="1" x14ac:dyDescent="0.15">
      <c r="A1" s="61"/>
      <c r="B1" s="462" t="s">
        <v>45</v>
      </c>
      <c r="C1" s="462"/>
      <c r="D1" s="462"/>
      <c r="E1" s="462"/>
      <c r="F1" s="462"/>
      <c r="G1" s="462"/>
      <c r="H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15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15">
      <c r="A4" s="62" t="s">
        <v>42</v>
      </c>
      <c r="B4" s="67">
        <f>Conventional!B8</f>
        <v>0.56999999999999995</v>
      </c>
      <c r="C4" s="68">
        <f>Conventional!D8</f>
        <v>400</v>
      </c>
      <c r="D4" s="69">
        <f>Conventional!F8</f>
        <v>4.1500000000000004</v>
      </c>
      <c r="E4" s="69">
        <f>Conventional!H8</f>
        <v>8.25</v>
      </c>
      <c r="F4" s="69">
        <f>Conventional!J8</f>
        <v>3.7350000000000003</v>
      </c>
      <c r="G4" s="69">
        <f>Conventional!V8</f>
        <v>5.5</v>
      </c>
      <c r="H4" s="69"/>
    </row>
    <row r="5" spans="1:13" s="62" customFormat="1" ht="12" hidden="1" x14ac:dyDescent="0.15">
      <c r="A5" s="70" t="s">
        <v>44</v>
      </c>
      <c r="B5" s="71">
        <f>B3*B4</f>
        <v>683.99999999999989</v>
      </c>
      <c r="C5" s="71">
        <f>C3*C4/2000</f>
        <v>940</v>
      </c>
      <c r="D5" s="71">
        <f>D3*D4</f>
        <v>830.00000000000011</v>
      </c>
      <c r="E5" s="71">
        <f>E3*E4</f>
        <v>495</v>
      </c>
      <c r="F5" s="71">
        <f>F3*F4</f>
        <v>373.50000000000006</v>
      </c>
      <c r="G5" s="71">
        <f>G3*G4</f>
        <v>412.5</v>
      </c>
      <c r="H5" s="72"/>
    </row>
    <row r="6" spans="1:13" s="62" customFormat="1" ht="12" hidden="1" x14ac:dyDescent="0.15">
      <c r="A6" s="70" t="s">
        <v>43</v>
      </c>
      <c r="B6" s="73">
        <f>Conventional!B30</f>
        <v>555.13209527272716</v>
      </c>
      <c r="C6" s="73">
        <f>Conventional!D30</f>
        <v>681.99353999999994</v>
      </c>
      <c r="D6" s="73">
        <f>Conventional!F30</f>
        <v>596.42552000000001</v>
      </c>
      <c r="E6" s="73">
        <f>Conventional!H30</f>
        <v>278.49568479999994</v>
      </c>
      <c r="F6" s="73">
        <f>Conventional!J30</f>
        <v>322.54136</v>
      </c>
      <c r="G6" s="73">
        <f>Conventional!V30</f>
        <v>264.39682850000003</v>
      </c>
      <c r="H6" s="68"/>
    </row>
    <row r="7" spans="1:13" s="62" customFormat="1" ht="16" x14ac:dyDescent="0.2">
      <c r="A7" s="463" t="s">
        <v>127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4" t="s">
        <v>153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spans="1:13" x14ac:dyDescent="0.15">
      <c r="A10" s="458" t="s">
        <v>47</v>
      </c>
      <c r="B10" s="458"/>
      <c r="C10" s="458"/>
      <c r="D10" s="458"/>
      <c r="E10" s="458"/>
      <c r="F10" s="458"/>
      <c r="H10" s="458" t="s">
        <v>50</v>
      </c>
      <c r="I10" s="458"/>
      <c r="J10" s="458"/>
      <c r="K10" s="458"/>
      <c r="L10" s="458"/>
      <c r="M10" s="458"/>
    </row>
    <row r="11" spans="1:13" s="62" customFormat="1" ht="12" x14ac:dyDescent="0.15">
      <c r="A11" s="457" t="s">
        <v>36</v>
      </c>
      <c r="B11" s="457"/>
      <c r="C11" s="457"/>
      <c r="D11" s="457"/>
      <c r="E11" s="457"/>
      <c r="F11" s="457"/>
      <c r="H11" s="461" t="s">
        <v>36</v>
      </c>
      <c r="I11" s="461"/>
      <c r="J11" s="461"/>
      <c r="K11" s="461"/>
      <c r="L11" s="461"/>
      <c r="M11" s="461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A16*0.7</f>
        <v>2.9050000000000002</v>
      </c>
      <c r="B14" s="85">
        <f>$A$14*B$13-$D$6</f>
        <v>-160.67551999999995</v>
      </c>
      <c r="C14" s="85">
        <f>$A$14*C$13-$D$6</f>
        <v>-73.525519999999915</v>
      </c>
      <c r="D14" s="85">
        <f>$A$14*D$13-$D$6</f>
        <v>-15.425520000000006</v>
      </c>
      <c r="E14" s="85">
        <f>$A$14*E$13-$D$6</f>
        <v>42.674480000000131</v>
      </c>
      <c r="F14" s="85">
        <f>$A$14*F$13-$D$6</f>
        <v>129.82448000000011</v>
      </c>
      <c r="H14" s="84">
        <f>H16*0.7</f>
        <v>0.39899999999999997</v>
      </c>
      <c r="I14" s="87">
        <f>$H$14*$I$13-$B$6</f>
        <v>-196.03209527272719</v>
      </c>
      <c r="J14" s="87">
        <f>$H$14*J13-$B$6</f>
        <v>-124.2120952727272</v>
      </c>
      <c r="K14" s="87">
        <f>$H$14*K13-$B$6</f>
        <v>-76.332095272727202</v>
      </c>
      <c r="L14" s="87">
        <f>$H$14*L13-$B$6</f>
        <v>-28.452095272727206</v>
      </c>
      <c r="M14" s="87">
        <f>$H$14*M13-$B$6</f>
        <v>43.367904727272844</v>
      </c>
    </row>
    <row r="15" spans="1:13" x14ac:dyDescent="0.15">
      <c r="A15" s="86">
        <f>A16*0.85</f>
        <v>3.5275000000000003</v>
      </c>
      <c r="B15" s="87">
        <f>$A$15*B$13-$D$6</f>
        <v>-67.300520000000006</v>
      </c>
      <c r="C15" s="87">
        <f>$A$15*C$13-$D$6</f>
        <v>38.52448000000004</v>
      </c>
      <c r="D15" s="87">
        <f>$A$15*D$13-$D$6</f>
        <v>109.07448000000011</v>
      </c>
      <c r="E15" s="87">
        <f>$A$15*E$13-$D$6</f>
        <v>179.62448000000018</v>
      </c>
      <c r="F15" s="87">
        <f>$A$15*F$13-$D$6</f>
        <v>285.44948000000011</v>
      </c>
      <c r="H15" s="86">
        <f>H16*0.85</f>
        <v>0.48449999999999993</v>
      </c>
      <c r="I15" s="87">
        <f>$H$15*$I$13-$B$6</f>
        <v>-119.0820952727272</v>
      </c>
      <c r="J15" s="87">
        <f>$H$15*J13-$B$6</f>
        <v>-31.872095272727279</v>
      </c>
      <c r="K15" s="87">
        <f>$H$15*K13-$B$6</f>
        <v>26.267904727272708</v>
      </c>
      <c r="L15" s="87">
        <f>$H$15*L13-$B$6</f>
        <v>84.407904727272808</v>
      </c>
      <c r="M15" s="87">
        <f>$H$15*M13-$B$6</f>
        <v>171.61790472727273</v>
      </c>
    </row>
    <row r="16" spans="1:13" x14ac:dyDescent="0.15">
      <c r="A16" s="86">
        <f>D4</f>
        <v>4.1500000000000004</v>
      </c>
      <c r="B16" s="87">
        <f>$A$16*B$13-$D$6</f>
        <v>26.074479999999994</v>
      </c>
      <c r="C16" s="87">
        <f>$A$16*C$13-$D$6</f>
        <v>150.57448000000011</v>
      </c>
      <c r="D16" s="87">
        <f>$A$16*D$13-$D$6</f>
        <v>233.57448000000011</v>
      </c>
      <c r="E16" s="87">
        <f>$A$16*E$13-$D$6</f>
        <v>316.57448000000022</v>
      </c>
      <c r="F16" s="87">
        <f>$A$16*F$13-$D$6</f>
        <v>441.07447999999999</v>
      </c>
      <c r="H16" s="86">
        <f>B4</f>
        <v>0.56999999999999995</v>
      </c>
      <c r="I16" s="87">
        <f>$H$16*$I$13-$B$6</f>
        <v>-42.132095272727156</v>
      </c>
      <c r="J16" s="87">
        <f>$H$16*J13-$B$6</f>
        <v>60.467904727272753</v>
      </c>
      <c r="K16" s="87">
        <f>$H$16*K13-$B$6</f>
        <v>128.86790472727273</v>
      </c>
      <c r="L16" s="87">
        <f>$H$16*L13-$B$6</f>
        <v>197.26790472727282</v>
      </c>
      <c r="M16" s="87">
        <f>$H$16*M13-$B$6</f>
        <v>299.86790472727273</v>
      </c>
    </row>
    <row r="17" spans="1:13" x14ac:dyDescent="0.15">
      <c r="A17" s="86">
        <f>A16*1.15</f>
        <v>4.7725</v>
      </c>
      <c r="B17" s="87">
        <f>$A$17*B$13-$D$6</f>
        <v>119.44947999999999</v>
      </c>
      <c r="C17" s="87">
        <f>$A$17*C$13-$D$6</f>
        <v>262.62447999999995</v>
      </c>
      <c r="D17" s="87">
        <f>$A$17*D$13-$D$6</f>
        <v>358.07447999999999</v>
      </c>
      <c r="E17" s="87">
        <f>$A$17*E$13-$D$6</f>
        <v>453.52448000000004</v>
      </c>
      <c r="F17" s="87">
        <f>$A$17*F$13-$D$6</f>
        <v>596.69947999999999</v>
      </c>
      <c r="H17" s="86">
        <f>H16*1.15</f>
        <v>0.65549999999999986</v>
      </c>
      <c r="I17" s="87">
        <f>$H$17*$I$13-$B$6</f>
        <v>34.817904727272662</v>
      </c>
      <c r="J17" s="87">
        <f>$H$17*J13-$B$6</f>
        <v>152.80790472727267</v>
      </c>
      <c r="K17" s="87">
        <f>$H$17*K13-$B$6</f>
        <v>231.46790472727264</v>
      </c>
      <c r="L17" s="87">
        <f>$H$17*L13-$B$6</f>
        <v>310.12790472727261</v>
      </c>
      <c r="M17" s="87">
        <f>$H$17*M13-$B$6</f>
        <v>428.11790472727262</v>
      </c>
    </row>
    <row r="18" spans="1:13" x14ac:dyDescent="0.15">
      <c r="A18" s="88">
        <f>A16*1.3</f>
        <v>5.3950000000000005</v>
      </c>
      <c r="B18" s="89">
        <f>$A$18*B$13-$D$6</f>
        <v>212.82448000000011</v>
      </c>
      <c r="C18" s="89">
        <f>$A$18*C$13-$D$6</f>
        <v>374.67448000000013</v>
      </c>
      <c r="D18" s="89">
        <f>$A$18*D$13-$D$6</f>
        <v>482.57447999999999</v>
      </c>
      <c r="E18" s="89">
        <f>$A$18*E$13-$D$6</f>
        <v>590.47448000000031</v>
      </c>
      <c r="F18" s="89">
        <f>$A$18*F$13-$D$6</f>
        <v>752.32448000000022</v>
      </c>
      <c r="H18" s="88">
        <f>H16*1.3</f>
        <v>0.74099999999999999</v>
      </c>
      <c r="I18" s="89">
        <f>$H$18*$I$13-$B$6</f>
        <v>111.76790472727282</v>
      </c>
      <c r="J18" s="89">
        <f>$H$18*J13-$B$6</f>
        <v>245.14790472727282</v>
      </c>
      <c r="K18" s="89">
        <f>$H$18*K13-$B$6</f>
        <v>334.06790472727289</v>
      </c>
      <c r="L18" s="89">
        <f>$H$18*L13-$B$6</f>
        <v>422.98790472727285</v>
      </c>
      <c r="M18" s="89">
        <f>$H$18*M13-$B$6</f>
        <v>556.36790472727284</v>
      </c>
    </row>
    <row r="20" spans="1:13" x14ac:dyDescent="0.15">
      <c r="A20" s="458" t="s">
        <v>48</v>
      </c>
      <c r="B20" s="458"/>
      <c r="C20" s="458"/>
      <c r="D20" s="458"/>
      <c r="E20" s="458"/>
      <c r="F20" s="458"/>
      <c r="H20" s="459" t="s">
        <v>120</v>
      </c>
      <c r="I20" s="459"/>
      <c r="J20" s="459"/>
      <c r="K20" s="459"/>
      <c r="L20" s="459"/>
      <c r="M20" s="459"/>
    </row>
    <row r="21" spans="1:13" s="62" customFormat="1" ht="12" x14ac:dyDescent="0.15">
      <c r="A21" s="457" t="s">
        <v>36</v>
      </c>
      <c r="B21" s="457"/>
      <c r="C21" s="457"/>
      <c r="D21" s="457"/>
      <c r="E21" s="457"/>
      <c r="F21" s="457"/>
      <c r="H21" s="460" t="s">
        <v>36</v>
      </c>
      <c r="I21" s="460"/>
      <c r="J21" s="460"/>
      <c r="K21" s="460"/>
      <c r="L21" s="460"/>
      <c r="M21" s="460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A26*0.7</f>
        <v>2.6145</v>
      </c>
      <c r="B24" s="85">
        <f>$A$24*B$23-$F$6</f>
        <v>-126.45385999999999</v>
      </c>
      <c r="C24" s="85">
        <f>$A$24*C$23-$F$6</f>
        <v>-87.236359999999991</v>
      </c>
      <c r="D24" s="85">
        <f>$A$24*D$23-$F$6</f>
        <v>-61.091360000000009</v>
      </c>
      <c r="E24" s="85">
        <f>$A$24*E$23-$F$6</f>
        <v>-34.94635999999997</v>
      </c>
      <c r="F24" s="85">
        <f>$A$24*F$23-$F$6</f>
        <v>4.2711400000000026</v>
      </c>
      <c r="H24" s="90">
        <f>H26*0.7</f>
        <v>280</v>
      </c>
      <c r="I24" s="85">
        <f>$H$24*I$23/2000-$C$6</f>
        <v>-188.49353999999994</v>
      </c>
      <c r="J24" s="85">
        <f>$H$24*J$23/2000-$C$6</f>
        <v>-89.793539999999894</v>
      </c>
      <c r="K24" s="85">
        <f>$H$24*K$23/2000-$C$6</f>
        <v>-23.993539999999939</v>
      </c>
      <c r="L24" s="85">
        <f>$H$24*L$23/2000-$C$6</f>
        <v>41.806460000000015</v>
      </c>
      <c r="M24" s="85">
        <f>$H$24*M$23/2000-$C$6</f>
        <v>140.50646000000006</v>
      </c>
    </row>
    <row r="25" spans="1:13" x14ac:dyDescent="0.15">
      <c r="A25" s="86">
        <f>A26*0.85</f>
        <v>3.1747500000000004</v>
      </c>
      <c r="B25" s="87">
        <f>$A$25*B$23-$F$6</f>
        <v>-84.43510999999998</v>
      </c>
      <c r="C25" s="87">
        <f>$A$25*C$23-$F$6</f>
        <v>-36.813859999999977</v>
      </c>
      <c r="D25" s="87">
        <f>$A$25*D$23-$F$6</f>
        <v>-5.0663599999999747</v>
      </c>
      <c r="E25" s="87">
        <f>$A$25*E$23-$F$6</f>
        <v>26.681140000000084</v>
      </c>
      <c r="F25" s="87">
        <f>$A$25*F$23-$F$6</f>
        <v>74.302390000000059</v>
      </c>
      <c r="H25" s="91">
        <f>H26*0.85</f>
        <v>340</v>
      </c>
      <c r="I25" s="87">
        <f>$H$25*I$23/2000-$C$6</f>
        <v>-82.743539999999939</v>
      </c>
      <c r="J25" s="87">
        <f>$H$25*J$23/2000-$C$6</f>
        <v>37.106460000000084</v>
      </c>
      <c r="K25" s="87">
        <f>$H$25*K$23/2000-$C$6</f>
        <v>117.00646000000006</v>
      </c>
      <c r="L25" s="87">
        <f>$H$25*L$23/2000-$C$6</f>
        <v>196.90646000000004</v>
      </c>
      <c r="M25" s="87">
        <f>$H$25*M$23/2000-$C$6</f>
        <v>316.75646000000006</v>
      </c>
    </row>
    <row r="26" spans="1:13" x14ac:dyDescent="0.15">
      <c r="A26" s="86">
        <f>F4</f>
        <v>3.7350000000000003</v>
      </c>
      <c r="B26" s="87">
        <f>$A$26*B$23-$F$6</f>
        <v>-42.416359999999997</v>
      </c>
      <c r="C26" s="87">
        <f>$A$26*C$23-$F$6</f>
        <v>13.608640000000037</v>
      </c>
      <c r="D26" s="87">
        <f>$A$26*D$23-$F$6</f>
        <v>50.958640000000059</v>
      </c>
      <c r="E26" s="87">
        <f>$A$26*E$23-$F$6</f>
        <v>88.308640000000082</v>
      </c>
      <c r="F26" s="87">
        <f>$A$26*F$23-$F$6</f>
        <v>144.33364000000006</v>
      </c>
      <c r="H26" s="91">
        <f>C4</f>
        <v>400</v>
      </c>
      <c r="I26" s="87">
        <f>$H$26*I$23/2000-$C$6</f>
        <v>23.006460000000061</v>
      </c>
      <c r="J26" s="87">
        <f>$H$26*J$23/2000-$C$6</f>
        <v>164.00646000000006</v>
      </c>
      <c r="K26" s="87">
        <f>$H$26*K$23/2000-$C$6</f>
        <v>258.00646000000006</v>
      </c>
      <c r="L26" s="87">
        <f>$H$26*L$23/2000-$C$6</f>
        <v>352.00646000000006</v>
      </c>
      <c r="M26" s="87">
        <f>$H$26*M$23/2000-$C$6</f>
        <v>493.00646000000006</v>
      </c>
    </row>
    <row r="27" spans="1:13" x14ac:dyDescent="0.15">
      <c r="A27" s="86">
        <f>A26*1.15</f>
        <v>4.2952500000000002</v>
      </c>
      <c r="B27" s="87">
        <f>$A$27*B$23-$F$6</f>
        <v>-0.39760999999998603</v>
      </c>
      <c r="C27" s="87">
        <f>$A$27*C$23-$F$6</f>
        <v>64.03114000000005</v>
      </c>
      <c r="D27" s="87">
        <f>$A$27*D$23-$F$6</f>
        <v>106.98364000000004</v>
      </c>
      <c r="E27" s="87">
        <f>$A$27*E$23-$F$6</f>
        <v>149.93614000000008</v>
      </c>
      <c r="F27" s="87">
        <f>$A$27*F$23-$F$6</f>
        <v>214.36489</v>
      </c>
      <c r="H27" s="91">
        <f>H26*1.15</f>
        <v>459.99999999999994</v>
      </c>
      <c r="I27" s="87">
        <f>$H$27*I$23/2000-$C$6</f>
        <v>128.75645999999995</v>
      </c>
      <c r="J27" s="87">
        <f>$H$27*J$23/2000-$C$6</f>
        <v>290.90645999999992</v>
      </c>
      <c r="K27" s="87">
        <f>$H$27*K$23/2000-$C$6</f>
        <v>399.00645999999983</v>
      </c>
      <c r="L27" s="87">
        <f>$H$27*L$23/2000-$C$6</f>
        <v>507.10645999999974</v>
      </c>
      <c r="M27" s="87">
        <f>$H$27*M$23/2000-$C$6</f>
        <v>669.25645999999983</v>
      </c>
    </row>
    <row r="28" spans="1:13" x14ac:dyDescent="0.15">
      <c r="A28" s="88">
        <f>A26*1.3</f>
        <v>4.8555000000000001</v>
      </c>
      <c r="B28" s="89">
        <f>$A$28*B$23-$F$6</f>
        <v>41.621140000000025</v>
      </c>
      <c r="C28" s="89">
        <f>$A$28*C$23-$F$6</f>
        <v>114.45364000000001</v>
      </c>
      <c r="D28" s="89">
        <f>$A$28*D$23-$F$6</f>
        <v>163.00864000000001</v>
      </c>
      <c r="E28" s="89">
        <f>$A$28*E$23-$F$6</f>
        <v>211.56364000000013</v>
      </c>
      <c r="F28" s="89">
        <f>$A$28*F$23-$F$6</f>
        <v>284.39614</v>
      </c>
      <c r="H28" s="92">
        <f>H26*1.3</f>
        <v>520</v>
      </c>
      <c r="I28" s="89">
        <f>$H$28*I$23/2000-$C$6</f>
        <v>234.50646000000006</v>
      </c>
      <c r="J28" s="89">
        <f>$H$28*J$23/2000-$C$6</f>
        <v>417.80646000000002</v>
      </c>
      <c r="K28" s="89">
        <f>$H$28*K$23/2000-$C$6</f>
        <v>540.00646000000006</v>
      </c>
      <c r="L28" s="89">
        <f>$H$28*L$23/2000-$C$6</f>
        <v>662.20646000000011</v>
      </c>
      <c r="M28" s="89">
        <f>$H$28*M$23/2000-$C$6</f>
        <v>845.50646000000006</v>
      </c>
    </row>
    <row r="30" spans="1:13" x14ac:dyDescent="0.15">
      <c r="A30" s="458" t="s">
        <v>49</v>
      </c>
      <c r="B30" s="458"/>
      <c r="C30" s="458"/>
      <c r="D30" s="458"/>
      <c r="E30" s="458"/>
      <c r="F30" s="458"/>
      <c r="H30" s="458" t="s">
        <v>64</v>
      </c>
      <c r="I30" s="458"/>
      <c r="J30" s="458"/>
      <c r="K30" s="458"/>
      <c r="L30" s="458"/>
      <c r="M30" s="458"/>
    </row>
    <row r="31" spans="1:13" s="62" customFormat="1" ht="12" x14ac:dyDescent="0.15">
      <c r="A31" s="457" t="s">
        <v>36</v>
      </c>
      <c r="B31" s="457"/>
      <c r="C31" s="457"/>
      <c r="D31" s="457"/>
      <c r="E31" s="457"/>
      <c r="F31" s="457"/>
      <c r="H31" s="457" t="s">
        <v>36</v>
      </c>
      <c r="I31" s="457"/>
      <c r="J31" s="457"/>
      <c r="K31" s="457"/>
      <c r="L31" s="457"/>
      <c r="M31" s="457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15">
      <c r="A34" s="84">
        <f>A36*0.7</f>
        <v>5.7749999999999995</v>
      </c>
      <c r="B34" s="85">
        <f>$A$34*B$33-$E$6</f>
        <v>-18.620684799999935</v>
      </c>
      <c r="C34" s="85">
        <f>$A$34*C$33-$E$6</f>
        <v>33.35431520000003</v>
      </c>
      <c r="D34" s="85">
        <f>$A$34*D$33-$E$6</f>
        <v>68.004315200000008</v>
      </c>
      <c r="E34" s="85">
        <f>$A$34*E$33-$E$6</f>
        <v>102.65431520000004</v>
      </c>
      <c r="F34" s="85">
        <f>$A$34*F$33-$E$6</f>
        <v>154.62931520000001</v>
      </c>
      <c r="H34" s="84">
        <f>H36*0.7</f>
        <v>3.8499999999999996</v>
      </c>
      <c r="I34" s="85">
        <f>$H$34*I$33-$G$6</f>
        <v>-47.834328500000055</v>
      </c>
      <c r="J34" s="85">
        <f>$H$34*J$33-$G$6</f>
        <v>-4.5218285000000265</v>
      </c>
      <c r="K34" s="85">
        <f>$H$34*K$33-$G$6</f>
        <v>24.353171499999974</v>
      </c>
      <c r="L34" s="85">
        <f>$H$34*L$33-$G$6</f>
        <v>53.228171499999917</v>
      </c>
      <c r="M34" s="85">
        <f>$H$34*M$33-$G$6</f>
        <v>96.540671499999917</v>
      </c>
    </row>
    <row r="35" spans="1:13" x14ac:dyDescent="0.15">
      <c r="A35" s="86">
        <f>A36*0.85</f>
        <v>7.0125000000000002</v>
      </c>
      <c r="B35" s="87">
        <f>$A$35*B$33-$E$6</f>
        <v>37.066815200000065</v>
      </c>
      <c r="C35" s="87">
        <f>$A$35*C$33-$E$6</f>
        <v>100.17931520000008</v>
      </c>
      <c r="D35" s="87">
        <f>$A$35*D$33-$E$6</f>
        <v>142.25431520000006</v>
      </c>
      <c r="E35" s="87">
        <f>$A$35*E$33-$E$6</f>
        <v>184.32931520000005</v>
      </c>
      <c r="F35" s="87">
        <f>$A$35*F$33-$E$6</f>
        <v>247.44181520000006</v>
      </c>
      <c r="H35" s="86">
        <f>H36*0.85</f>
        <v>4.6749999999999998</v>
      </c>
      <c r="I35" s="87">
        <f>$H$35*I$33-$G$6</f>
        <v>-1.4280785000000265</v>
      </c>
      <c r="J35" s="87">
        <f>$H$35*J$33-$G$6</f>
        <v>51.165671499999974</v>
      </c>
      <c r="K35" s="87">
        <f>$H$35*K$33-$G$6</f>
        <v>86.228171499999974</v>
      </c>
      <c r="L35" s="87">
        <f>$H$35*L$33-$G$6</f>
        <v>121.29067149999997</v>
      </c>
      <c r="M35" s="87">
        <f>$H$35*M$33-$G$6</f>
        <v>173.88442149999997</v>
      </c>
    </row>
    <row r="36" spans="1:13" x14ac:dyDescent="0.15">
      <c r="A36" s="86">
        <f>E4</f>
        <v>8.25</v>
      </c>
      <c r="B36" s="87">
        <f>$A$36*B$33-$E$6</f>
        <v>92.754315200000065</v>
      </c>
      <c r="C36" s="87">
        <f>$A$36*C$33-$E$6</f>
        <v>167.00431520000006</v>
      </c>
      <c r="D36" s="87">
        <f>$A$36*D$33-$E$6</f>
        <v>216.50431520000006</v>
      </c>
      <c r="E36" s="87">
        <f>$A$36*E$33-$E$6</f>
        <v>266.00431520000006</v>
      </c>
      <c r="F36" s="87">
        <f>$A$36*F$33-$E$6</f>
        <v>340.25431520000006</v>
      </c>
      <c r="H36" s="86">
        <f>G4</f>
        <v>5.5</v>
      </c>
      <c r="I36" s="87">
        <f>$H$36*I$33-$G$6</f>
        <v>44.978171499999974</v>
      </c>
      <c r="J36" s="87">
        <f>$H$36*J$33-$G$6</f>
        <v>106.85317149999997</v>
      </c>
      <c r="K36" s="87">
        <f>$H$36*K$33-$G$6</f>
        <v>148.10317149999997</v>
      </c>
      <c r="L36" s="87">
        <f>$H$36*L$33-$G$6</f>
        <v>189.35317149999997</v>
      </c>
      <c r="M36" s="87">
        <f>$H$36*M$33-$G$6</f>
        <v>251.22817149999997</v>
      </c>
    </row>
    <row r="37" spans="1:13" x14ac:dyDescent="0.15">
      <c r="A37" s="86">
        <f>A36*1.15</f>
        <v>9.4874999999999989</v>
      </c>
      <c r="B37" s="87">
        <f>$A$37*B$33-$E$6</f>
        <v>148.44181520000001</v>
      </c>
      <c r="C37" s="87">
        <f>$A$37*C$33-$E$6</f>
        <v>233.8293152</v>
      </c>
      <c r="D37" s="87">
        <f>$A$37*D$33-$E$6</f>
        <v>290.75431519999995</v>
      </c>
      <c r="E37" s="87">
        <f>$A$37*E$33-$E$6</f>
        <v>347.67931520000002</v>
      </c>
      <c r="F37" s="87">
        <f>$A$37*F$33-$E$6</f>
        <v>433.06681519999995</v>
      </c>
      <c r="H37" s="86">
        <f>H36*1.15</f>
        <v>6.3249999999999993</v>
      </c>
      <c r="I37" s="87">
        <f>$H$37*I$33-$G$6</f>
        <v>91.384421499999917</v>
      </c>
      <c r="J37" s="87">
        <f>$H$37*J$33-$G$6</f>
        <v>162.54067149999992</v>
      </c>
      <c r="K37" s="87">
        <f>$H$37*K$33-$G$6</f>
        <v>209.97817149999992</v>
      </c>
      <c r="L37" s="87">
        <f>$H$37*L$33-$G$6</f>
        <v>257.41567149999986</v>
      </c>
      <c r="M37" s="87">
        <f>$H$37*M$33-$G$6</f>
        <v>328.57192149999986</v>
      </c>
    </row>
    <row r="38" spans="1:13" x14ac:dyDescent="0.15">
      <c r="A38" s="88">
        <f>A36*1.3</f>
        <v>10.725</v>
      </c>
      <c r="B38" s="89">
        <f>$A$38*B$33-$E$6</f>
        <v>204.12931520000006</v>
      </c>
      <c r="C38" s="89">
        <f>$A$38*C$33-$E$6</f>
        <v>300.65431520000004</v>
      </c>
      <c r="D38" s="89">
        <f>$A$38*D$33-$E$6</f>
        <v>365.00431520000006</v>
      </c>
      <c r="E38" s="89">
        <f>$A$38*E$33-$E$6</f>
        <v>429.35431520000009</v>
      </c>
      <c r="F38" s="89">
        <f>$A$38*F$33-$E$6</f>
        <v>525.87931520000006</v>
      </c>
      <c r="H38" s="88">
        <f>H36*1.3</f>
        <v>7.15</v>
      </c>
      <c r="I38" s="89">
        <f>$H$38*I$33-$G$6</f>
        <v>137.79067149999997</v>
      </c>
      <c r="J38" s="89">
        <f>$H$38*J$33-$G$6</f>
        <v>218.22817149999997</v>
      </c>
      <c r="K38" s="89">
        <f>$H$38*K$33-$G$6</f>
        <v>271.85317149999997</v>
      </c>
      <c r="L38" s="89">
        <f>$H$38*L$33-$G$6</f>
        <v>325.47817149999997</v>
      </c>
      <c r="M38" s="89">
        <f>$H$38*M$33-$G$6</f>
        <v>405.91567149999997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 Smith</cp:lastModifiedBy>
  <cp:lastPrinted>2019-03-04T16:28:48Z</cp:lastPrinted>
  <dcterms:created xsi:type="dcterms:W3CDTF">2007-11-26T00:37:18Z</dcterms:created>
  <dcterms:modified xsi:type="dcterms:W3CDTF">2020-04-17T19:49:23Z</dcterms:modified>
</cp:coreProperties>
</file>