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firstSheet="1" activeTab="1"/>
  </bookViews>
  <sheets>
    <sheet name="A" sheetId="1" r:id="rId1"/>
    <sheet name="Bud" sheetId="2" r:id="rId2"/>
    <sheet name="Yr1" sheetId="3" r:id="rId3"/>
    <sheet name="Yr2" sheetId="4" r:id="rId4"/>
    <sheet name="Yr3" sheetId="5" r:id="rId5"/>
    <sheet name="Chem" sheetId="6" r:id="rId6"/>
    <sheet name="Mach" sheetId="7" r:id="rId7"/>
    <sheet name="FxdCost" sheetId="8" r:id="rId8"/>
    <sheet name="Drip" sheetId="9" r:id="rId9"/>
    <sheet name="SSet" sheetId="10" r:id="rId10"/>
    <sheet name="Returns" sheetId="11" r:id="rId11"/>
    <sheet name="Instructions" sheetId="12" r:id="rId12"/>
    <sheet name="M" sheetId="13" r:id="rId13"/>
    <sheet name="N" sheetId="14" r:id="rId14"/>
  </sheets>
  <externalReferences>
    <externalReference r:id="rId17"/>
    <externalReference r:id="rId18"/>
  </externalReferences>
  <definedNames>
    <definedName name="\AUTOEXEC">'Bud'!$U$141:$U$143</definedName>
    <definedName name="\C">'Bud'!$I$143:$I$183</definedName>
    <definedName name="\FLOW">'N'!$E$1:$E$4</definedName>
    <definedName name="\T">'Bud'!$C$143:$C$183</definedName>
    <definedName name="\TOTAL">'N'!$B$1:$B$4</definedName>
    <definedName name="\V">'Bud'!$O$141:$O$181</definedName>
    <definedName name="\VARIABLE">'N'!$H$1:$H$4</definedName>
    <definedName name="\X">'Bud'!$F$143:$F$183</definedName>
    <definedName name="\Y">'Bud'!$L$142:$L$182</definedName>
    <definedName name="\Z">'Bud'!$R$141:$R$181</definedName>
    <definedName name="ENR">'Bud'!$O$97:$O$97</definedName>
    <definedName name="ENR_MNR">'Bud'!$O$97:$O$97</definedName>
    <definedName name="ETR">'Bud'!$M$96:$M$96</definedName>
    <definedName name="EXPP">'Bud'!$O$78:$O$78</definedName>
    <definedName name="EXPY">'Bud'!$M$78:$M$78</definedName>
    <definedName name="MEDP">'Bud'!$G$20:$G$20</definedName>
    <definedName name="MEDY">'Bud'!$G$19:$G$19</definedName>
    <definedName name="MNR">'Bud'!$M$98:$M$98</definedName>
    <definedName name="MTC">'Bud'!$O$96:$O$96</definedName>
    <definedName name="MTCV">'Bud'!$O$96:$O$96</definedName>
    <definedName name="MTR">'Bud'!$M$97:$M$97</definedName>
    <definedName name="STRHH">'Bud'!$M$92:$M$92</definedName>
    <definedName name="STRHL">'Bud'!$M$93:$M$93</definedName>
    <definedName name="STRLH">'Bud'!$O$93:$O$93</definedName>
    <definedName name="STRLL">'Bud'!$O$92:$O$92</definedName>
    <definedName name="STRO">'Bud'!$M$94:$M$94</definedName>
    <definedName name="STRP">'Bud'!$O$94:$O$94</definedName>
    <definedName name="UNIT">'Bud'!$I$14:$I$14</definedName>
    <definedName name="UNITCOST">'Bud'!$I$60:$I$60</definedName>
  </definedNames>
  <calcPr fullCalcOnLoad="1"/>
</workbook>
</file>

<file path=xl/sharedStrings.xml><?xml version="1.0" encoding="utf-8"?>
<sst xmlns="http://schemas.openxmlformats.org/spreadsheetml/2006/main" count="1023" uniqueCount="376">
  <si>
    <t/>
  </si>
  <si>
    <t>-</t>
  </si>
  <si>
    <t xml:space="preserve"> </t>
  </si>
  <si>
    <t xml:space="preserve">  </t>
  </si>
  <si>
    <t xml:space="preserve">                                                            </t>
  </si>
  <si>
    <t xml:space="preserve">          RISK RATED RETURNS OVER TOTAL COSTS</t>
  </si>
  <si>
    <t xml:space="preserve">         BASE BUDGETED NET REVENUE =</t>
  </si>
  <si>
    <t xml:space="preserve">        *Number of acres =</t>
  </si>
  <si>
    <t xml:space="preserve">    Must match budget Entries</t>
  </si>
  <si>
    <t xml:space="preserve">   Air Blast</t>
  </si>
  <si>
    <t xml:space="preserve">   Herbicide</t>
  </si>
  <si>
    <t xml:space="preserve">  ACRES</t>
  </si>
  <si>
    <t xml:space="preserve">  Best P</t>
  </si>
  <si>
    <t xml:space="preserve">  Best Y</t>
  </si>
  <si>
    <t xml:space="preserve">  Demand (standby charge) per YEAR</t>
  </si>
  <si>
    <t xml:space="preserve">  ENR</t>
  </si>
  <si>
    <t xml:space="preserve">  ENR-MNR</t>
  </si>
  <si>
    <t xml:space="preserve">  ETR</t>
  </si>
  <si>
    <t xml:space="preserve">  Exp. P</t>
  </si>
  <si>
    <t xml:space="preserve">  Exp. Y</t>
  </si>
  <si>
    <t xml:space="preserve">  Expected</t>
  </si>
  <si>
    <t xml:space="preserve">  H&amp;MC</t>
  </si>
  <si>
    <t xml:space="preserve">  Med. P</t>
  </si>
  <si>
    <t xml:space="preserve">  Med. Y</t>
  </si>
  <si>
    <t xml:space="preserve">  MNR</t>
  </si>
  <si>
    <t xml:space="preserve">  MP</t>
  </si>
  <si>
    <t xml:space="preserve">  MTC</t>
  </si>
  <si>
    <t xml:space="preserve">  MTR</t>
  </si>
  <si>
    <t xml:space="preserve">  MY</t>
  </si>
  <si>
    <t xml:space="preserve">  Opt. P</t>
  </si>
  <si>
    <t xml:space="preserve">  Opt. Y</t>
  </si>
  <si>
    <t xml:space="preserve">  Optimistic</t>
  </si>
  <si>
    <t xml:space="preserve">  Pess. P</t>
  </si>
  <si>
    <t xml:space="preserve">  Pess. Y</t>
  </si>
  <si>
    <t xml:space="preserve">  Pessimistic</t>
  </si>
  <si>
    <t xml:space="preserve">  Rate $ per KWH</t>
  </si>
  <si>
    <t xml:space="preserve">  SPO</t>
  </si>
  <si>
    <t xml:space="preserve">  SPP</t>
  </si>
  <si>
    <t xml:space="preserve">  STRHH</t>
  </si>
  <si>
    <t xml:space="preserve">  STRHL</t>
  </si>
  <si>
    <t xml:space="preserve">  STRLH</t>
  </si>
  <si>
    <t xml:space="preserve">  STRLL</t>
  </si>
  <si>
    <t xml:space="preserve">  STRO</t>
  </si>
  <si>
    <t xml:space="preserve">  STRP</t>
  </si>
  <si>
    <t xml:space="preserve">  SYO</t>
  </si>
  <si>
    <t xml:space="preserve">  SYP</t>
  </si>
  <si>
    <t xml:space="preserve">  T.C.</t>
  </si>
  <si>
    <t xml:space="preserve">  VPO</t>
  </si>
  <si>
    <t xml:space="preserve">  VPP</t>
  </si>
  <si>
    <t xml:space="preserve">  VTRHH</t>
  </si>
  <si>
    <t xml:space="preserve">  VTRHL</t>
  </si>
  <si>
    <t xml:space="preserve">  VTRLH</t>
  </si>
  <si>
    <t xml:space="preserve">  VTRLL</t>
  </si>
  <si>
    <t xml:space="preserve">  VYO</t>
  </si>
  <si>
    <t xml:space="preserve">  VYP</t>
  </si>
  <si>
    <t xml:space="preserve">  Worst P</t>
  </si>
  <si>
    <t xml:space="preserve">  Worst Y</t>
  </si>
  <si>
    <t xml:space="preserve"> Fuel</t>
  </si>
  <si>
    <t xml:space="preserve"> Haul</t>
  </si>
  <si>
    <t xml:space="preserve"> Item</t>
  </si>
  <si>
    <t xml:space="preserve"> Operation</t>
  </si>
  <si>
    <t xml:space="preserve"> per lb.</t>
  </si>
  <si>
    <t xml:space="preserve"> Repair &amp; maintenance</t>
  </si>
  <si>
    <t xml:space="preserve"> Repair &amp; Maintenance</t>
  </si>
  <si>
    <t xml:space="preserve"> Rotary Mower</t>
  </si>
  <si>
    <t xml:space="preserve"> Sprayer:</t>
  </si>
  <si>
    <t xml:space="preserve"> Type</t>
  </si>
  <si>
    <t xml:space="preserve"> VARIABLE </t>
  </si>
  <si>
    <t>$</t>
  </si>
  <si>
    <t>$Amt/ac</t>
  </si>
  <si>
    <t>%</t>
  </si>
  <si>
    <t>($)</t>
  </si>
  <si>
    <t>(continued on next page)</t>
  </si>
  <si>
    <t>(ft.)</t>
  </si>
  <si>
    <t>(Gal.)</t>
  </si>
  <si>
    <t>(Hr.)</t>
  </si>
  <si>
    <t>(mph)</t>
  </si>
  <si>
    <t>*</t>
  </si>
  <si>
    <t>* These prices are for new equipments.  Used equipments could be purchased.</t>
  </si>
  <si>
    <t>****</t>
  </si>
  <si>
    <t>*Price per lb.</t>
  </si>
  <si>
    <t>*Returns($)</t>
  </si>
  <si>
    <t>*Yield (lbs)</t>
  </si>
  <si>
    <t>:</t>
  </si>
  <si>
    <t>::</t>
  </si>
  <si>
    <t>{EditGoto Bud:a1}</t>
  </si>
  <si>
    <t>{PUTBLOCK "Cash Flow Budget",Bud:e14}</t>
  </si>
  <si>
    <t>{PUTBLOCK "FIXED COST",Bud:b53}</t>
  </si>
  <si>
    <t>{PUTBLOCK "FIXED OUTLAYS",Bud:b53}</t>
  </si>
  <si>
    <t>{PUTBLOCK "Total Cost Budget",Bud:e14}</t>
  </si>
  <si>
    <t>{PUTBLOCK "Total Fixed Costs",Bud:b59}</t>
  </si>
  <si>
    <t>{PUTBLOCK "Total Fixed Outlays",Bud:b59}</t>
  </si>
  <si>
    <t>{PUTBLOCK "Variable Cost Budget",Bud:e14}</t>
  </si>
  <si>
    <t>|</t>
  </si>
  <si>
    <t>Acre</t>
  </si>
  <si>
    <t>Acres</t>
  </si>
  <si>
    <t>ACRES</t>
  </si>
  <si>
    <t>AMOUNT</t>
  </si>
  <si>
    <t>Amt/Ac.</t>
  </si>
  <si>
    <t>ANNUAL ENERGY COST</t>
  </si>
  <si>
    <t>ANNUAL ENERGY COST PER ACRE</t>
  </si>
  <si>
    <t>ANNUAL FIXED COSTS PER ACRE</t>
  </si>
  <si>
    <t>ANNUAL PUMPING HOURS</t>
  </si>
  <si>
    <t>Appl</t>
  </si>
  <si>
    <t>Appl.</t>
  </si>
  <si>
    <t>BASED ON</t>
  </si>
  <si>
    <t>Best</t>
  </si>
  <si>
    <t>Break-Even (BE) Costs Per Lb.</t>
  </si>
  <si>
    <t>Budget</t>
  </si>
  <si>
    <t>Button /</t>
  </si>
  <si>
    <t>by</t>
  </si>
  <si>
    <t>Calculate</t>
  </si>
  <si>
    <t>Calculation of NR and for Z values</t>
  </si>
  <si>
    <t>Calculations</t>
  </si>
  <si>
    <t xml:space="preserve">CASH </t>
  </si>
  <si>
    <t>Chances</t>
  </si>
  <si>
    <t>CHANCES FOR PROFIT =</t>
  </si>
  <si>
    <t>Cleaning &amp; Drying</t>
  </si>
  <si>
    <t>COST</t>
  </si>
  <si>
    <t>Costs Per Lb.</t>
  </si>
  <si>
    <t>Deprec.</t>
  </si>
  <si>
    <t>DEPREC.</t>
  </si>
  <si>
    <t>DEPTH OF WELL IN FEET</t>
  </si>
  <si>
    <t>Dump wagon</t>
  </si>
  <si>
    <t>Effic.</t>
  </si>
  <si>
    <t>ELECTRICITY</t>
  </si>
  <si>
    <t>Equip.</t>
  </si>
  <si>
    <t>Expected</t>
  </si>
  <si>
    <t>EXPECTED</t>
  </si>
  <si>
    <t>EXPECTED RETURNS FROM TOTAL ACREAGE</t>
  </si>
  <si>
    <t>FC/Ac</t>
  </si>
  <si>
    <t>Fertilizer (10-10-10)</t>
  </si>
  <si>
    <t>Field</t>
  </si>
  <si>
    <t>FIXED COST</t>
  </si>
  <si>
    <t>FIXED COSTS</t>
  </si>
  <si>
    <t xml:space="preserve">Fixed costs                 </t>
  </si>
  <si>
    <t>FIXED COSTS per ACRE</t>
  </si>
  <si>
    <t>FLOW</t>
  </si>
  <si>
    <t>Foliar B</t>
  </si>
  <si>
    <t>Foliar Zn</t>
  </si>
  <si>
    <t>Fuel</t>
  </si>
  <si>
    <t>Fungicide</t>
  </si>
  <si>
    <t>Fungicides</t>
  </si>
  <si>
    <t>Gal.</t>
  </si>
  <si>
    <t>General Overhead</t>
  </si>
  <si>
    <t>Harvest</t>
  </si>
  <si>
    <t>Harvest &amp; marketing cost per lb.</t>
  </si>
  <si>
    <t>Harvest and Marketing Costs</t>
  </si>
  <si>
    <t>Herbicide</t>
  </si>
  <si>
    <t>Herbicides</t>
  </si>
  <si>
    <t>Hour</t>
  </si>
  <si>
    <t>Hr.</t>
  </si>
  <si>
    <t>Hrs</t>
  </si>
  <si>
    <t>In reality , the higher fixed costs may begin earlier or later.</t>
  </si>
  <si>
    <t>Insecticide</t>
  </si>
  <si>
    <t>Insecticides</t>
  </si>
  <si>
    <t>Int</t>
  </si>
  <si>
    <t>Interest</t>
  </si>
  <si>
    <t>INTEREST</t>
  </si>
  <si>
    <t>INTEREST ON INVESTMENT CAPITAL</t>
  </si>
  <si>
    <t>Interest on Oper. Cap.</t>
  </si>
  <si>
    <t>Interest on operation</t>
  </si>
  <si>
    <t>INVESTMENT AND ANNUAL FIXED COSTS</t>
  </si>
  <si>
    <t>Irrigation</t>
  </si>
  <si>
    <t>IRRIGATION: Enter 0 for none, 1 for drip, 2 for Solid Set</t>
  </si>
  <si>
    <t>Item</t>
  </si>
  <si>
    <t>ITEM</t>
  </si>
  <si>
    <t>Key board</t>
  </si>
  <si>
    <t>Labor</t>
  </si>
  <si>
    <t>Land</t>
  </si>
  <si>
    <t>Land Lease</t>
  </si>
  <si>
    <t>Land rent</t>
  </si>
  <si>
    <t>Lbs.</t>
  </si>
  <si>
    <t>Life</t>
  </si>
  <si>
    <t>Lime (DOL.)</t>
  </si>
  <si>
    <t>Lime, applied</t>
  </si>
  <si>
    <t>Mach</t>
  </si>
  <si>
    <t>Machinery appl &amp; maintenance</t>
  </si>
  <si>
    <t>Management Overhead</t>
  </si>
  <si>
    <t>MARKETED</t>
  </si>
  <si>
    <t>Median</t>
  </si>
  <si>
    <t>MOTOR SIZE (HP)</t>
  </si>
  <si>
    <t>Net return levels (TOP ROW);</t>
  </si>
  <si>
    <t>NEW COST</t>
  </si>
  <si>
    <t>Nitrogen (N)</t>
  </si>
  <si>
    <t>Number</t>
  </si>
  <si>
    <t>OPERATING COST PER ACRE PER YEAR</t>
  </si>
  <si>
    <t>OPERATING COSTS</t>
  </si>
  <si>
    <t>Operation</t>
  </si>
  <si>
    <t>Opt</t>
  </si>
  <si>
    <t>Other</t>
  </si>
  <si>
    <t>Over</t>
  </si>
  <si>
    <t>Overhead and Management</t>
  </si>
  <si>
    <t>PECAN BUDGET</t>
  </si>
  <si>
    <t xml:space="preserve">PECANS   </t>
  </si>
  <si>
    <t>Per</t>
  </si>
  <si>
    <t>Pess</t>
  </si>
  <si>
    <t>Phosphorus (P)</t>
  </si>
  <si>
    <t>PIPE &amp; FITTINGS</t>
  </si>
  <si>
    <t>Potassium (K)</t>
  </si>
  <si>
    <t>Pre-Harvest</t>
  </si>
  <si>
    <t>Pre-harvest variable cost per lb.</t>
  </si>
  <si>
    <t>Pre-Harvest Variable Costs</t>
  </si>
  <si>
    <t>Prepared by Greg Fonsah, Lenny Wells and Brad Mitchell</t>
  </si>
  <si>
    <t>Price</t>
  </si>
  <si>
    <t>PRICE</t>
  </si>
  <si>
    <t>Print</t>
  </si>
  <si>
    <t>Purchase</t>
  </si>
  <si>
    <t>PUTBLOCK</t>
  </si>
  <si>
    <t>Quant.</t>
  </si>
  <si>
    <t>QUANT.</t>
  </si>
  <si>
    <t>Quantity</t>
  </si>
  <si>
    <t>Recapture estab. costs</t>
  </si>
  <si>
    <t>Repairs</t>
  </si>
  <si>
    <t>REPAIRS</t>
  </si>
  <si>
    <t>Return over</t>
  </si>
  <si>
    <t>RETURNS</t>
  </si>
  <si>
    <t>Revised September 2008</t>
  </si>
  <si>
    <t>RRRETURNS</t>
  </si>
  <si>
    <t xml:space="preserve">Salvage </t>
  </si>
  <si>
    <t>SPACING</t>
  </si>
  <si>
    <t>Speed</t>
  </si>
  <si>
    <t>TAX &amp; INS.</t>
  </si>
  <si>
    <t>Tax&amp;Ins</t>
  </si>
  <si>
    <t>TAXES &amp; INSURANCE</t>
  </si>
  <si>
    <t>The chances of obtaining this level or less (BOTTOM ROW).</t>
  </si>
  <si>
    <t>The chances of obtaining this level or more (MIDDLE ROW); and</t>
  </si>
  <si>
    <t>This example assumes very good management practices.</t>
  </si>
  <si>
    <t xml:space="preserve">This year fixed costs for the mature orchard was used. </t>
  </si>
  <si>
    <t>Times</t>
  </si>
  <si>
    <t>Ton</t>
  </si>
  <si>
    <t>Total</t>
  </si>
  <si>
    <t>TOTAL</t>
  </si>
  <si>
    <t>TOTAL ANNUAL COSTS PER ACRE</t>
  </si>
  <si>
    <t>TOTAL ANNUAL FIXED COSTS</t>
  </si>
  <si>
    <t>Total budgeted cost per acre</t>
  </si>
  <si>
    <t>Total budgeted cost per lb.</t>
  </si>
  <si>
    <t>Total Cost</t>
  </si>
  <si>
    <t>Total Establishment Costs</t>
  </si>
  <si>
    <t>Total Fixed Costs</t>
  </si>
  <si>
    <t>TOTAL FIXED COSTS</t>
  </si>
  <si>
    <t>Total Harvest</t>
  </si>
  <si>
    <t>Total Harvesting and Marketing Costs</t>
  </si>
  <si>
    <t>Total Investment</t>
  </si>
  <si>
    <t>TOTAL INVESTMENT</t>
  </si>
  <si>
    <t>Total Operating Costs</t>
  </si>
  <si>
    <t>Total Pre-Harvest</t>
  </si>
  <si>
    <t>Total Variable Costs</t>
  </si>
  <si>
    <t>Tractor &amp; Equipment</t>
  </si>
  <si>
    <t>Tree</t>
  </si>
  <si>
    <t>Truck</t>
  </si>
  <si>
    <t>UGA, Ag and Applied Econ Dept. Horticulture and Mitchell Co.</t>
  </si>
  <si>
    <t>Unit</t>
  </si>
  <si>
    <t>UNIT</t>
  </si>
  <si>
    <t>Use</t>
  </si>
  <si>
    <t>Value</t>
  </si>
  <si>
    <t>Var. Cost</t>
  </si>
  <si>
    <t>Variable Cost Budget</t>
  </si>
  <si>
    <t>Variable Costs</t>
  </si>
  <si>
    <t>VOLUME</t>
  </si>
  <si>
    <t xml:space="preserve">WELCOME TO THE </t>
  </si>
  <si>
    <t>Width</t>
  </si>
  <si>
    <t>Worst</t>
  </si>
  <si>
    <t>Year</t>
  </si>
  <si>
    <t>Yield</t>
  </si>
  <si>
    <t>YIELD/AC</t>
  </si>
  <si>
    <t>Yrs.</t>
  </si>
  <si>
    <t>YRS.LIFE</t>
  </si>
  <si>
    <t>Zinc Sulphate</t>
  </si>
  <si>
    <t>Tubing &amp; Emitters Inline</t>
  </si>
  <si>
    <t>WELL (4")</t>
  </si>
  <si>
    <t>Pump &amp; Motor</t>
  </si>
  <si>
    <t xml:space="preserve">Filter &amp; Auto </t>
  </si>
  <si>
    <t>Misc.</t>
  </si>
  <si>
    <t xml:space="preserve">Installation </t>
  </si>
  <si>
    <t xml:space="preserve">Land prep 1/- </t>
  </si>
  <si>
    <t>1/-  Landprep vary significantly fro $0 - $1,000 per acre.</t>
  </si>
  <si>
    <t>Alion</t>
  </si>
  <si>
    <t xml:space="preserve">Total </t>
  </si>
  <si>
    <t>Total Chemicals</t>
  </si>
  <si>
    <t>Bush Hog Mower (20')</t>
  </si>
  <si>
    <t>John Deere Tractor 5095M  (hp 80)</t>
  </si>
  <si>
    <t>Bess Sprayer</t>
  </si>
  <si>
    <t>Herbicide strip Sprayer</t>
  </si>
  <si>
    <t>Grinder (hand tools etc.)</t>
  </si>
  <si>
    <t>Dodge Truck (1/2 ton)</t>
  </si>
  <si>
    <t>2nd Year Estimated Annual Maintenance Cost for Satsuma</t>
  </si>
  <si>
    <t>1st Year Estimated Establishment And Maintenance</t>
  </si>
  <si>
    <t xml:space="preserve">SATSUMA  RETURNS </t>
  </si>
  <si>
    <t xml:space="preserve"> SPRINKLER SPACING</t>
  </si>
  <si>
    <t xml:space="preserve">Pipe &amp; Fittings </t>
  </si>
  <si>
    <t>Well (8") (600 Gals/min)</t>
  </si>
  <si>
    <t>Check valve</t>
  </si>
  <si>
    <t>Filter</t>
  </si>
  <si>
    <t>Meter base</t>
  </si>
  <si>
    <t>Cut off valve</t>
  </si>
  <si>
    <t>Water tank</t>
  </si>
  <si>
    <t>Misc</t>
  </si>
  <si>
    <t>Installation</t>
  </si>
  <si>
    <t>Pump &amp; Motor (3-phase electric hook-up)</t>
  </si>
  <si>
    <t xml:space="preserve">Micro Sprinklers system </t>
  </si>
  <si>
    <t>Scouting</t>
  </si>
  <si>
    <t>Total Pre-Variable Costs</t>
  </si>
  <si>
    <t>Herbicides Pre-emergent</t>
  </si>
  <si>
    <t>Herbicides Post-emergent</t>
  </si>
  <si>
    <t>Micro-nutrient sprays</t>
  </si>
  <si>
    <t>Pre-emergence Herbicides</t>
  </si>
  <si>
    <t>Post emergent herbicides</t>
  </si>
  <si>
    <t>Tissue Analysis</t>
  </si>
  <si>
    <t>Soil Analysis</t>
  </si>
  <si>
    <t>Tissue analysis</t>
  </si>
  <si>
    <t>Soil analysis</t>
  </si>
  <si>
    <t>Irrigation/Frost Protection</t>
  </si>
  <si>
    <t>Packing &amp; cooling</t>
  </si>
  <si>
    <t>TOTAL FIXED COSTS (TFC)</t>
  </si>
  <si>
    <t>TOTAL COSTS (TC) ($)</t>
  </si>
  <si>
    <t>TOTAL FIXED COSTS (TFC) ($)</t>
  </si>
  <si>
    <t>ESTIMATED MACHINERY COST FOR SATSUMA PRODUCTION</t>
  </si>
  <si>
    <t>Tractor</t>
  </si>
  <si>
    <t>GROWERS ARE EXPECTED TO INPUT THEIR ACTUAL DATA IN THIS EXAMPLE</t>
  </si>
  <si>
    <t>EXAMPLE OF CHEMICALS FOR SATSUMA</t>
  </si>
  <si>
    <t>Total Pre-Variable Costs (P-HVC)</t>
  </si>
  <si>
    <t>TOTAL COSTS (FC)</t>
  </si>
  <si>
    <t>Total budgeted cost per acre ($)</t>
  </si>
  <si>
    <t>Total Fixed Costs ($)</t>
  </si>
  <si>
    <t>Opt.</t>
  </si>
  <si>
    <t>of Profit</t>
  </si>
  <si>
    <t xml:space="preserve">Sensitivity Analysis and Economic Risk-rated Returns for Price and Yield over Total Cost </t>
  </si>
  <si>
    <t>Prepared by Esendugue Greg Fonsah,  Jake Price and Ben Cantrell</t>
  </si>
  <si>
    <t>UGA, Ag and Applied Econ Dept., and Agent Coordinators, Lowndes and Effingham Counties</t>
  </si>
  <si>
    <t>DRIP IRRIGATION FOR SATSUMA</t>
  </si>
  <si>
    <t xml:space="preserve">                             FROST PROTECTION IRRIGATION FOR SATSUMA</t>
  </si>
  <si>
    <t>COMPOUND AND RECAPTURE OF ESTABLISHMENT COSTS</t>
  </si>
  <si>
    <t>YEARS TO</t>
  </si>
  <si>
    <t>PRODUCTION</t>
  </si>
  <si>
    <t>COMPOUNDING RATE</t>
  </si>
  <si>
    <t>COMPOUND ESTAB. COST</t>
  </si>
  <si>
    <t>RECAPTURE ESTAB. COST</t>
  </si>
  <si>
    <t>Years</t>
  </si>
  <si>
    <t xml:space="preserve">Interest </t>
  </si>
  <si>
    <t>ANNUAL COST ($)</t>
  </si>
  <si>
    <t>--------------&gt;</t>
  </si>
  <si>
    <t>Recaptured Establishment Costs</t>
  </si>
  <si>
    <t>THIS BUDGET IS INTERACTIVE</t>
  </si>
  <si>
    <t>GROWERS ARE EXPECTED TO INPUT THEIR ACTUAL DATA HERE</t>
  </si>
  <si>
    <t>BE pre-harvest variable cost per lb ($).</t>
  </si>
  <si>
    <t>BE harvest &amp; marketing cost per lb ($).</t>
  </si>
  <si>
    <t xml:space="preserve">BE fixed costs  per lb ($)                </t>
  </si>
  <si>
    <t>BE Yields (Lbs).</t>
  </si>
  <si>
    <t xml:space="preserve">Trees replacement (15 x 20)  </t>
  </si>
  <si>
    <t>RU (Gramaxon)</t>
  </si>
  <si>
    <t xml:space="preserve">Trees (15 x 20)  </t>
  </si>
  <si>
    <t xml:space="preserve">Trees replacement (15 x 20) </t>
  </si>
  <si>
    <t>SATSUMA  BUDGET</t>
  </si>
  <si>
    <t>Fugicides</t>
  </si>
  <si>
    <t>Disclaimer:</t>
  </si>
  <si>
    <t>This budget is only a guideline.  Production practices, yields, selling and input prices vary significantly</t>
  </si>
  <si>
    <t>between growers, researchers, states, regions and nationally.  Growers are advised to enter their actual</t>
  </si>
  <si>
    <t xml:space="preserve">yields, selling and input price data.  </t>
  </si>
  <si>
    <t xml:space="preserve">                                       Base Budgeted Net Revenue ($) =</t>
  </si>
  <si>
    <t>Chances for Profit =</t>
  </si>
  <si>
    <t xml:space="preserve">  Opt</t>
  </si>
  <si>
    <t xml:space="preserve">  Pess</t>
  </si>
  <si>
    <t>for Crop</t>
  </si>
  <si>
    <t>% Use</t>
  </si>
  <si>
    <t>by 40</t>
  </si>
  <si>
    <t>Harvesting &amp; hauling</t>
  </si>
  <si>
    <t>Cost Per Acre For Georgia Satsuma</t>
  </si>
  <si>
    <t>3rd Estimated Annual Maintenance Cost For Satsuma</t>
  </si>
  <si>
    <t xml:space="preserve">ESTIMATED TOTAL ANNUAL FIXED MACHINERY COSTS FOR SATSUMA </t>
  </si>
  <si>
    <t>Projected 5-6 Years - SATSUMA BUDGET - FRESH MARKET</t>
  </si>
  <si>
    <t>Net</t>
  </si>
  <si>
    <t>Profit</t>
  </si>
  <si>
    <t>% Chance</t>
  </si>
  <si>
    <t>$-Price/lb</t>
  </si>
  <si>
    <t xml:space="preserve">          5 &amp; 6TH YEAR PRODUCTION - SATSUMA 2019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</si>
</sst>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0.0%"/>
    <numFmt numFmtId="166" formatCode="0.000"/>
    <numFmt numFmtId="167" formatCode="[$$-409]\ #,##0"/>
    <numFmt numFmtId="168" formatCode="0.0"/>
    <numFmt numFmtId="169" formatCode="[$$-409]#,##0.00"/>
    <numFmt numFmtId="170" formatCode="0.0000"/>
    <numFmt numFmtId="171" formatCode="0.00000"/>
    <numFmt numFmtId="172" formatCode="0.000000"/>
    <numFmt numFmtId="173" formatCode="0.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#,##0.000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sz val="8"/>
      <name val="Helv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1"/>
      <name val="Arial"/>
      <family val="2"/>
    </font>
    <font>
      <b/>
      <sz val="10"/>
      <color indexed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u val="single"/>
      <sz val="10"/>
      <color indexed="45"/>
      <name val="Arial"/>
      <family val="2"/>
    </font>
    <font>
      <sz val="11"/>
      <color indexed="36"/>
      <name val="Calibri"/>
      <family val="2"/>
    </font>
    <font>
      <b/>
      <sz val="15"/>
      <color indexed="14"/>
      <name val="Calibri"/>
      <family val="2"/>
    </font>
    <font>
      <b/>
      <sz val="13"/>
      <color indexed="14"/>
      <name val="Calibri"/>
      <family val="2"/>
    </font>
    <font>
      <b/>
      <sz val="11"/>
      <color indexed="14"/>
      <name val="Calibri"/>
      <family val="2"/>
    </font>
    <font>
      <u val="single"/>
      <sz val="10"/>
      <color indexed="11"/>
      <name val="Arial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b/>
      <sz val="18"/>
      <color indexed="14"/>
      <name val="Cambri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0" fontId="5" fillId="2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1" applyNumberFormat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0" fillId="33" borderId="7" applyNumberFormat="0" applyFont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9">
    <xf numFmtId="0" fontId="0" fillId="2" borderId="0" xfId="0" applyFill="1" applyAlignment="1">
      <alignment/>
    </xf>
    <xf numFmtId="0" fontId="0" fillId="2" borderId="10" xfId="0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1" fontId="0" fillId="2" borderId="10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/>
    </xf>
    <xf numFmtId="166" fontId="0" fillId="2" borderId="10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3" fontId="3" fillId="2" borderId="10" xfId="0" applyNumberFormat="1" applyFont="1" applyFill="1" applyBorder="1" applyAlignment="1">
      <alignment horizontal="center"/>
    </xf>
    <xf numFmtId="2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9" fontId="0" fillId="2" borderId="10" xfId="0" applyNumberForma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2" borderId="10" xfId="0" applyNumberFormat="1" applyFont="1" applyFill="1" applyBorder="1" applyAlignment="1">
      <alignment horizontal="center"/>
    </xf>
    <xf numFmtId="9" fontId="3" fillId="2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3" fillId="2" borderId="10" xfId="0" applyNumberFormat="1" applyFont="1" applyFill="1" applyBorder="1" applyAlignment="1">
      <alignment/>
    </xf>
    <xf numFmtId="1" fontId="3" fillId="2" borderId="10" xfId="0" applyNumberFormat="1" applyFont="1" applyFill="1" applyBorder="1" applyAlignment="1">
      <alignment/>
    </xf>
    <xf numFmtId="2" fontId="3" fillId="2" borderId="10" xfId="0" applyNumberFormat="1" applyFont="1" applyFill="1" applyBorder="1" applyAlignment="1">
      <alignment horizontal="right"/>
    </xf>
    <xf numFmtId="164" fontId="0" fillId="2" borderId="10" xfId="0" applyNumberFormat="1" applyFill="1" applyBorder="1" applyAlignment="1">
      <alignment horizontal="right"/>
    </xf>
    <xf numFmtId="164" fontId="0" fillId="2" borderId="10" xfId="0" applyNumberFormat="1" applyFill="1" applyBorder="1" applyAlignment="1">
      <alignment/>
    </xf>
    <xf numFmtId="165" fontId="0" fillId="2" borderId="10" xfId="0" applyNumberFormat="1" applyFill="1" applyBorder="1" applyAlignment="1">
      <alignment/>
    </xf>
    <xf numFmtId="2" fontId="0" fillId="2" borderId="10" xfId="0" applyNumberFormat="1" applyFill="1" applyBorder="1" applyAlignment="1">
      <alignment horizontal="right"/>
    </xf>
    <xf numFmtId="10" fontId="0" fillId="2" borderId="10" xfId="0" applyNumberFormat="1" applyFill="1" applyBorder="1" applyAlignment="1">
      <alignment/>
    </xf>
    <xf numFmtId="10" fontId="0" fillId="2" borderId="10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centerContinuous"/>
    </xf>
    <xf numFmtId="2" fontId="3" fillId="35" borderId="10" xfId="0" applyNumberFormat="1" applyFont="1" applyFill="1" applyBorder="1" applyAlignment="1">
      <alignment horizontal="centerContinuous"/>
    </xf>
    <xf numFmtId="2" fontId="0" fillId="2" borderId="10" xfId="0" applyNumberFormat="1" applyFill="1" applyBorder="1" applyAlignment="1">
      <alignment horizontal="centerContinuous"/>
    </xf>
    <xf numFmtId="2" fontId="0" fillId="35" borderId="10" xfId="0" applyNumberFormat="1" applyFill="1" applyBorder="1" applyAlignment="1">
      <alignment/>
    </xf>
    <xf numFmtId="2" fontId="3" fillId="36" borderId="10" xfId="0" applyNumberFormat="1" applyFont="1" applyFill="1" applyBorder="1" applyAlignment="1">
      <alignment horizontal="center"/>
    </xf>
    <xf numFmtId="2" fontId="7" fillId="37" borderId="10" xfId="0" applyNumberFormat="1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Continuous"/>
    </xf>
    <xf numFmtId="2" fontId="8" fillId="37" borderId="10" xfId="0" applyNumberFormat="1" applyFont="1" applyFill="1" applyBorder="1" applyAlignment="1">
      <alignment/>
    </xf>
    <xf numFmtId="2" fontId="9" fillId="36" borderId="10" xfId="0" applyNumberFormat="1" applyFont="1" applyFill="1" applyBorder="1" applyAlignment="1">
      <alignment horizontal="center"/>
    </xf>
    <xf numFmtId="2" fontId="0" fillId="37" borderId="10" xfId="0" applyNumberFormat="1" applyFill="1" applyBorder="1" applyAlignment="1">
      <alignment/>
    </xf>
    <xf numFmtId="0" fontId="10" fillId="38" borderId="10" xfId="0" applyFont="1" applyFill="1" applyBorder="1" applyAlignment="1">
      <alignment horizontal="centerContinuous"/>
    </xf>
    <xf numFmtId="0" fontId="3" fillId="2" borderId="10" xfId="0" applyFont="1" applyFill="1" applyBorder="1" applyAlignment="1">
      <alignment/>
    </xf>
    <xf numFmtId="2" fontId="3" fillId="2" borderId="10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left"/>
    </xf>
    <xf numFmtId="2" fontId="0" fillId="2" borderId="10" xfId="0" applyNumberFormat="1" applyFont="1" applyFill="1" applyBorder="1" applyAlignment="1">
      <alignment horizontal="left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/>
    </xf>
    <xf numFmtId="9" fontId="0" fillId="2" borderId="10" xfId="0" applyNumberFormat="1" applyFont="1" applyFill="1" applyBorder="1" applyAlignment="1">
      <alignment horizontal="right"/>
    </xf>
    <xf numFmtId="2" fontId="0" fillId="2" borderId="10" xfId="0" applyNumberFormat="1" applyFont="1" applyFill="1" applyBorder="1" applyAlignment="1">
      <alignment/>
    </xf>
    <xf numFmtId="2" fontId="0" fillId="2" borderId="10" xfId="0" applyNumberFormat="1" applyFont="1" applyFill="1" applyBorder="1" applyAlignment="1">
      <alignment/>
    </xf>
    <xf numFmtId="1" fontId="0" fillId="2" borderId="10" xfId="0" applyNumberFormat="1" applyFont="1" applyFill="1" applyBorder="1" applyAlignment="1">
      <alignment/>
    </xf>
    <xf numFmtId="0" fontId="54" fillId="2" borderId="10" xfId="0" applyFont="1" applyFill="1" applyBorder="1" applyAlignment="1">
      <alignment/>
    </xf>
    <xf numFmtId="164" fontId="3" fillId="2" borderId="10" xfId="0" applyNumberFormat="1" applyFont="1" applyFill="1" applyBorder="1" applyAlignment="1">
      <alignment horizontal="right"/>
    </xf>
    <xf numFmtId="1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3" fillId="2" borderId="10" xfId="0" applyFont="1" applyFill="1" applyBorder="1" applyAlignment="1">
      <alignment/>
    </xf>
    <xf numFmtId="2" fontId="54" fillId="2" borderId="11" xfId="0" applyNumberFormat="1" applyFont="1" applyFill="1" applyBorder="1" applyAlignment="1">
      <alignment horizontal="center"/>
    </xf>
    <xf numFmtId="0" fontId="54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right"/>
    </xf>
    <xf numFmtId="0" fontId="11" fillId="2" borderId="10" xfId="0" applyFont="1" applyFill="1" applyBorder="1" applyAlignment="1">
      <alignment/>
    </xf>
    <xf numFmtId="0" fontId="55" fillId="2" borderId="10" xfId="0" applyFont="1" applyFill="1" applyBorder="1" applyAlignment="1">
      <alignment/>
    </xf>
    <xf numFmtId="0" fontId="56" fillId="2" borderId="10" xfId="0" applyFont="1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2" fontId="3" fillId="2" borderId="12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167" fontId="3" fillId="2" borderId="12" xfId="0" applyNumberFormat="1" applyFont="1" applyFill="1" applyBorder="1" applyAlignment="1">
      <alignment/>
    </xf>
    <xf numFmtId="0" fontId="3" fillId="2" borderId="12" xfId="0" applyFont="1" applyFill="1" applyBorder="1" applyAlignment="1">
      <alignment/>
    </xf>
    <xf numFmtId="2" fontId="0" fillId="2" borderId="11" xfId="0" applyNumberFormat="1" applyFill="1" applyBorder="1" applyAlignment="1">
      <alignment horizontal="center"/>
    </xf>
    <xf numFmtId="1" fontId="3" fillId="2" borderId="12" xfId="0" applyNumberFormat="1" applyFont="1" applyFill="1" applyBorder="1" applyAlignment="1">
      <alignment/>
    </xf>
    <xf numFmtId="1" fontId="3" fillId="2" borderId="12" xfId="0" applyNumberFormat="1" applyFont="1" applyFill="1" applyBorder="1" applyAlignment="1">
      <alignment horizontal="center"/>
    </xf>
    <xf numFmtId="1" fontId="3" fillId="2" borderId="13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57" fillId="2" borderId="10" xfId="0" applyFont="1" applyFill="1" applyBorder="1" applyAlignment="1">
      <alignment/>
    </xf>
    <xf numFmtId="2" fontId="2" fillId="2" borderId="10" xfId="0" applyNumberFormat="1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2" fontId="3" fillId="2" borderId="10" xfId="0" applyNumberFormat="1" applyFont="1" applyFill="1" applyBorder="1" applyAlignment="1">
      <alignment horizontal="right"/>
    </xf>
    <xf numFmtId="164" fontId="0" fillId="2" borderId="11" xfId="0" applyNumberFormat="1" applyFill="1" applyBorder="1" applyAlignment="1">
      <alignment/>
    </xf>
    <xf numFmtId="164" fontId="3" fillId="2" borderId="12" xfId="0" applyNumberFormat="1" applyFont="1" applyFill="1" applyBorder="1" applyAlignment="1">
      <alignment horizontal="right"/>
    </xf>
    <xf numFmtId="164" fontId="0" fillId="2" borderId="11" xfId="0" applyNumberFormat="1" applyFill="1" applyBorder="1" applyAlignment="1">
      <alignment horizontal="right"/>
    </xf>
    <xf numFmtId="164" fontId="3" fillId="2" borderId="12" xfId="0" applyNumberFormat="1" applyFont="1" applyFill="1" applyBorder="1" applyAlignment="1">
      <alignment horizontal="right"/>
    </xf>
    <xf numFmtId="1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right"/>
    </xf>
    <xf numFmtId="9" fontId="0" fillId="2" borderId="10" xfId="0" applyNumberFormat="1" applyFill="1" applyBorder="1" applyAlignment="1">
      <alignment horizontal="right"/>
    </xf>
    <xf numFmtId="0" fontId="57" fillId="2" borderId="10" xfId="0" applyFont="1" applyFill="1" applyBorder="1" applyAlignment="1">
      <alignment/>
    </xf>
    <xf numFmtId="0" fontId="57" fillId="39" borderId="0" xfId="0" applyFont="1" applyFill="1" applyAlignment="1">
      <alignment vertical="center"/>
    </xf>
    <xf numFmtId="0" fontId="0" fillId="39" borderId="0" xfId="0" applyFont="1" applyFill="1" applyAlignment="1">
      <alignment vertical="center"/>
    </xf>
    <xf numFmtId="0" fontId="57" fillId="39" borderId="10" xfId="0" applyFont="1" applyFill="1" applyBorder="1" applyAlignment="1">
      <alignment vertical="center"/>
    </xf>
    <xf numFmtId="0" fontId="0" fillId="39" borderId="10" xfId="0" applyFont="1" applyFill="1" applyBorder="1" applyAlignment="1">
      <alignment vertical="center"/>
    </xf>
    <xf numFmtId="0" fontId="0" fillId="2" borderId="14" xfId="0" applyFill="1" applyBorder="1" applyAlignment="1">
      <alignment/>
    </xf>
    <xf numFmtId="0" fontId="0" fillId="2" borderId="13" xfId="0" applyFill="1" applyBorder="1" applyAlignment="1">
      <alignment/>
    </xf>
    <xf numFmtId="164" fontId="0" fillId="2" borderId="13" xfId="0" applyNumberFormat="1" applyFill="1" applyBorder="1" applyAlignment="1">
      <alignment/>
    </xf>
    <xf numFmtId="0" fontId="57" fillId="39" borderId="10" xfId="0" applyFont="1" applyFill="1" applyBorder="1" applyAlignment="1">
      <alignment vertical="center"/>
    </xf>
    <xf numFmtId="2" fontId="3" fillId="2" borderId="0" xfId="0" applyNumberFormat="1" applyFont="1" applyFill="1" applyBorder="1" applyAlignment="1">
      <alignment/>
    </xf>
    <xf numFmtId="2" fontId="0" fillId="2" borderId="0" xfId="0" applyNumberFormat="1" applyFill="1" applyBorder="1" applyAlignment="1">
      <alignment/>
    </xf>
    <xf numFmtId="1" fontId="3" fillId="2" borderId="12" xfId="0" applyNumberFormat="1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57" fillId="39" borderId="15" xfId="0" applyFont="1" applyFill="1" applyBorder="1" applyAlignment="1">
      <alignment vertical="center"/>
    </xf>
    <xf numFmtId="0" fontId="57" fillId="39" borderId="0" xfId="0" applyFont="1" applyFill="1" applyAlignment="1">
      <alignment vertical="center"/>
    </xf>
    <xf numFmtId="0" fontId="57" fillId="39" borderId="16" xfId="0" applyFont="1" applyFill="1" applyBorder="1" applyAlignment="1">
      <alignment vertical="center"/>
    </xf>
    <xf numFmtId="0" fontId="57" fillId="39" borderId="17" xfId="0" applyFont="1" applyFill="1" applyBorder="1" applyAlignment="1">
      <alignment vertical="center"/>
    </xf>
    <xf numFmtId="0" fontId="57" fillId="39" borderId="18" xfId="0" applyFont="1" applyFill="1" applyBorder="1" applyAlignment="1">
      <alignment vertical="center"/>
    </xf>
    <xf numFmtId="0" fontId="57" fillId="39" borderId="19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0" fontId="57" fillId="39" borderId="10" xfId="0" applyFont="1" applyFill="1" applyBorder="1" applyAlignment="1">
      <alignment vertical="center"/>
    </xf>
    <xf numFmtId="2" fontId="2" fillId="2" borderId="10" xfId="0" applyNumberFormat="1" applyFont="1" applyFill="1" applyBorder="1" applyAlignment="1">
      <alignment horizontal="center"/>
    </xf>
    <xf numFmtId="0" fontId="57" fillId="2" borderId="10" xfId="0" applyFont="1" applyFill="1" applyBorder="1" applyAlignment="1">
      <alignment horizontal="center"/>
    </xf>
    <xf numFmtId="0" fontId="57" fillId="2" borderId="10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55" fillId="2" borderId="20" xfId="0" applyFont="1" applyFill="1" applyBorder="1" applyAlignment="1">
      <alignment horizontal="center"/>
    </xf>
    <xf numFmtId="0" fontId="55" fillId="2" borderId="21" xfId="0" applyFont="1" applyFill="1" applyBorder="1" applyAlignment="1">
      <alignment horizontal="center"/>
    </xf>
    <xf numFmtId="0" fontId="55" fillId="2" borderId="14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5" fillId="2" borderId="0" xfId="0" applyFont="1" applyFill="1" applyBorder="1" applyAlignment="1">
      <alignment/>
    </xf>
    <xf numFmtId="1" fontId="0" fillId="2" borderId="0" xfId="0" applyNumberForma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2" fontId="0" fillId="2" borderId="0" xfId="0" applyNumberForma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right"/>
    </xf>
    <xf numFmtId="1" fontId="0" fillId="2" borderId="0" xfId="0" applyNumberForma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164" fontId="0" fillId="2" borderId="0" xfId="0" applyNumberFormat="1" applyFill="1" applyBorder="1" applyAlignment="1">
      <alignment horizontal="center"/>
    </xf>
    <xf numFmtId="0" fontId="0" fillId="40" borderId="0" xfId="0" applyFill="1" applyBorder="1" applyAlignment="1">
      <alignment/>
    </xf>
    <xf numFmtId="0" fontId="3" fillId="40" borderId="0" xfId="0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58" fillId="2" borderId="0" xfId="0" applyFont="1" applyFill="1" applyBorder="1" applyAlignment="1">
      <alignment horizontal="center"/>
    </xf>
    <xf numFmtId="0" fontId="2" fillId="40" borderId="0" xfId="0" applyFon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right"/>
    </xf>
    <xf numFmtId="1" fontId="3" fillId="2" borderId="0" xfId="0" applyNumberFormat="1" applyFont="1" applyFill="1" applyBorder="1" applyAlignment="1">
      <alignment horizontal="right"/>
    </xf>
    <xf numFmtId="2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2" fontId="3" fillId="2" borderId="22" xfId="0" applyNumberFormat="1" applyFont="1" applyFill="1" applyBorder="1" applyAlignment="1">
      <alignment horizontal="right"/>
    </xf>
    <xf numFmtId="1" fontId="3" fillId="2" borderId="22" xfId="0" applyNumberFormat="1" applyFont="1" applyFill="1" applyBorder="1" applyAlignment="1">
      <alignment horizontal="right"/>
    </xf>
    <xf numFmtId="2" fontId="3" fillId="2" borderId="22" xfId="0" applyNumberFormat="1" applyFont="1" applyFill="1" applyBorder="1" applyAlignment="1">
      <alignment horizontal="right"/>
    </xf>
    <xf numFmtId="1" fontId="3" fillId="2" borderId="22" xfId="0" applyNumberFormat="1" applyFont="1" applyFill="1" applyBorder="1" applyAlignment="1">
      <alignment horizontal="right"/>
    </xf>
    <xf numFmtId="2" fontId="0" fillId="2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 horizontal="right"/>
    </xf>
    <xf numFmtId="168" fontId="0" fillId="2" borderId="0" xfId="0" applyNumberFormat="1" applyFill="1" applyBorder="1" applyAlignment="1">
      <alignment horizontal="center"/>
    </xf>
    <xf numFmtId="3" fontId="3" fillId="2" borderId="22" xfId="0" applyNumberFormat="1" applyFont="1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center"/>
    </xf>
    <xf numFmtId="3" fontId="54" fillId="2" borderId="0" xfId="0" applyNumberFormat="1" applyFont="1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9" fontId="6" fillId="2" borderId="0" xfId="0" applyNumberFormat="1" applyFont="1" applyFill="1" applyBorder="1" applyAlignment="1">
      <alignment horizontal="center"/>
    </xf>
    <xf numFmtId="3" fontId="57" fillId="2" borderId="0" xfId="0" applyNumberFormat="1" applyFont="1" applyFill="1" applyBorder="1" applyAlignment="1">
      <alignment horizontal="center"/>
    </xf>
    <xf numFmtId="9" fontId="3" fillId="2" borderId="22" xfId="0" applyNumberFormat="1" applyFont="1" applyFill="1" applyBorder="1" applyAlignment="1">
      <alignment horizontal="center"/>
    </xf>
    <xf numFmtId="3" fontId="57" fillId="2" borderId="22" xfId="0" applyNumberFormat="1" applyFont="1" applyFill="1" applyBorder="1" applyAlignment="1">
      <alignment horizontal="center"/>
    </xf>
    <xf numFmtId="3" fontId="54" fillId="2" borderId="0" xfId="0" applyNumberFormat="1" applyFont="1" applyFill="1" applyBorder="1" applyAlignment="1">
      <alignment/>
    </xf>
    <xf numFmtId="9" fontId="0" fillId="2" borderId="0" xfId="0" applyNumberForma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3" fontId="57" fillId="2" borderId="0" xfId="0" applyNumberFormat="1" applyFont="1" applyFill="1" applyBorder="1" applyAlignment="1">
      <alignment/>
    </xf>
    <xf numFmtId="9" fontId="3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" fontId="54" fillId="2" borderId="0" xfId="0" applyNumberFormat="1" applyFont="1" applyFill="1" applyBorder="1" applyAlignment="1">
      <alignment/>
    </xf>
    <xf numFmtId="179" fontId="0" fillId="2" borderId="0" xfId="0" applyNumberFormat="1" applyFont="1" applyFill="1" applyBorder="1" applyAlignment="1">
      <alignment/>
    </xf>
    <xf numFmtId="179" fontId="0" fillId="2" borderId="0" xfId="0" applyNumberFormat="1" applyFill="1" applyBorder="1" applyAlignment="1">
      <alignment/>
    </xf>
    <xf numFmtId="0" fontId="57" fillId="39" borderId="0" xfId="0" applyFont="1" applyFill="1" applyBorder="1" applyAlignment="1">
      <alignment vertical="center"/>
    </xf>
    <xf numFmtId="0" fontId="0" fillId="39" borderId="0" xfId="0" applyFont="1" applyFill="1" applyBorder="1" applyAlignment="1">
      <alignment vertical="center"/>
    </xf>
    <xf numFmtId="0" fontId="57" fillId="39" borderId="0" xfId="0" applyFont="1" applyFill="1" applyBorder="1" applyAlignment="1">
      <alignment vertical="center"/>
    </xf>
    <xf numFmtId="0" fontId="0" fillId="2" borderId="23" xfId="0" applyFill="1" applyBorder="1" applyAlignment="1">
      <alignment/>
    </xf>
    <xf numFmtId="0" fontId="0" fillId="2" borderId="23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de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00FF"/>
      <rgbColor rgb="0000FFFF"/>
      <rgbColor rgb="00FF00FF"/>
      <rgbColor rgb="00000080"/>
      <rgbColor rgb="00FFFFFF"/>
      <rgbColor rgb="00B0FFFF"/>
      <rgbColor rgb="00FFB0B0"/>
      <rgbColor rgb="00FFB0FF"/>
      <rgbColor rgb="00FFA0D0"/>
      <rgbColor rgb="00FFFFBF"/>
      <rgbColor rgb="00BFFFFF"/>
      <rgbColor rgb="00E6E6E6"/>
      <rgbColor rgb="00FF0080"/>
      <rgbColor rgb="00FFFF00"/>
      <rgbColor rgb="0000FF00"/>
      <rgbColor rgb="00C00060"/>
      <rgbColor rgb="00FFFF80"/>
      <rgbColor rgb="0080FF00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119</xdr:row>
      <xdr:rowOff>47625</xdr:rowOff>
    </xdr:from>
    <xdr:to>
      <xdr:col>8</xdr:col>
      <xdr:colOff>390525</xdr:colOff>
      <xdr:row>121</xdr:row>
      <xdr:rowOff>76200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21059775"/>
          <a:ext cx="2305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31</xdr:row>
      <xdr:rowOff>0</xdr:rowOff>
    </xdr:from>
    <xdr:to>
      <xdr:col>7</xdr:col>
      <xdr:colOff>285750</xdr:colOff>
      <xdr:row>34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5057775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41</xdr:row>
      <xdr:rowOff>0</xdr:rowOff>
    </xdr:from>
    <xdr:to>
      <xdr:col>6</xdr:col>
      <xdr:colOff>333375</xdr:colOff>
      <xdr:row>44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6810375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37</xdr:row>
      <xdr:rowOff>0</xdr:rowOff>
    </xdr:from>
    <xdr:to>
      <xdr:col>7</xdr:col>
      <xdr:colOff>152400</xdr:colOff>
      <xdr:row>40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6162675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71</xdr:row>
      <xdr:rowOff>0</xdr:rowOff>
    </xdr:from>
    <xdr:to>
      <xdr:col>7</xdr:col>
      <xdr:colOff>180975</xdr:colOff>
      <xdr:row>74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1782425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37</xdr:row>
      <xdr:rowOff>0</xdr:rowOff>
    </xdr:from>
    <xdr:to>
      <xdr:col>7</xdr:col>
      <xdr:colOff>466725</xdr:colOff>
      <xdr:row>40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105525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25</xdr:row>
      <xdr:rowOff>0</xdr:rowOff>
    </xdr:from>
    <xdr:to>
      <xdr:col>9</xdr:col>
      <xdr:colOff>190500</xdr:colOff>
      <xdr:row>28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4086225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33</xdr:row>
      <xdr:rowOff>0</xdr:rowOff>
    </xdr:from>
    <xdr:to>
      <xdr:col>8</xdr:col>
      <xdr:colOff>361950</xdr:colOff>
      <xdr:row>36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5486400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51</xdr:row>
      <xdr:rowOff>0</xdr:rowOff>
    </xdr:from>
    <xdr:to>
      <xdr:col>8</xdr:col>
      <xdr:colOff>447675</xdr:colOff>
      <xdr:row>54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8448675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56</xdr:row>
      <xdr:rowOff>0</xdr:rowOff>
    </xdr:from>
    <xdr:to>
      <xdr:col>7</xdr:col>
      <xdr:colOff>152400</xdr:colOff>
      <xdr:row>59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239250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fonsah.CAESAD\Documents\Fruit%20Budget\2017\2017%20Pecans%20Budget%2005-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fonsah.CAESAD\Documents\Fruit%20Budget\Pecans\2015%20Fonsah-Muscadine%20Budget%2010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ud"/>
      <sheetName val="Yr1"/>
      <sheetName val="Yr2"/>
      <sheetName val="Yr3"/>
      <sheetName val="Chem"/>
      <sheetName val="Mach"/>
      <sheetName val="FxdCost"/>
      <sheetName val="Drip"/>
      <sheetName val="SSet"/>
      <sheetName val="Returns"/>
      <sheetName val="Instructions"/>
      <sheetName val="M"/>
      <sheetName val="N"/>
    </sheetNames>
    <sheetDataSet>
      <sheetData sheetId="6">
        <row r="16">
          <cell r="I16">
            <v>29.975172305764413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ud"/>
      <sheetName val="Yr1"/>
      <sheetName val="Yr2"/>
      <sheetName val="Yr3"/>
      <sheetName val="Chem"/>
      <sheetName val="Mach"/>
      <sheetName val="FxdCost"/>
      <sheetName val="Drip"/>
      <sheetName val="SSet"/>
      <sheetName val="Returns"/>
      <sheetName val="Instructions"/>
      <sheetName val="M"/>
      <sheetName val="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E115"/>
  <sheetViews>
    <sheetView zoomScalePageLayoutView="0" workbookViewId="0" topLeftCell="A172">
      <selection activeCell="D15" sqref="D15"/>
    </sheetView>
  </sheetViews>
  <sheetFormatPr defaultColWidth="9.140625" defaultRowHeight="12.75"/>
  <cols>
    <col min="1" max="7" width="9.140625" style="1" customWidth="1"/>
    <col min="8" max="8" width="9.421875" style="1" customWidth="1"/>
    <col min="9" max="16384" width="9.140625" style="1" customWidth="1"/>
  </cols>
  <sheetData>
    <row r="3" spans="5:11" ht="12.75">
      <c r="E3" s="2"/>
      <c r="F3" s="3" t="s">
        <v>193</v>
      </c>
      <c r="G3" s="2"/>
      <c r="H3" s="2"/>
      <c r="I3" s="2"/>
      <c r="J3" s="2"/>
      <c r="K3" s="2"/>
    </row>
    <row r="4" spans="2:12" ht="12.75">
      <c r="B4" s="1" t="s">
        <v>4</v>
      </c>
      <c r="E4" s="2" t="s">
        <v>203</v>
      </c>
      <c r="F4" s="2"/>
      <c r="G4" s="2"/>
      <c r="H4" s="2"/>
      <c r="I4" s="2"/>
      <c r="J4" s="2"/>
      <c r="K4" s="2"/>
      <c r="L4" s="1" t="s">
        <v>0</v>
      </c>
    </row>
    <row r="5" spans="5:12" ht="12.75">
      <c r="E5" s="2" t="s">
        <v>251</v>
      </c>
      <c r="F5" s="2"/>
      <c r="G5" s="2"/>
      <c r="H5" s="2"/>
      <c r="I5" s="2"/>
      <c r="J5" s="2"/>
      <c r="K5" s="4" t="s">
        <v>0</v>
      </c>
      <c r="L5" s="1" t="s">
        <v>0</v>
      </c>
    </row>
    <row r="6" spans="5:12" ht="12.75">
      <c r="E6" s="2"/>
      <c r="F6" s="2"/>
      <c r="G6" s="2"/>
      <c r="H6" s="2"/>
      <c r="I6" s="2"/>
      <c r="J6" s="2"/>
      <c r="K6" s="2"/>
      <c r="L6" s="1" t="s">
        <v>0</v>
      </c>
    </row>
    <row r="7" spans="5:12" ht="12.75">
      <c r="E7" s="2" t="s">
        <v>217</v>
      </c>
      <c r="F7" s="2"/>
      <c r="G7" s="2"/>
      <c r="H7" s="2"/>
      <c r="I7" s="2"/>
      <c r="J7" s="2"/>
      <c r="K7" s="2"/>
      <c r="L7" s="1" t="s">
        <v>0</v>
      </c>
    </row>
    <row r="8" ht="12.75">
      <c r="L8" s="1" t="s">
        <v>0</v>
      </c>
    </row>
    <row r="9" spans="11:12" ht="12.75">
      <c r="K9" s="5" t="s">
        <v>0</v>
      </c>
      <c r="L9" s="1" t="s">
        <v>0</v>
      </c>
    </row>
    <row r="10" ht="12.75">
      <c r="B10" s="1" t="s">
        <v>84</v>
      </c>
    </row>
    <row r="12" spans="6:12" ht="15.75">
      <c r="F12" s="111" t="s">
        <v>194</v>
      </c>
      <c r="G12" s="112"/>
      <c r="H12" s="112"/>
      <c r="L12" s="1" t="s">
        <v>0</v>
      </c>
    </row>
    <row r="14" spans="6:12" ht="12.75">
      <c r="F14" s="1" t="s">
        <v>257</v>
      </c>
      <c r="L14" s="1" t="s">
        <v>0</v>
      </c>
    </row>
    <row r="15" spans="6:12" ht="12.75">
      <c r="F15" s="1" t="s">
        <v>7</v>
      </c>
      <c r="J15" s="6">
        <v>1</v>
      </c>
      <c r="L15" s="1" t="s">
        <v>2</v>
      </c>
    </row>
    <row r="16" spans="5:12" ht="12.75">
      <c r="E16" s="1" t="s">
        <v>164</v>
      </c>
      <c r="J16" s="6">
        <v>1</v>
      </c>
      <c r="L16" s="1" t="s">
        <v>0</v>
      </c>
    </row>
    <row r="17" ht="12.75">
      <c r="L17" s="1" t="s">
        <v>0</v>
      </c>
    </row>
    <row r="18" spans="6:12" ht="12.75">
      <c r="F18" s="7" t="s">
        <v>106</v>
      </c>
      <c r="G18" s="7" t="s">
        <v>189</v>
      </c>
      <c r="H18" s="7" t="s">
        <v>180</v>
      </c>
      <c r="I18" s="8" t="s">
        <v>196</v>
      </c>
      <c r="J18" s="8" t="s">
        <v>262</v>
      </c>
      <c r="K18" s="5" t="s">
        <v>0</v>
      </c>
      <c r="L18" s="1" t="s">
        <v>0</v>
      </c>
    </row>
    <row r="19" spans="6:12" ht="12.75">
      <c r="F19" s="7"/>
      <c r="G19" s="7"/>
      <c r="H19" s="7"/>
      <c r="I19" s="7"/>
      <c r="J19" s="7"/>
      <c r="L19" s="1" t="s">
        <v>0</v>
      </c>
    </row>
    <row r="20" spans="3:12" ht="12.75">
      <c r="C20" s="1" t="s">
        <v>82</v>
      </c>
      <c r="F20" s="6">
        <v>1800</v>
      </c>
      <c r="G20" s="6">
        <v>1600</v>
      </c>
      <c r="H20" s="9">
        <v>1400</v>
      </c>
      <c r="I20" s="6">
        <v>1200</v>
      </c>
      <c r="J20" s="6">
        <v>1000</v>
      </c>
      <c r="L20" s="1" t="s">
        <v>0</v>
      </c>
    </row>
    <row r="21" spans="3:12" ht="12.75">
      <c r="C21" s="1" t="s">
        <v>80</v>
      </c>
      <c r="F21" s="8">
        <v>1.9</v>
      </c>
      <c r="G21" s="8">
        <v>1.7</v>
      </c>
      <c r="H21" s="10">
        <v>1.5</v>
      </c>
      <c r="I21" s="8">
        <v>1.2</v>
      </c>
      <c r="J21" s="8">
        <v>1</v>
      </c>
      <c r="L21" s="1" t="s">
        <v>0</v>
      </c>
    </row>
    <row r="22" spans="12:20" ht="12.75">
      <c r="L22" s="1" t="s">
        <v>0</v>
      </c>
      <c r="T22" s="1" t="s">
        <v>0</v>
      </c>
    </row>
    <row r="23" spans="3:12" ht="12.75">
      <c r="C23" s="1" t="s">
        <v>165</v>
      </c>
      <c r="G23" s="7" t="s">
        <v>252</v>
      </c>
      <c r="H23" s="7" t="s">
        <v>209</v>
      </c>
      <c r="I23" s="8" t="s">
        <v>204</v>
      </c>
      <c r="J23" s="6" t="s">
        <v>69</v>
      </c>
      <c r="K23" s="11" t="s">
        <v>232</v>
      </c>
      <c r="L23" s="1" t="s">
        <v>0</v>
      </c>
    </row>
    <row r="24" ht="12.75">
      <c r="L24" s="1" t="s">
        <v>0</v>
      </c>
    </row>
    <row r="25" spans="3:10" ht="12.75">
      <c r="C25" s="1" t="s">
        <v>258</v>
      </c>
      <c r="J25" s="12" t="s">
        <v>0</v>
      </c>
    </row>
    <row r="26" spans="4:12" ht="12.75">
      <c r="D26" s="1" t="s">
        <v>175</v>
      </c>
      <c r="G26" s="7" t="s">
        <v>230</v>
      </c>
      <c r="H26" s="7">
        <v>1</v>
      </c>
      <c r="I26" s="8">
        <v>30</v>
      </c>
      <c r="J26" s="8">
        <f aca="true" t="shared" si="0" ref="J26:J42">H26*I26</f>
        <v>30</v>
      </c>
      <c r="K26" s="6">
        <f>J26*J15</f>
        <v>30</v>
      </c>
      <c r="L26" s="7"/>
    </row>
    <row r="27" spans="4:12" ht="12.75">
      <c r="D27" s="1" t="s">
        <v>184</v>
      </c>
      <c r="G27" s="7" t="s">
        <v>172</v>
      </c>
      <c r="H27" s="7">
        <v>150</v>
      </c>
      <c r="I27" s="13">
        <v>1</v>
      </c>
      <c r="J27" s="8">
        <f t="shared" si="0"/>
        <v>150</v>
      </c>
      <c r="K27" s="6">
        <f>J27*J15</f>
        <v>150</v>
      </c>
      <c r="L27" s="7" t="s">
        <v>0</v>
      </c>
    </row>
    <row r="28" spans="4:12" ht="12.75">
      <c r="D28" s="1" t="s">
        <v>197</v>
      </c>
      <c r="G28" s="7" t="s">
        <v>172</v>
      </c>
      <c r="H28" s="7">
        <v>40</v>
      </c>
      <c r="I28" s="13">
        <v>0.73</v>
      </c>
      <c r="J28" s="8">
        <f t="shared" si="0"/>
        <v>29.2</v>
      </c>
      <c r="K28" s="6">
        <f>J28*J$16</f>
        <v>29.2</v>
      </c>
      <c r="L28" s="7"/>
    </row>
    <row r="29" spans="4:12" ht="12.75">
      <c r="D29" s="1" t="s">
        <v>199</v>
      </c>
      <c r="G29" s="7" t="s">
        <v>172</v>
      </c>
      <c r="H29" s="7">
        <v>60</v>
      </c>
      <c r="I29" s="13">
        <v>0.83</v>
      </c>
      <c r="J29" s="8">
        <f t="shared" si="0"/>
        <v>49.8</v>
      </c>
      <c r="K29" s="6">
        <f>J29*J$16</f>
        <v>49.8</v>
      </c>
      <c r="L29" s="7"/>
    </row>
    <row r="30" spans="4:12" ht="12.75">
      <c r="D30" s="1" t="s">
        <v>268</v>
      </c>
      <c r="G30" s="7" t="s">
        <v>172</v>
      </c>
      <c r="H30" s="7">
        <v>50</v>
      </c>
      <c r="I30" s="13">
        <v>0.8</v>
      </c>
      <c r="J30" s="8">
        <f t="shared" si="0"/>
        <v>40</v>
      </c>
      <c r="K30" s="6">
        <f>J30*J$16</f>
        <v>40</v>
      </c>
      <c r="L30" s="7"/>
    </row>
    <row r="31" spans="4:12" ht="12.75">
      <c r="D31" s="1" t="s">
        <v>139</v>
      </c>
      <c r="G31" s="7" t="s">
        <v>172</v>
      </c>
      <c r="H31" s="7">
        <v>3</v>
      </c>
      <c r="I31" s="8">
        <v>2</v>
      </c>
      <c r="J31" s="8">
        <f t="shared" si="0"/>
        <v>6</v>
      </c>
      <c r="K31" s="6">
        <f>J31*J$16</f>
        <v>6</v>
      </c>
      <c r="L31" s="7"/>
    </row>
    <row r="32" spans="4:12" ht="12.75">
      <c r="D32" s="1" t="s">
        <v>138</v>
      </c>
      <c r="G32" s="7" t="s">
        <v>172</v>
      </c>
      <c r="H32" s="7">
        <v>3</v>
      </c>
      <c r="I32" s="8">
        <v>1.3</v>
      </c>
      <c r="J32" s="8">
        <f t="shared" si="0"/>
        <v>3.9000000000000004</v>
      </c>
      <c r="K32" s="6">
        <f>J32*J$16</f>
        <v>3.9000000000000004</v>
      </c>
      <c r="L32" s="7"/>
    </row>
    <row r="33" spans="4:12" ht="12.75">
      <c r="D33" s="1" t="s">
        <v>142</v>
      </c>
      <c r="G33" s="7" t="s">
        <v>103</v>
      </c>
      <c r="H33" s="7">
        <v>8</v>
      </c>
      <c r="I33" s="8">
        <v>9.89</v>
      </c>
      <c r="J33" s="8">
        <f t="shared" si="0"/>
        <v>79.12</v>
      </c>
      <c r="K33" s="6">
        <f>J33*J$15</f>
        <v>79.12</v>
      </c>
      <c r="L33" s="7"/>
    </row>
    <row r="34" spans="4:12" ht="12.75">
      <c r="D34" s="1" t="s">
        <v>149</v>
      </c>
      <c r="G34" s="7" t="s">
        <v>103</v>
      </c>
      <c r="H34" s="7">
        <v>3</v>
      </c>
      <c r="I34" s="8">
        <v>29.25</v>
      </c>
      <c r="J34" s="8">
        <f t="shared" si="0"/>
        <v>87.75</v>
      </c>
      <c r="K34" s="6">
        <f>J34*J16</f>
        <v>87.75</v>
      </c>
      <c r="L34" s="7"/>
    </row>
    <row r="35" spans="4:12" ht="12.75">
      <c r="D35" s="1" t="s">
        <v>154</v>
      </c>
      <c r="G35" s="7" t="s">
        <v>103</v>
      </c>
      <c r="H35" s="7">
        <v>10</v>
      </c>
      <c r="I35" s="8">
        <v>14.41</v>
      </c>
      <c r="J35" s="8">
        <f t="shared" si="0"/>
        <v>144.1</v>
      </c>
      <c r="K35" s="6">
        <f>J35*J$15</f>
        <v>144.1</v>
      </c>
      <c r="L35" s="7"/>
    </row>
    <row r="36" spans="4:12" ht="12.75">
      <c r="D36" s="1" t="s">
        <v>168</v>
      </c>
      <c r="G36" s="7" t="s">
        <v>151</v>
      </c>
      <c r="H36" s="8">
        <v>25</v>
      </c>
      <c r="I36" s="8">
        <v>8</v>
      </c>
      <c r="J36" s="8">
        <f t="shared" si="0"/>
        <v>200</v>
      </c>
      <c r="K36" s="6">
        <f>J36*J$15</f>
        <v>200</v>
      </c>
      <c r="L36" s="7"/>
    </row>
    <row r="37" spans="4:12" ht="12.75">
      <c r="D37" s="1" t="s">
        <v>57</v>
      </c>
      <c r="G37" s="7" t="s">
        <v>143</v>
      </c>
      <c r="H37" s="8">
        <v>33</v>
      </c>
      <c r="I37" s="8">
        <v>4.75</v>
      </c>
      <c r="J37" s="8">
        <f t="shared" si="0"/>
        <v>156.75</v>
      </c>
      <c r="K37" s="6">
        <f>J37*J15</f>
        <v>156.75</v>
      </c>
      <c r="L37" s="7"/>
    </row>
    <row r="38" spans="4:12" ht="12.75">
      <c r="D38" s="1" t="s">
        <v>62</v>
      </c>
      <c r="G38" s="7" t="s">
        <v>94</v>
      </c>
      <c r="H38" s="7">
        <f>J43</f>
        <v>1155.5076923076922</v>
      </c>
      <c r="I38" s="8">
        <v>0.025</v>
      </c>
      <c r="J38" s="8">
        <f t="shared" si="0"/>
        <v>28.887692307692305</v>
      </c>
      <c r="K38" s="6">
        <f>J38*J15</f>
        <v>28.887692307692305</v>
      </c>
      <c r="L38" s="7"/>
    </row>
    <row r="39" spans="4:12" ht="12.75">
      <c r="D39" s="1" t="s">
        <v>171</v>
      </c>
      <c r="G39" s="7" t="s">
        <v>94</v>
      </c>
      <c r="H39" s="7">
        <v>1</v>
      </c>
      <c r="I39" s="8">
        <v>150</v>
      </c>
      <c r="J39" s="8">
        <f t="shared" si="0"/>
        <v>150</v>
      </c>
      <c r="K39" s="6">
        <f>J39*J15</f>
        <v>150</v>
      </c>
      <c r="L39" s="7"/>
    </row>
    <row r="40" spans="4:12" ht="12.75">
      <c r="D40" s="1" t="s">
        <v>163</v>
      </c>
      <c r="G40" s="7" t="s">
        <v>94</v>
      </c>
      <c r="H40" s="7">
        <v>1</v>
      </c>
      <c r="I40" s="8">
        <f>SSet!H44</f>
        <v>0</v>
      </c>
      <c r="J40" s="8">
        <f t="shared" si="0"/>
        <v>0</v>
      </c>
      <c r="K40" s="6">
        <f>J40*J15</f>
        <v>0</v>
      </c>
      <c r="L40" s="14" t="s">
        <v>0</v>
      </c>
    </row>
    <row r="41" spans="4:12" ht="12.75">
      <c r="D41" s="1" t="s">
        <v>170</v>
      </c>
      <c r="G41" s="7" t="s">
        <v>94</v>
      </c>
      <c r="H41" s="7">
        <v>1</v>
      </c>
      <c r="I41" s="8">
        <v>150</v>
      </c>
      <c r="J41" s="8">
        <f t="shared" si="0"/>
        <v>150</v>
      </c>
      <c r="K41" s="6">
        <f>J41*J15</f>
        <v>150</v>
      </c>
      <c r="L41" s="14" t="s">
        <v>0</v>
      </c>
    </row>
    <row r="42" spans="4:12" ht="12.75">
      <c r="D42" s="1" t="s">
        <v>160</v>
      </c>
      <c r="G42" s="7" t="s">
        <v>68</v>
      </c>
      <c r="H42" s="8">
        <f>J43</f>
        <v>1155.5076923076922</v>
      </c>
      <c r="I42" s="8">
        <v>0.08</v>
      </c>
      <c r="J42" s="8">
        <f t="shared" si="0"/>
        <v>92.44061538461538</v>
      </c>
      <c r="K42" s="6">
        <f>J42*J15</f>
        <v>92.44061538461538</v>
      </c>
      <c r="L42" s="7" t="s">
        <v>0</v>
      </c>
    </row>
    <row r="43" spans="3:12" ht="12.75">
      <c r="C43" s="15" t="s">
        <v>202</v>
      </c>
      <c r="G43" s="7"/>
      <c r="H43" s="7"/>
      <c r="I43" s="7"/>
      <c r="J43" s="10">
        <f>SUM(J25:J40)</f>
        <v>1155.5076923076922</v>
      </c>
      <c r="K43" s="9">
        <f>J43*J15</f>
        <v>1155.5076923076922</v>
      </c>
      <c r="L43" s="14" t="s">
        <v>0</v>
      </c>
    </row>
    <row r="44" ht="12.75">
      <c r="L44" s="14" t="s">
        <v>0</v>
      </c>
    </row>
    <row r="45" spans="3:12" ht="12.75">
      <c r="C45" s="1" t="s">
        <v>147</v>
      </c>
      <c r="G45" s="7"/>
      <c r="H45" s="7"/>
      <c r="I45" s="7"/>
      <c r="J45" s="6" t="s">
        <v>0</v>
      </c>
      <c r="K45" s="7"/>
      <c r="L45" s="14" t="s">
        <v>0</v>
      </c>
    </row>
    <row r="46" spans="4:12" ht="12.75">
      <c r="D46" s="1" t="s">
        <v>140</v>
      </c>
      <c r="G46" s="7" t="s">
        <v>103</v>
      </c>
      <c r="H46" s="8">
        <v>30</v>
      </c>
      <c r="I46" s="8">
        <v>6</v>
      </c>
      <c r="J46" s="8">
        <f>H46*I46</f>
        <v>180</v>
      </c>
      <c r="K46" s="6">
        <f>J46*J15</f>
        <v>180</v>
      </c>
      <c r="L46" s="14" t="s">
        <v>0</v>
      </c>
    </row>
    <row r="47" spans="4:12" ht="12.75">
      <c r="D47" s="1" t="s">
        <v>177</v>
      </c>
      <c r="G47" s="7" t="s">
        <v>94</v>
      </c>
      <c r="H47" s="7">
        <v>1</v>
      </c>
      <c r="I47" s="8">
        <v>22.21</v>
      </c>
      <c r="J47" s="8">
        <f>I47*H47</f>
        <v>22.21</v>
      </c>
      <c r="K47" s="6">
        <f>J47*J15</f>
        <v>22.21</v>
      </c>
      <c r="L47" s="14" t="s">
        <v>0</v>
      </c>
    </row>
    <row r="48" spans="4:12" ht="12.75">
      <c r="D48" s="1" t="s">
        <v>168</v>
      </c>
      <c r="G48" s="7" t="s">
        <v>151</v>
      </c>
      <c r="H48" s="8">
        <v>4</v>
      </c>
      <c r="I48" s="8">
        <f>I36</f>
        <v>8</v>
      </c>
      <c r="J48" s="8">
        <f>H48*I48</f>
        <v>32</v>
      </c>
      <c r="K48" s="6">
        <f>J48*J15</f>
        <v>32</v>
      </c>
      <c r="L48" s="14" t="s">
        <v>0</v>
      </c>
    </row>
    <row r="49" spans="4:12" ht="12.75">
      <c r="D49" s="1" t="s">
        <v>117</v>
      </c>
      <c r="G49" s="7" t="s">
        <v>172</v>
      </c>
      <c r="H49" s="7">
        <v>1400</v>
      </c>
      <c r="I49" s="8">
        <v>0.12</v>
      </c>
      <c r="J49" s="8">
        <f>H49*I49</f>
        <v>168</v>
      </c>
      <c r="K49" s="6">
        <f>J49*J15</f>
        <v>168</v>
      </c>
      <c r="L49" s="7"/>
    </row>
    <row r="50" ht="12.75">
      <c r="L50" s="14" t="s">
        <v>0</v>
      </c>
    </row>
    <row r="51" spans="3:12" ht="12.75">
      <c r="C51" s="15" t="s">
        <v>242</v>
      </c>
      <c r="G51" s="7"/>
      <c r="H51" s="7"/>
      <c r="J51" s="10">
        <f>SUM(J46:J49)</f>
        <v>402.21000000000004</v>
      </c>
      <c r="K51" s="9">
        <f>J51*J15</f>
        <v>402.21000000000004</v>
      </c>
      <c r="L51" s="14" t="s">
        <v>0</v>
      </c>
    </row>
    <row r="52" spans="3:12" ht="12.75">
      <c r="C52" s="15" t="s">
        <v>247</v>
      </c>
      <c r="G52" s="7"/>
      <c r="H52" s="7"/>
      <c r="I52" s="7"/>
      <c r="J52" s="10">
        <f>J43+J51</f>
        <v>1557.7176923076922</v>
      </c>
      <c r="K52" s="9">
        <f>J52*J15</f>
        <v>1557.7176923076922</v>
      </c>
      <c r="L52" s="7"/>
    </row>
    <row r="53" spans="7:12" ht="12.75">
      <c r="G53" s="7"/>
      <c r="H53" s="7"/>
      <c r="I53" s="7"/>
      <c r="J53" s="7"/>
      <c r="K53" s="7"/>
      <c r="L53" s="14" t="s">
        <v>0</v>
      </c>
    </row>
    <row r="54" spans="3:12" ht="12.75">
      <c r="C54" s="15" t="s">
        <v>133</v>
      </c>
      <c r="D54" s="15"/>
      <c r="G54" s="7"/>
      <c r="H54" s="7"/>
      <c r="I54" s="7"/>
      <c r="J54" s="7"/>
      <c r="K54" s="7"/>
      <c r="L54" s="7"/>
    </row>
    <row r="55" spans="4:12" ht="12.75">
      <c r="D55" s="1" t="s">
        <v>248</v>
      </c>
      <c r="G55" s="7" t="s">
        <v>151</v>
      </c>
      <c r="H55" s="8">
        <v>1</v>
      </c>
      <c r="I55" s="8">
        <f>FxdCost!I26</f>
        <v>527.75052</v>
      </c>
      <c r="J55" s="8">
        <f>H55*I55</f>
        <v>527.75052</v>
      </c>
      <c r="K55" s="11">
        <f>J15*J55</f>
        <v>527.75052</v>
      </c>
      <c r="L55" s="14" t="s">
        <v>0</v>
      </c>
    </row>
    <row r="56" spans="4:12" ht="12.75">
      <c r="D56" s="1" t="s">
        <v>163</v>
      </c>
      <c r="G56" s="7" t="s">
        <v>94</v>
      </c>
      <c r="H56" s="8">
        <v>1</v>
      </c>
      <c r="I56" s="8">
        <f>Drip!$I32</f>
        <v>1192.6529666666668</v>
      </c>
      <c r="J56" s="8">
        <f>H56*I56</f>
        <v>1192.6529666666668</v>
      </c>
      <c r="K56" s="11">
        <f>J15*J56</f>
        <v>1192.6529666666668</v>
      </c>
      <c r="L56" s="7"/>
    </row>
    <row r="57" spans="4:12" ht="12.75">
      <c r="D57" s="1" t="s">
        <v>212</v>
      </c>
      <c r="G57" s="7" t="s">
        <v>94</v>
      </c>
      <c r="H57" s="8">
        <v>1</v>
      </c>
      <c r="I57" s="8">
        <f>Yr3!H56</f>
        <v>0</v>
      </c>
      <c r="J57" s="8">
        <f>I57*H57</f>
        <v>0</v>
      </c>
      <c r="K57" s="11">
        <f>J15*J57</f>
        <v>0</v>
      </c>
      <c r="L57" s="7"/>
    </row>
    <row r="58" spans="4:12" ht="12.75">
      <c r="D58" s="1" t="s">
        <v>169</v>
      </c>
      <c r="G58" s="7" t="s">
        <v>94</v>
      </c>
      <c r="H58" s="8">
        <v>1</v>
      </c>
      <c r="I58" s="7">
        <v>0</v>
      </c>
      <c r="J58" s="8">
        <f>H58*I58</f>
        <v>0</v>
      </c>
      <c r="K58" s="11">
        <f>J15*J58</f>
        <v>0</v>
      </c>
      <c r="L58" s="14" t="s">
        <v>0</v>
      </c>
    </row>
    <row r="59" spans="4:12" ht="12.75">
      <c r="D59" s="1" t="s">
        <v>192</v>
      </c>
      <c r="G59" s="7" t="s">
        <v>68</v>
      </c>
      <c r="H59" s="6">
        <f>J43</f>
        <v>1155.5076923076922</v>
      </c>
      <c r="I59" s="8">
        <v>0.15</v>
      </c>
      <c r="J59" s="8">
        <f>H59*I59</f>
        <v>173.32615384615383</v>
      </c>
      <c r="K59" s="11">
        <f>J15*J59</f>
        <v>173.32615384615383</v>
      </c>
      <c r="L59" s="7"/>
    </row>
    <row r="60" spans="3:12" ht="12.75">
      <c r="C60" s="15" t="s">
        <v>239</v>
      </c>
      <c r="G60" s="7"/>
      <c r="H60" s="7"/>
      <c r="I60" s="7"/>
      <c r="J60" s="10">
        <f>SUM(J55:J59)</f>
        <v>1893.7296405128207</v>
      </c>
      <c r="K60" s="16">
        <f>J15*J60</f>
        <v>1893.7296405128207</v>
      </c>
      <c r="L60" s="7"/>
    </row>
    <row r="61" spans="8:12" ht="12.75">
      <c r="H61" s="7"/>
      <c r="I61" s="7"/>
      <c r="J61" s="6" t="s">
        <v>0</v>
      </c>
      <c r="K61" s="7"/>
      <c r="L61" s="7"/>
    </row>
    <row r="62" spans="3:12" ht="12.75">
      <c r="C62" s="15" t="s">
        <v>235</v>
      </c>
      <c r="H62" s="7"/>
      <c r="I62" s="7"/>
      <c r="J62" s="10">
        <f>J43+J51+J60</f>
        <v>3451.447332820513</v>
      </c>
      <c r="K62" s="9">
        <f>J15*J62</f>
        <v>3451.447332820513</v>
      </c>
      <c r="L62" s="7"/>
    </row>
    <row r="63" spans="8:12" ht="12.75">
      <c r="H63" s="7"/>
      <c r="I63" s="7"/>
      <c r="J63" s="7"/>
      <c r="K63" s="7"/>
      <c r="L63" s="7"/>
    </row>
    <row r="64" spans="4:12" ht="12.75">
      <c r="D64" s="15" t="s">
        <v>119</v>
      </c>
      <c r="H64" s="7"/>
      <c r="I64" s="7"/>
      <c r="J64" s="7"/>
      <c r="K64" s="7"/>
      <c r="L64" s="7"/>
    </row>
    <row r="65" spans="4:12" ht="12.75">
      <c r="D65" s="1" t="s">
        <v>201</v>
      </c>
      <c r="H65" s="7"/>
      <c r="I65" s="7"/>
      <c r="J65" s="8">
        <f>J43/H20</f>
        <v>0.8253626373626373</v>
      </c>
      <c r="K65" s="7"/>
      <c r="L65" s="7"/>
    </row>
    <row r="66" spans="4:18" ht="12.75">
      <c r="D66" s="1" t="s">
        <v>146</v>
      </c>
      <c r="H66" s="7"/>
      <c r="I66" s="7"/>
      <c r="J66" s="8">
        <f>J51/H20</f>
        <v>0.2872928571428572</v>
      </c>
      <c r="K66" s="7"/>
      <c r="L66" s="7"/>
      <c r="M66" s="1" t="s">
        <v>77</v>
      </c>
      <c r="N66" s="1" t="s">
        <v>77</v>
      </c>
      <c r="R66" s="1" t="s">
        <v>77</v>
      </c>
    </row>
    <row r="67" spans="4:18" ht="12.75">
      <c r="D67" s="1" t="s">
        <v>135</v>
      </c>
      <c r="E67" s="1" t="s">
        <v>61</v>
      </c>
      <c r="H67" s="7"/>
      <c r="I67" s="7"/>
      <c r="J67" s="8">
        <f>J60/H20</f>
        <v>1.352664028937729</v>
      </c>
      <c r="K67" s="7"/>
      <c r="L67" s="7"/>
      <c r="M67" s="1" t="s">
        <v>77</v>
      </c>
      <c r="N67" s="1" t="s">
        <v>8</v>
      </c>
      <c r="R67" s="1" t="s">
        <v>77</v>
      </c>
    </row>
    <row r="68" spans="3:18" ht="12.75">
      <c r="C68" s="15" t="s">
        <v>236</v>
      </c>
      <c r="H68" s="7"/>
      <c r="I68" s="7"/>
      <c r="J68" s="10">
        <f>J62/H20</f>
        <v>2.4653195234432235</v>
      </c>
      <c r="K68" s="7"/>
      <c r="L68" s="7"/>
      <c r="M68" s="1" t="s">
        <v>77</v>
      </c>
      <c r="N68" s="1" t="s">
        <v>1</v>
      </c>
      <c r="R68" s="1" t="s">
        <v>77</v>
      </c>
    </row>
    <row r="69" spans="8:18" ht="12.75">
      <c r="H69" s="7"/>
      <c r="I69" s="7"/>
      <c r="J69" s="7"/>
      <c r="K69" s="7"/>
      <c r="L69" s="7"/>
      <c r="M69" s="1" t="s">
        <v>77</v>
      </c>
      <c r="N69" s="12">
        <f>J15</f>
        <v>1</v>
      </c>
      <c r="O69" s="1" t="s">
        <v>11</v>
      </c>
      <c r="R69" s="1" t="s">
        <v>77</v>
      </c>
    </row>
    <row r="70" spans="6:18" ht="12.75">
      <c r="F70" s="1" t="s">
        <v>72</v>
      </c>
      <c r="H70" s="7"/>
      <c r="I70" s="7"/>
      <c r="J70" s="7"/>
      <c r="K70" s="7"/>
      <c r="L70" s="7"/>
      <c r="M70" s="1" t="s">
        <v>77</v>
      </c>
      <c r="N70" s="12">
        <f>F20</f>
        <v>1800</v>
      </c>
      <c r="O70" s="1" t="s">
        <v>13</v>
      </c>
      <c r="P70" s="17">
        <f>F21</f>
        <v>1.9</v>
      </c>
      <c r="Q70" s="1" t="s">
        <v>12</v>
      </c>
      <c r="R70" s="1" t="s">
        <v>77</v>
      </c>
    </row>
    <row r="71" spans="8:18" ht="12.75">
      <c r="H71" s="7"/>
      <c r="I71" s="7"/>
      <c r="J71" s="7"/>
      <c r="K71" s="7"/>
      <c r="L71" s="7"/>
      <c r="M71" s="1" t="s">
        <v>77</v>
      </c>
      <c r="N71" s="12">
        <f>G20</f>
        <v>1600</v>
      </c>
      <c r="O71" s="1" t="s">
        <v>30</v>
      </c>
      <c r="P71" s="17">
        <f>G21</f>
        <v>1.7</v>
      </c>
      <c r="Q71" s="1" t="s">
        <v>29</v>
      </c>
      <c r="R71" s="1" t="s">
        <v>77</v>
      </c>
    </row>
    <row r="72" spans="3:16" ht="12.75">
      <c r="C72" s="1" t="s">
        <v>84</v>
      </c>
      <c r="H72" s="7"/>
      <c r="I72" s="7"/>
      <c r="J72" s="7"/>
      <c r="K72" s="7"/>
      <c r="L72" s="7"/>
      <c r="N72" s="12"/>
      <c r="P72" s="17"/>
    </row>
    <row r="73" spans="8:18" ht="12.75">
      <c r="H73" s="7"/>
      <c r="I73" s="7"/>
      <c r="J73" s="7"/>
      <c r="K73" s="7"/>
      <c r="L73" s="7"/>
      <c r="M73" s="1" t="s">
        <v>77</v>
      </c>
      <c r="N73" s="12">
        <f>H20</f>
        <v>1400</v>
      </c>
      <c r="O73" s="1" t="s">
        <v>23</v>
      </c>
      <c r="P73" s="17">
        <f>H21</f>
        <v>1.5</v>
      </c>
      <c r="Q73" s="1" t="s">
        <v>22</v>
      </c>
      <c r="R73" s="1" t="s">
        <v>77</v>
      </c>
    </row>
    <row r="74" spans="8:18" ht="12.75">
      <c r="H74" s="7"/>
      <c r="I74" s="7"/>
      <c r="J74" s="7"/>
      <c r="K74" s="7"/>
      <c r="L74" s="7"/>
      <c r="M74" s="1" t="s">
        <v>77</v>
      </c>
      <c r="N74" s="12">
        <f>I20</f>
        <v>1200</v>
      </c>
      <c r="O74" s="1" t="s">
        <v>33</v>
      </c>
      <c r="P74" s="17">
        <f>I21</f>
        <v>1.2</v>
      </c>
      <c r="Q74" s="1" t="s">
        <v>32</v>
      </c>
      <c r="R74" s="1" t="s">
        <v>77</v>
      </c>
    </row>
    <row r="75" spans="8:18" ht="12.75">
      <c r="H75" s="7"/>
      <c r="I75" s="7"/>
      <c r="J75" s="7"/>
      <c r="K75" s="11" t="s">
        <v>0</v>
      </c>
      <c r="L75" s="7" t="s">
        <v>0</v>
      </c>
      <c r="M75" s="1" t="s">
        <v>77</v>
      </c>
      <c r="N75" s="12">
        <f>J20</f>
        <v>1000</v>
      </c>
      <c r="O75" s="1" t="s">
        <v>56</v>
      </c>
      <c r="P75" s="17">
        <f>J21</f>
        <v>1</v>
      </c>
      <c r="Q75" s="1" t="s">
        <v>55</v>
      </c>
      <c r="R75" s="1" t="s">
        <v>77</v>
      </c>
    </row>
    <row r="76" spans="8:18" ht="12.75">
      <c r="H76" s="7"/>
      <c r="I76" s="7"/>
      <c r="J76" s="7"/>
      <c r="K76" s="11" t="s">
        <v>0</v>
      </c>
      <c r="L76" s="7"/>
      <c r="M76" s="1" t="s">
        <v>77</v>
      </c>
      <c r="N76" s="17">
        <f>J66</f>
        <v>0.2872928571428572</v>
      </c>
      <c r="O76" s="1" t="s">
        <v>21</v>
      </c>
      <c r="R76" s="1" t="s">
        <v>77</v>
      </c>
    </row>
    <row r="77" spans="8:18" ht="12.75">
      <c r="H77" s="7"/>
      <c r="I77" s="7"/>
      <c r="J77" s="7"/>
      <c r="K77" s="7"/>
      <c r="L77" s="7"/>
      <c r="M77" s="1" t="s">
        <v>77</v>
      </c>
      <c r="N77" s="17">
        <f>J43+J60</f>
        <v>3049.237332820513</v>
      </c>
      <c r="O77" s="1" t="s">
        <v>46</v>
      </c>
      <c r="R77" s="1" t="s">
        <v>77</v>
      </c>
    </row>
    <row r="78" spans="8:18" ht="12.75">
      <c r="H78" s="7"/>
      <c r="I78" s="7"/>
      <c r="J78" s="7"/>
      <c r="K78" s="7"/>
      <c r="L78" s="7"/>
      <c r="M78" s="1" t="s">
        <v>77</v>
      </c>
      <c r="N78" s="1" t="s">
        <v>77</v>
      </c>
      <c r="R78" s="1" t="s">
        <v>77</v>
      </c>
    </row>
    <row r="79" spans="8:18" ht="12.75">
      <c r="H79" s="7"/>
      <c r="I79" s="7"/>
      <c r="J79" s="7"/>
      <c r="K79" s="7"/>
      <c r="L79" s="7"/>
      <c r="M79" s="1" t="s">
        <v>83</v>
      </c>
      <c r="N79" s="1" t="s">
        <v>1</v>
      </c>
      <c r="R79" s="1" t="s">
        <v>83</v>
      </c>
    </row>
    <row r="80" spans="8:18" ht="12.75">
      <c r="H80" s="7"/>
      <c r="I80" s="7"/>
      <c r="J80" s="7"/>
      <c r="K80" s="7"/>
      <c r="L80" s="7"/>
      <c r="M80" s="1" t="s">
        <v>83</v>
      </c>
      <c r="O80" s="1" t="s">
        <v>113</v>
      </c>
      <c r="R80" s="1" t="s">
        <v>83</v>
      </c>
    </row>
    <row r="81" spans="8:18" ht="12.75">
      <c r="H81" s="18"/>
      <c r="I81" s="7"/>
      <c r="J81" s="7"/>
      <c r="K81" s="7"/>
      <c r="L81" s="7"/>
      <c r="M81" s="1" t="s">
        <v>83</v>
      </c>
      <c r="N81" s="1" t="s">
        <v>1</v>
      </c>
      <c r="R81" s="1" t="s">
        <v>83</v>
      </c>
    </row>
    <row r="82" spans="4:18" ht="12.75">
      <c r="D82" s="113" t="s">
        <v>129</v>
      </c>
      <c r="E82" s="112"/>
      <c r="F82" s="112"/>
      <c r="G82" s="112"/>
      <c r="H82" s="112"/>
      <c r="I82" s="112"/>
      <c r="J82" s="112"/>
      <c r="K82" s="7"/>
      <c r="L82" s="7"/>
      <c r="M82" s="1" t="s">
        <v>83</v>
      </c>
      <c r="N82" s="12">
        <f>0.04*N70+0.25*N71+0.42*N73+0.25*N74+0.04*N75</f>
        <v>1400</v>
      </c>
      <c r="O82" s="1" t="s">
        <v>19</v>
      </c>
      <c r="P82" s="1">
        <f>0.04*P70+0.25*P71+0.42*P73+0.25*P74+0.04*P75</f>
        <v>1.471</v>
      </c>
      <c r="Q82" s="1" t="s">
        <v>18</v>
      </c>
      <c r="R82" s="1" t="s">
        <v>83</v>
      </c>
    </row>
    <row r="83" spans="8:18" ht="12.75">
      <c r="H83" s="19" t="s">
        <v>0</v>
      </c>
      <c r="I83" s="19"/>
      <c r="J83" s="7"/>
      <c r="K83" s="7"/>
      <c r="L83" s="7"/>
      <c r="M83" s="1" t="s">
        <v>83</v>
      </c>
      <c r="N83" s="1">
        <f>0.25*(N70-N82)+0.5*(N71-N82)</f>
        <v>200</v>
      </c>
      <c r="O83" s="1" t="s">
        <v>44</v>
      </c>
      <c r="P83" s="1">
        <f>0.25*(P70-P82)+0.5*(P71-P82)</f>
        <v>0.2217499999999999</v>
      </c>
      <c r="Q83" s="1" t="s">
        <v>36</v>
      </c>
      <c r="R83" s="1" t="s">
        <v>83</v>
      </c>
    </row>
    <row r="84" spans="8:18" ht="12.75">
      <c r="H84" s="7"/>
      <c r="I84" s="7"/>
      <c r="J84" s="7"/>
      <c r="K84" s="7"/>
      <c r="L84" s="7"/>
      <c r="M84" s="1" t="s">
        <v>83</v>
      </c>
      <c r="N84" s="1">
        <f>0.25*(N82-N75)+0.5*(N82-N74)</f>
        <v>200</v>
      </c>
      <c r="O84" s="1" t="s">
        <v>45</v>
      </c>
      <c r="P84" s="1">
        <f>0.25*(P82-P75)+0.5*(P82-P74)</f>
        <v>0.2532500000000001</v>
      </c>
      <c r="Q84" s="1" t="s">
        <v>37</v>
      </c>
      <c r="R84" s="1" t="s">
        <v>83</v>
      </c>
    </row>
    <row r="85" spans="4:18" ht="12.75">
      <c r="D85" s="1" t="s">
        <v>0</v>
      </c>
      <c r="E85" s="1" t="s">
        <v>128</v>
      </c>
      <c r="G85" s="1" t="s">
        <v>259</v>
      </c>
      <c r="H85" s="7"/>
      <c r="I85" s="8" t="s">
        <v>128</v>
      </c>
      <c r="J85" s="8" t="s">
        <v>0</v>
      </c>
      <c r="K85" s="11" t="s">
        <v>232</v>
      </c>
      <c r="L85" s="7"/>
      <c r="M85" s="1" t="s">
        <v>83</v>
      </c>
      <c r="N85" s="12">
        <f>N83^2</f>
        <v>40000</v>
      </c>
      <c r="O85" s="1" t="s">
        <v>53</v>
      </c>
      <c r="P85" s="1">
        <f>P83^2</f>
        <v>0.049173062499999955</v>
      </c>
      <c r="Q85" s="1" t="s">
        <v>47</v>
      </c>
      <c r="R85" s="1" t="s">
        <v>83</v>
      </c>
    </row>
    <row r="86" spans="4:18" ht="12.75">
      <c r="D86" s="1" t="s">
        <v>96</v>
      </c>
      <c r="E86" s="1" t="s">
        <v>265</v>
      </c>
      <c r="G86" s="1" t="s">
        <v>179</v>
      </c>
      <c r="H86" s="7"/>
      <c r="I86" s="8" t="s">
        <v>205</v>
      </c>
      <c r="J86" s="8" t="s">
        <v>0</v>
      </c>
      <c r="K86" s="11" t="s">
        <v>216</v>
      </c>
      <c r="L86" s="7" t="s">
        <v>2</v>
      </c>
      <c r="M86" s="1" t="s">
        <v>83</v>
      </c>
      <c r="N86" s="12">
        <f>N84^2</f>
        <v>40000</v>
      </c>
      <c r="O86" s="1" t="s">
        <v>54</v>
      </c>
      <c r="P86" s="1">
        <f>P84^2</f>
        <v>0.06413556250000005</v>
      </c>
      <c r="Q86" s="1" t="s">
        <v>48</v>
      </c>
      <c r="R86" s="1" t="s">
        <v>83</v>
      </c>
    </row>
    <row r="87" spans="8:18" ht="12.75">
      <c r="H87" s="7"/>
      <c r="I87" s="7"/>
      <c r="J87" s="7"/>
      <c r="K87" s="7"/>
      <c r="L87" s="7"/>
      <c r="M87" s="1" t="s">
        <v>83</v>
      </c>
      <c r="N87" s="1" t="s">
        <v>1</v>
      </c>
      <c r="R87" s="1" t="s">
        <v>83</v>
      </c>
    </row>
    <row r="88" spans="4:18" ht="12.75">
      <c r="D88" s="12">
        <f>J15</f>
        <v>1</v>
      </c>
      <c r="E88" s="12">
        <v>1200</v>
      </c>
      <c r="G88" s="12">
        <v>1200</v>
      </c>
      <c r="H88" s="7"/>
      <c r="I88" s="8">
        <v>0.85</v>
      </c>
      <c r="J88" s="7"/>
      <c r="K88" s="6">
        <f>G88*P82</f>
        <v>1765.2</v>
      </c>
      <c r="L88" s="7"/>
      <c r="M88" s="1" t="s">
        <v>83</v>
      </c>
      <c r="N88" s="12">
        <f>(N82^2*P85)+(P82-N76)^2*N85</f>
        <v>152425.70650204073</v>
      </c>
      <c r="O88" s="12" t="s">
        <v>49</v>
      </c>
      <c r="P88" s="12">
        <f>(N82^2*P86)+(P82-N76)^2*N86</f>
        <v>181752.2065020409</v>
      </c>
      <c r="Q88" s="1" t="s">
        <v>52</v>
      </c>
      <c r="R88" s="1" t="s">
        <v>83</v>
      </c>
    </row>
    <row r="89" spans="8:18" ht="12.75">
      <c r="H89" s="7"/>
      <c r="I89" s="7"/>
      <c r="J89" s="7"/>
      <c r="K89" s="7"/>
      <c r="L89" s="7"/>
      <c r="M89" s="1" t="s">
        <v>83</v>
      </c>
      <c r="N89" s="12">
        <f>(N82^2*P85)+(P82-N76)^2*N86</f>
        <v>152425.70650204073</v>
      </c>
      <c r="O89" s="12" t="s">
        <v>50</v>
      </c>
      <c r="P89" s="12">
        <f>N82^2*P86+(P82-N76)^2*N85</f>
        <v>181752.2065020409</v>
      </c>
      <c r="Q89" s="1" t="s">
        <v>51</v>
      </c>
      <c r="R89" s="1" t="s">
        <v>83</v>
      </c>
    </row>
    <row r="90" spans="8:19" ht="12.75">
      <c r="H90" s="7"/>
      <c r="I90" s="7"/>
      <c r="J90" s="7"/>
      <c r="K90" s="7"/>
      <c r="L90" s="7"/>
      <c r="M90" s="1" t="s">
        <v>83</v>
      </c>
      <c r="N90" s="12">
        <f>SQRT(N88)</f>
        <v>390.4173491304411</v>
      </c>
      <c r="O90" s="12" t="s">
        <v>38</v>
      </c>
      <c r="P90" s="12">
        <f>SQRT(P88)</f>
        <v>426.32406277624176</v>
      </c>
      <c r="Q90" s="1" t="s">
        <v>41</v>
      </c>
      <c r="R90" s="1" t="s">
        <v>83</v>
      </c>
      <c r="S90" s="1" t="s">
        <v>0</v>
      </c>
    </row>
    <row r="91" spans="8:18" ht="12.75">
      <c r="H91" s="7"/>
      <c r="I91" s="7"/>
      <c r="J91" s="7"/>
      <c r="K91" s="7"/>
      <c r="L91" s="7"/>
      <c r="M91" s="1" t="s">
        <v>83</v>
      </c>
      <c r="N91" s="12">
        <f>SQRT(N89)</f>
        <v>390.4173491304411</v>
      </c>
      <c r="O91" s="12" t="s">
        <v>39</v>
      </c>
      <c r="P91" s="12">
        <f>SQRT(P89)</f>
        <v>426.32406277624176</v>
      </c>
      <c r="Q91" s="1" t="s">
        <v>40</v>
      </c>
      <c r="R91" s="1" t="s">
        <v>83</v>
      </c>
    </row>
    <row r="92" spans="3:18" ht="12.75">
      <c r="C92" s="1" t="s">
        <v>5</v>
      </c>
      <c r="H92" s="7"/>
      <c r="I92" s="7"/>
      <c r="J92" s="7"/>
      <c r="K92" s="7"/>
      <c r="L92" s="7"/>
      <c r="M92" s="1" t="s">
        <v>83</v>
      </c>
      <c r="N92" s="12">
        <f>0.66*N90+0.17*N91+0.17*P91</f>
        <v>396.5214904502272</v>
      </c>
      <c r="O92" s="12" t="s">
        <v>42</v>
      </c>
      <c r="P92" s="12">
        <f>0.66*P90+0.17*N91+0.17*P91</f>
        <v>420.21992145645567</v>
      </c>
      <c r="Q92" s="1" t="s">
        <v>43</v>
      </c>
      <c r="R92" s="1" t="s">
        <v>83</v>
      </c>
    </row>
    <row r="93" spans="8:18" ht="12.75">
      <c r="H93" s="7"/>
      <c r="I93" s="7"/>
      <c r="J93" s="7"/>
      <c r="K93" s="7"/>
      <c r="L93" s="7"/>
      <c r="M93" s="1" t="s">
        <v>83</v>
      </c>
      <c r="N93" s="1" t="s">
        <v>1</v>
      </c>
      <c r="R93" s="1" t="s">
        <v>83</v>
      </c>
    </row>
    <row r="94" spans="3:18" ht="12.75">
      <c r="C94" s="1" t="s">
        <v>182</v>
      </c>
      <c r="H94" s="7"/>
      <c r="I94" s="7"/>
      <c r="J94" s="7"/>
      <c r="K94" s="7"/>
      <c r="L94" s="7"/>
      <c r="M94" s="1" t="s">
        <v>83</v>
      </c>
      <c r="N94" s="1" t="s">
        <v>112</v>
      </c>
      <c r="R94" s="1" t="s">
        <v>83</v>
      </c>
    </row>
    <row r="95" spans="3:18" ht="12.75">
      <c r="C95" s="1" t="s">
        <v>226</v>
      </c>
      <c r="H95" s="7"/>
      <c r="I95" s="7"/>
      <c r="J95" s="7"/>
      <c r="K95" s="7"/>
      <c r="L95" s="7"/>
      <c r="M95" s="1" t="s">
        <v>83</v>
      </c>
      <c r="N95" s="1" t="s">
        <v>1</v>
      </c>
      <c r="R95" s="1" t="s">
        <v>83</v>
      </c>
    </row>
    <row r="96" spans="3:18" ht="12.75">
      <c r="C96" s="1" t="s">
        <v>225</v>
      </c>
      <c r="H96" s="7"/>
      <c r="I96" s="7"/>
      <c r="J96" s="7"/>
      <c r="K96" s="7"/>
      <c r="L96" s="7"/>
      <c r="M96" s="1" t="s">
        <v>83</v>
      </c>
      <c r="N96" s="12">
        <f>N90*N69</f>
        <v>390.4173491304411</v>
      </c>
      <c r="O96" s="1" t="s">
        <v>38</v>
      </c>
      <c r="P96" s="12">
        <f>P90*N69</f>
        <v>426.32406277624176</v>
      </c>
      <c r="Q96" s="1" t="s">
        <v>41</v>
      </c>
      <c r="R96" s="1" t="s">
        <v>83</v>
      </c>
    </row>
    <row r="97" spans="8:18" ht="12.75">
      <c r="H97" s="7"/>
      <c r="I97" s="7"/>
      <c r="J97" s="7"/>
      <c r="K97" s="7"/>
      <c r="L97" s="7" t="s">
        <v>0</v>
      </c>
      <c r="M97" s="1" t="s">
        <v>83</v>
      </c>
      <c r="N97" s="12">
        <f>N91*N69</f>
        <v>390.4173491304411</v>
      </c>
      <c r="O97" s="1" t="s">
        <v>39</v>
      </c>
      <c r="P97" s="12">
        <f>P91*N69</f>
        <v>426.32406277624176</v>
      </c>
      <c r="Q97" s="1" t="s">
        <v>40</v>
      </c>
      <c r="R97" s="1" t="s">
        <v>83</v>
      </c>
    </row>
    <row r="98" spans="6:18" ht="12.75">
      <c r="F98" s="1" t="s">
        <v>31</v>
      </c>
      <c r="H98" s="19" t="s">
        <v>20</v>
      </c>
      <c r="I98" s="7"/>
      <c r="J98" s="8" t="s">
        <v>34</v>
      </c>
      <c r="K98" s="7"/>
      <c r="L98" s="7"/>
      <c r="M98" s="1" t="s">
        <v>83</v>
      </c>
      <c r="N98" s="12">
        <f>N69*N92</f>
        <v>396.5214904502272</v>
      </c>
      <c r="O98" s="1" t="s">
        <v>42</v>
      </c>
      <c r="P98" s="12">
        <f>N69*P92</f>
        <v>420.21992145645567</v>
      </c>
      <c r="Q98" s="1" t="s">
        <v>43</v>
      </c>
      <c r="R98" s="1" t="s">
        <v>83</v>
      </c>
    </row>
    <row r="99" spans="5:18" ht="12.75">
      <c r="E99" s="7"/>
      <c r="K99" s="7"/>
      <c r="L99" s="7"/>
      <c r="M99" s="1" t="s">
        <v>83</v>
      </c>
      <c r="N99" s="17">
        <f>P73</f>
        <v>1.5</v>
      </c>
      <c r="O99" s="1" t="s">
        <v>25</v>
      </c>
      <c r="P99" s="1">
        <f>N73</f>
        <v>1400</v>
      </c>
      <c r="Q99" s="1" t="s">
        <v>28</v>
      </c>
      <c r="R99" s="1" t="s">
        <v>83</v>
      </c>
    </row>
    <row r="100" spans="3:18" ht="12.75">
      <c r="C100" s="1" t="s">
        <v>81</v>
      </c>
      <c r="E100" s="11">
        <f>P101+1.5*N98</f>
        <v>-797.2650971451723</v>
      </c>
      <c r="F100" s="11">
        <f>(P101+N98)</f>
        <v>-995.5258423702858</v>
      </c>
      <c r="G100" s="11">
        <f>P101+0.5*N98</f>
        <v>-1193.7865875953994</v>
      </c>
      <c r="H100" s="16">
        <f>P101</f>
        <v>-1392.047332820513</v>
      </c>
      <c r="I100" s="11">
        <f>P101-0.5*P98</f>
        <v>-1602.1572935487409</v>
      </c>
      <c r="J100" s="11">
        <f>P101-P98</f>
        <v>-1812.2672542769687</v>
      </c>
      <c r="K100" s="11">
        <f>P101-1.5*P98</f>
        <v>-2022.3772150051964</v>
      </c>
      <c r="L100" s="7"/>
      <c r="M100" s="1" t="s">
        <v>83</v>
      </c>
      <c r="N100" s="12">
        <f>J15*N82*P82</f>
        <v>2059.4</v>
      </c>
      <c r="O100" s="1" t="s">
        <v>17</v>
      </c>
      <c r="P100" s="12">
        <f>(N77+N73*N76)*N69</f>
        <v>3451.447332820513</v>
      </c>
      <c r="Q100" s="1" t="s">
        <v>26</v>
      </c>
      <c r="R100" s="1" t="s">
        <v>83</v>
      </c>
    </row>
    <row r="101" spans="3:18" ht="12.75">
      <c r="C101" s="1" t="s">
        <v>115</v>
      </c>
      <c r="E101" s="20">
        <f>IF(O105&lt;1,IF(N105,S105,1-S105),IF(N105,S106,1-S106))</f>
        <v>0.063938095702778</v>
      </c>
      <c r="F101" s="20">
        <f>IF(U105&lt;1,IF(T105,Y105,1-Y105),IF(T105,Y106,1-Y106))</f>
        <v>0.1586783767401924</v>
      </c>
      <c r="G101" s="20">
        <f>IF(AA105&lt;1,IF(Z105,AE105,1-AE105),IF(Z105,AE106,1-AE106))</f>
        <v>0.3237105665753767</v>
      </c>
      <c r="H101" s="20">
        <f>IF(O107&lt;1,IF(N107,S107,1-S107),IF(N107,S108,1-S108))</f>
        <v>0.5181837281170851</v>
      </c>
      <c r="I101" s="21">
        <f>IF(U107&lt;1,IF(T107,Y107,1-Y107),IF(T107,Y108,1-Y108))</f>
        <v>0.7055413663109277</v>
      </c>
      <c r="J101" s="21">
        <f>IF(AA107&lt;1,IF(Z107,AE107,1-AE107),IF(Z107,AE108,1-AE108))</f>
        <v>0.8413664517563849</v>
      </c>
      <c r="K101" s="22">
        <f>IF(O109&lt;1,IF(N109,S109,1-S109),IF(N109,S110,1-S110))</f>
        <v>0.9304755283717453</v>
      </c>
      <c r="L101" s="7" t="s">
        <v>0</v>
      </c>
      <c r="M101" s="1" t="s">
        <v>83</v>
      </c>
      <c r="N101" s="12">
        <f>N100+(0.7857*(P98-N98))</f>
        <v>2078.019857241594</v>
      </c>
      <c r="O101" s="1" t="s">
        <v>27</v>
      </c>
      <c r="P101" s="12">
        <f>N100-P100</f>
        <v>-1392.047332820513</v>
      </c>
      <c r="Q101" s="1" t="s">
        <v>15</v>
      </c>
      <c r="R101" s="1" t="s">
        <v>83</v>
      </c>
    </row>
    <row r="102" spans="3:18" ht="12.75">
      <c r="C102" s="1" t="s">
        <v>115</v>
      </c>
      <c r="E102" s="23">
        <f>IF(O105&lt;1,IF(N105,1-S105,S105),IF(N105,1-S106,S106))</f>
        <v>0.936061904297222</v>
      </c>
      <c r="F102" s="23">
        <f>IF(U105&lt;1,IF(T105,1-Y105,Y105),IF(T105,1-Y106,Y106))</f>
        <v>0.8413216232598076</v>
      </c>
      <c r="G102" s="23">
        <f>IF(AA105&lt;1,IF(Z105,1-AE105,AE105),IF(Z105,1-AE106,AE106))</f>
        <v>0.6762894334246232</v>
      </c>
      <c r="H102" s="20">
        <f>IF(O107&lt;1,IF(N107,1-S107,S107),IF(N107,1-S108,S108))</f>
        <v>0.4818162718829148</v>
      </c>
      <c r="I102" s="20">
        <f>IF(U107&lt;1,IF(T107,1-Y107,Y107),IF(T107,1-Y108,Y108))</f>
        <v>0.2944586336890723</v>
      </c>
      <c r="J102" s="20">
        <f>IF(AA107&lt;1,IF(Z107,1-AE107,AE107),IF(Z107,1-AE108,AE108))</f>
        <v>0.15863354824361509</v>
      </c>
      <c r="K102" s="20">
        <f>IF(O109&lt;1,IF(N109,1-S109,S109),IF(N109,1-S110,S110))</f>
        <v>0.06952447162825469</v>
      </c>
      <c r="L102" s="7"/>
      <c r="M102" s="1" t="s">
        <v>83</v>
      </c>
      <c r="N102" s="12">
        <f>N101-P100</f>
        <v>-1373.4274755789193</v>
      </c>
      <c r="O102" s="1" t="s">
        <v>24</v>
      </c>
      <c r="P102" s="1">
        <f>P101-N102</f>
        <v>-18.619857241593763</v>
      </c>
      <c r="Q102" s="1" t="s">
        <v>16</v>
      </c>
      <c r="R102" s="1" t="s">
        <v>83</v>
      </c>
    </row>
    <row r="103" spans="5:18" ht="12.75">
      <c r="E103" s="7"/>
      <c r="F103" s="7"/>
      <c r="G103" s="7"/>
      <c r="H103" s="7"/>
      <c r="I103" s="7"/>
      <c r="J103" s="7"/>
      <c r="K103" s="7"/>
      <c r="L103" s="7"/>
      <c r="M103" s="1" t="s">
        <v>83</v>
      </c>
      <c r="N103" s="1" t="s">
        <v>1</v>
      </c>
      <c r="R103" s="1" t="s">
        <v>83</v>
      </c>
    </row>
    <row r="104" spans="3:12" ht="12.75">
      <c r="C104" s="15" t="s">
        <v>116</v>
      </c>
      <c r="E104" s="7"/>
      <c r="F104" s="24">
        <f>IF(U109&lt;1,IF(T109,Y109,1-Y109),IF(T109,Y110,1-Y110))</f>
        <v>0.00620969291581936</v>
      </c>
      <c r="G104" s="7" t="s">
        <v>6</v>
      </c>
      <c r="H104" s="7"/>
      <c r="I104" s="7"/>
      <c r="J104" s="7"/>
      <c r="K104" s="16">
        <f>N69*(H20*H21-J62)</f>
        <v>-1351.447332820513</v>
      </c>
      <c r="L104" s="7"/>
    </row>
    <row r="105" spans="8:31" ht="12.75">
      <c r="H105" s="7"/>
      <c r="I105" s="7"/>
      <c r="J105" s="7"/>
      <c r="K105" s="7"/>
      <c r="L105" s="7"/>
      <c r="N105" s="17" t="b">
        <f>+E100&gt;=N102</f>
        <v>1</v>
      </c>
      <c r="O105" s="17">
        <f>ABS((E100-P101)/IF(N105,N98,P98))</f>
        <v>1.5</v>
      </c>
      <c r="P105" s="17">
        <f>MIN(2.5,ABS((E100-(N102+P102*ABS(E100-N102)/ABS(IF(N105,N98+P102,P98-P102))*MIN(1,O105)))/(MIN(1.52,O105)/1.52*IF(N105,N96,P96)+(1.52-MIN(1.52,O105))/3.04*N97+(1.52-MIN(1.52,O105))/3.04*P97)))</f>
        <v>1.5475370382962772</v>
      </c>
      <c r="Q105" s="17">
        <f aca="true" t="shared" si="1" ref="Q105:Q110">1/(1+(0.2316419*P105))</f>
        <v>0.736119860169853</v>
      </c>
      <c r="R105" s="17">
        <f aca="true" t="shared" si="2" ref="R105:R110">0.398942281*((2.71828)^((-(P105^2)/2)))</f>
        <v>0.12046775337686887</v>
      </c>
      <c r="S105" s="17">
        <f aca="true" t="shared" si="3" ref="S105:S110">R105*(0.31938153*Q105-0.356563782*Q105^2+1.781477937*Q105^3-1.821255978*Q105^4+1.330274429*Q105^5)</f>
        <v>0.06086696286780264</v>
      </c>
      <c r="T105" s="17" t="b">
        <f>+F100&gt;=N102</f>
        <v>1</v>
      </c>
      <c r="U105" s="17">
        <f>ABS((F100-P101)/IF(T105,N98,P98))</f>
        <v>1.0000000000000002</v>
      </c>
      <c r="V105" s="17">
        <f>MIN(2.5,ABS((F100-(N102+P102*ABS(F100-N102)/ABS(IF(T105,N98+P102,P98-P102))*MIN(1,U105)))/(MIN(1.52,U105)/1.52*IF(T105,N96,P96)+(1.52-MIN(1.52,U105))/3.04*N97+(1.52-MIN(1.52,U105))/3.04*P97)))</f>
        <v>0.9999046888021044</v>
      </c>
      <c r="W105" s="17">
        <f aca="true" t="shared" si="4" ref="W105:W110">1/(1+(0.2316419*V105))</f>
        <v>0.8119388647305946</v>
      </c>
      <c r="X105" s="17">
        <f aca="true" t="shared" si="5" ref="X105:X110">0.398942281*((2.71828)^((-(V105^2)/2)))</f>
        <v>0.24199386877515647</v>
      </c>
      <c r="Y105" s="17">
        <f aca="true" t="shared" si="6" ref="Y105:Y110">X105*(0.31938153*W105-0.356563782*W105^2+1.781477937*W105^3-1.821255978*W105^4+1.330274429*W105^5)</f>
        <v>0.1586783767401924</v>
      </c>
      <c r="Z105" s="17" t="b">
        <f>+G100&gt;=N102</f>
        <v>1</v>
      </c>
      <c r="AA105" s="17">
        <f>ABS((G100-P101)/IF(Z105,N98,P98))</f>
        <v>0.5000000000000001</v>
      </c>
      <c r="AB105" s="17">
        <f>MIN(2.5,ABS((G100-(N102+P102*ABS(G100-N102)/ABS(IF(Z105,N98+P102,P98-P102))*MIN(1,AA105)))/(MIN(1.52,AA105)/1.52*IF(Z105,N96,P96)+(1.52-MIN(1.52,AA105))/3.04*N97+(1.52-MIN(1.52,AA105))/3.04*P97)))</f>
        <v>0.45734783368953413</v>
      </c>
      <c r="AC105" s="17">
        <f>1/(1+(0.2316419*AB105))</f>
        <v>0.9042074317623389</v>
      </c>
      <c r="AD105" s="17">
        <f>0.398942281*((2.71828)^((-(AB105^2)/2)))</f>
        <v>0.3593271651907048</v>
      </c>
      <c r="AE105" s="17">
        <f>AD105*(0.31938153*AC105-0.356563782*AC105^2+1.781477937*AC105^3-1.821255978*AC105^4+1.330274429*AC105^5)</f>
        <v>0.3237105665753767</v>
      </c>
    </row>
    <row r="106" spans="8:31" ht="12.75">
      <c r="H106" s="7"/>
      <c r="I106" s="7"/>
      <c r="J106" s="7"/>
      <c r="K106" s="7"/>
      <c r="L106" s="7"/>
      <c r="M106" s="1" t="s">
        <v>0</v>
      </c>
      <c r="P106" s="17">
        <f>MIN(2.5,ABS((E100-P101)/(MIN(1.52,O105)/1.52*IF(N105,N96,P96)+(1.52-MIN(1.52,O105))/3.04*N97+(1.52-MIN(1.52,O105))/3.04*P97)))</f>
        <v>1.522531137349146</v>
      </c>
      <c r="Q106" s="17">
        <f t="shared" si="1"/>
        <v>0.7392720506076723</v>
      </c>
      <c r="R106" s="17">
        <f t="shared" si="2"/>
        <v>0.12518178925070284</v>
      </c>
      <c r="S106" s="17">
        <f t="shared" si="3"/>
        <v>0.063938095702778</v>
      </c>
      <c r="V106" s="17">
        <f>MIN(2.5,ABS((F100-P101)/(MIN(1.52,U105)/1.52*IF(T105,N96,P96)+(1.52-MIN(1.52,U105))/3.04*N97+(1.52-MIN(1.52,U105))/3.04*P97)))</f>
        <v>0.9999046888021044</v>
      </c>
      <c r="W106" s="17">
        <f t="shared" si="4"/>
        <v>0.8119388647305946</v>
      </c>
      <c r="X106" s="17">
        <f t="shared" si="5"/>
        <v>0.24199386877515647</v>
      </c>
      <c r="Y106" s="17">
        <f t="shared" si="6"/>
        <v>0.1586783767401924</v>
      </c>
      <c r="AB106" s="17">
        <f>MIN(2.5,ABS((G100-P101)/(MIN(1.52,AA105)/1.52*IF(Z105,N96,P96)+(1.52-MIN(1.52,AA105))/3.04*N97+(1.52-MIN(1.52,AA105))/3.04*P97)))</f>
        <v>0.4926161205645264</v>
      </c>
      <c r="AC106" s="17">
        <f>1/(1+(0.2316419*AB106))</f>
        <v>0.8975770081678075</v>
      </c>
      <c r="AD106" s="17">
        <f>0.398942281*((2.71828)^((-(AB106^2)/2)))</f>
        <v>0.3533579294882311</v>
      </c>
      <c r="AE106" s="17">
        <f>AD106*(0.31938153*AC106-0.356563782*AC106^2+1.781477937*AC106^3-1.821255978*AC106^4+1.330274429*AC106^5)</f>
        <v>0.3111419510163338</v>
      </c>
    </row>
    <row r="107" spans="12:31" ht="12.75">
      <c r="L107" s="1" t="s">
        <v>2</v>
      </c>
      <c r="N107" s="17" t="b">
        <f>+H100&gt;=N102</f>
        <v>0</v>
      </c>
      <c r="O107" s="17">
        <f>ABS((H100-P101)/IF(N107,N98,P98))</f>
        <v>0</v>
      </c>
      <c r="P107" s="17">
        <f>MIN(2.5,ABS((H100-(N102+P102*ABS(H100-N102)/ABS(IF(N107,N98+P102,P98-P102))*MIN(1,O107)))/(MIN(1.52,O107)/1.52*IF(N107,N96,P96)+(1.52-MIN(1.52,O107))/3.04*N97+(1.52-MIN(1.52,O107))/3.04*P97)))</f>
        <v>0.045595477271381905</v>
      </c>
      <c r="Q107" s="17">
        <f t="shared" si="1"/>
        <v>0.9895485632384806</v>
      </c>
      <c r="R107" s="17">
        <f t="shared" si="2"/>
        <v>0.39852780669534194</v>
      </c>
      <c r="S107" s="17">
        <f t="shared" si="3"/>
        <v>0.4818162718829148</v>
      </c>
      <c r="T107" s="17" t="b">
        <f>+I100&gt;=N102</f>
        <v>0</v>
      </c>
      <c r="U107" s="17">
        <f>ABS((I100-P101)/IF(T107,N98,P98))</f>
        <v>0.5000000000000001</v>
      </c>
      <c r="V107" s="17">
        <f>MIN(2.5,ABS((I100-(N102+P102*ABS(I100-N102)/ABS(IF(T107,N98+P102,P98-P102))*MIN(1,U107)))/(MIN(1.52,U107)/1.52*IF(T107,N96,P96)+(1.52-MIN(1.52,U107))/3.04*N97+(1.52-MIN(1.52,U107))/3.04*P97)))</f>
        <v>0.5404057204274434</v>
      </c>
      <c r="W107" s="17">
        <f t="shared" si="4"/>
        <v>0.8887462092954111</v>
      </c>
      <c r="X107" s="17">
        <f t="shared" si="5"/>
        <v>0.3447424698766678</v>
      </c>
      <c r="Y107" s="17">
        <f t="shared" si="6"/>
        <v>0.2944586336890723</v>
      </c>
      <c r="Z107" s="17" t="b">
        <f>+J100&gt;=N102</f>
        <v>0</v>
      </c>
      <c r="AA107" s="17">
        <f>ABS((J100-P101)/IF(Z107,N98,P98))</f>
        <v>1.0000000000000002</v>
      </c>
      <c r="AB107" s="17">
        <f>MIN(2.5,ABS((J100-(N102+P102*ABS(J100-N102)/ABS(IF(Z107,N98+P102,P98-P102))*MIN(1,AA107)))/(MIN(1.52,AA107)/1.52*IF(Z107,N96,P96)+(1.52-MIN(1.52,AA107))/3.04*N97+(1.52-MIN(1.52,AA107))/3.04*P97)))</f>
        <v>1.0000899527572418</v>
      </c>
      <c r="AC107" s="17">
        <f>1/(1+(0.2316419*AB107))</f>
        <v>0.8119105742986973</v>
      </c>
      <c r="AD107" s="17">
        <f>0.398942281*((2.71828)^((-(AB107^2)/2)))</f>
        <v>0.24194904033684292</v>
      </c>
      <c r="AE107" s="17">
        <f>AD107*(0.31938153*AC107-0.356563782*AC107^2+1.781477937*AC107^3-1.821255978*AC107^4+1.330274429*AC107^5)</f>
        <v>0.15863354824361509</v>
      </c>
    </row>
    <row r="108" spans="16:31" ht="12.75">
      <c r="P108" s="17">
        <f>MIN(2.5,ABS((H100-P101)/(MIN(1.52,O107)/1.52*IF(N107,N96,P96)+(1.52-MIN(1.52,O107))/3.04*N97+(1.52-MIN(1.52,O107))/3.04*P97)))</f>
        <v>0</v>
      </c>
      <c r="Q108" s="17">
        <f t="shared" si="1"/>
        <v>1</v>
      </c>
      <c r="R108" s="17">
        <f t="shared" si="2"/>
        <v>0.398942281</v>
      </c>
      <c r="S108" s="17">
        <f t="shared" si="3"/>
        <v>0.5000000002253843</v>
      </c>
      <c r="V108" s="17">
        <f>MIN(2.5,ABS((I100-P101)/(MIN(1.52,U107)/1.52*IF(T107,N96,P96)+(1.52-MIN(1.52,U107))/3.04*N97+(1.52-MIN(1.52,U107))/3.04*P97)))</f>
        <v>0.5071733579326047</v>
      </c>
      <c r="W108" s="17">
        <f t="shared" si="4"/>
        <v>0.8948685194440961</v>
      </c>
      <c r="X108" s="17">
        <f t="shared" si="5"/>
        <v>0.35079584858474555</v>
      </c>
      <c r="Y108" s="17">
        <f t="shared" si="6"/>
        <v>0.3060166099427936</v>
      </c>
      <c r="AB108" s="17">
        <f>MIN(2.5,ABS((J100-P101)/(MIN(1.52,AA107)/1.52*IF(Z107,N96,P96)+(1.52-MIN(1.52,AA107))/3.04*N97+(1.52-MIN(1.52,AA107))/3.04*P97)))</f>
        <v>1.0000899527572418</v>
      </c>
      <c r="AC108" s="17">
        <f>1/(1+(0.2316419*AB108))</f>
        <v>0.8119105742986973</v>
      </c>
      <c r="AD108" s="17">
        <f>0.398942281*((2.71828)^((-(AB108^2)/2)))</f>
        <v>0.24194904033684292</v>
      </c>
      <c r="AE108" s="17">
        <f>AD108*(0.31938153*AC108-0.356563782*AC108^2+1.781477937*AC108^3-1.821255978*AC108^4+1.330274429*AC108^5)</f>
        <v>0.15863354824361509</v>
      </c>
    </row>
    <row r="109" spans="14:25" ht="12.75">
      <c r="N109" s="17" t="b">
        <f>+K100&gt;=N102</f>
        <v>0</v>
      </c>
      <c r="O109" s="17">
        <f>ABS((K100-P101)/IF(N109,N98,P98))</f>
        <v>1.4999999999999996</v>
      </c>
      <c r="P109" s="17">
        <f>MIN(2.5,ABS((K100-(N102+P102*ABS(K100-N102)/ABS(IF(N109,N98+P102,P98-P102))*MIN(1,O109)))/(MIN(1.52,O109)/1.52*IF(N109,N96,P96)+(1.52-MIN(1.52,O109))/3.04*N97+(1.52-MIN(1.52,O109))/3.04*P97)))</f>
        <v>1.4584198872613836</v>
      </c>
      <c r="Q109" s="17">
        <f t="shared" si="1"/>
        <v>0.7474784820543513</v>
      </c>
      <c r="R109" s="17">
        <f t="shared" si="2"/>
        <v>0.13773384711860945</v>
      </c>
      <c r="S109" s="17">
        <f t="shared" si="3"/>
        <v>0.07236251167657363</v>
      </c>
      <c r="T109" s="17" t="b">
        <f>0&gt;=N102</f>
        <v>1</v>
      </c>
      <c r="U109" s="17">
        <f>ABS((0-P101)/IF(T109,N98,P98))</f>
        <v>3.510647887558185</v>
      </c>
      <c r="V109" s="17">
        <f>MIN(2.5,ABS((0-(N102+P102*ABS(0-N102)/ABS(IF(T109,N98+P102,P98-P102))*MIN(1,U109)))/(MIN(1.52,U109)/1.52*IF(T109,N96,P96)+(1.52-MIN(1.52,U109))/3.04*N97+(1.52-MIN(1.52,U109))/3.04*P97)))</f>
        <v>2.5</v>
      </c>
      <c r="W109" s="17">
        <f t="shared" si="4"/>
        <v>0.6332702121249398</v>
      </c>
      <c r="X109" s="17">
        <f t="shared" si="5"/>
        <v>0.017528337365090806</v>
      </c>
      <c r="Y109" s="17">
        <f t="shared" si="6"/>
        <v>0.00620969291581936</v>
      </c>
    </row>
    <row r="110" spans="9:25" ht="12.75">
      <c r="I110" s="25"/>
      <c r="L110" s="1" t="s">
        <v>2</v>
      </c>
      <c r="P110" s="17">
        <f>MIN(2.5,ABS((K100-P101)/(MIN(1.52,O109)/1.52*IF(N109,N96,P96)+(1.52-MIN(1.52,O109))/3.04*N97+(1.52-MIN(1.52,O109))/3.04*P97)))</f>
        <v>1.4793425939436575</v>
      </c>
      <c r="Q110" s="17">
        <f t="shared" si="1"/>
        <v>0.7447803581182948</v>
      </c>
      <c r="R110" s="17">
        <f t="shared" si="2"/>
        <v>0.13356526411862293</v>
      </c>
      <c r="S110" s="17">
        <f t="shared" si="3"/>
        <v>0.06952447162825469</v>
      </c>
      <c r="V110" s="17">
        <f>MIN(2.5,ABS((0-P101)/(MIN(1.52,U109)/1.52*IF(T109,N96,P96)+(1.52-MIN(1.52,U109))/3.04*N97+(1.52-MIN(1.52,U109))/3.04*P97)))</f>
        <v>2.5</v>
      </c>
      <c r="W110" s="17">
        <f t="shared" si="4"/>
        <v>0.6332702121249398</v>
      </c>
      <c r="X110" s="17">
        <f t="shared" si="5"/>
        <v>0.017528337365090806</v>
      </c>
      <c r="Y110" s="17">
        <f t="shared" si="6"/>
        <v>0.00620969291581936</v>
      </c>
    </row>
    <row r="115" ht="12.75">
      <c r="B115" s="1" t="s">
        <v>84</v>
      </c>
    </row>
  </sheetData>
  <sheetProtection/>
  <mergeCells count="2">
    <mergeCell ref="F12:H12"/>
    <mergeCell ref="D82:J8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7"/>
  </sheetPr>
  <dimension ref="A2:J61"/>
  <sheetViews>
    <sheetView zoomScalePageLayoutView="0" workbookViewId="0" topLeftCell="A1">
      <selection activeCell="I55" sqref="I55"/>
    </sheetView>
  </sheetViews>
  <sheetFormatPr defaultColWidth="9.140625" defaultRowHeight="12.75"/>
  <cols>
    <col min="1" max="1" width="3.140625" style="1" customWidth="1"/>
    <col min="2" max="2" width="14.421875" style="1" customWidth="1"/>
    <col min="3" max="3" width="13.421875" style="1" customWidth="1"/>
    <col min="4" max="4" width="10.7109375" style="1" customWidth="1"/>
    <col min="5" max="5" width="10.28125" style="1" customWidth="1"/>
    <col min="6" max="6" width="10.7109375" style="1" customWidth="1"/>
    <col min="7" max="7" width="11.140625" style="1" customWidth="1"/>
    <col min="8" max="8" width="10.28125" style="1" customWidth="1"/>
    <col min="9" max="16384" width="9.140625" style="1" customWidth="1"/>
  </cols>
  <sheetData>
    <row r="2" spans="2:4" ht="12.75">
      <c r="B2" s="86" t="s">
        <v>319</v>
      </c>
      <c r="D2" s="57"/>
    </row>
    <row r="4" spans="3:7" ht="15.75">
      <c r="C4" s="114" t="s">
        <v>331</v>
      </c>
      <c r="D4" s="112"/>
      <c r="E4" s="112"/>
      <c r="F4" s="112"/>
      <c r="G4" s="112"/>
    </row>
    <row r="6" spans="3:7" ht="12.75">
      <c r="C6" s="129"/>
      <c r="D6" s="130"/>
      <c r="E6" s="130"/>
      <c r="F6" s="130"/>
      <c r="G6" s="131"/>
    </row>
    <row r="7" spans="3:7" ht="15.75">
      <c r="C7" s="132"/>
      <c r="D7" s="133"/>
      <c r="E7" s="133"/>
      <c r="F7" s="133"/>
      <c r="G7" s="134"/>
    </row>
    <row r="9" spans="3:7" ht="12.75">
      <c r="C9" s="129"/>
      <c r="D9" s="130"/>
      <c r="E9" s="130"/>
      <c r="F9" s="130"/>
      <c r="G9" s="131"/>
    </row>
    <row r="10" spans="3:7" ht="12.75">
      <c r="C10" s="113"/>
      <c r="D10" s="112"/>
      <c r="E10" s="112"/>
      <c r="F10" s="112"/>
      <c r="G10" s="112"/>
    </row>
    <row r="12" spans="2:6" ht="12.75">
      <c r="B12" s="1" t="s">
        <v>105</v>
      </c>
      <c r="E12" s="9">
        <v>5</v>
      </c>
      <c r="F12" s="8" t="s">
        <v>96</v>
      </c>
    </row>
    <row r="13" spans="2:6" ht="12.75">
      <c r="B13" s="1" t="s">
        <v>289</v>
      </c>
      <c r="C13" s="1">
        <v>40</v>
      </c>
      <c r="D13" s="1" t="s">
        <v>110</v>
      </c>
      <c r="E13" s="7">
        <v>45</v>
      </c>
      <c r="F13" s="7"/>
    </row>
    <row r="14" spans="2:6" ht="12.75">
      <c r="B14" s="1" t="s">
        <v>159</v>
      </c>
      <c r="E14" s="7"/>
      <c r="F14" s="34">
        <v>0.065</v>
      </c>
    </row>
    <row r="15" spans="2:6" ht="12.75">
      <c r="B15" s="1" t="s">
        <v>224</v>
      </c>
      <c r="E15" s="7"/>
      <c r="F15" s="7">
        <v>0.015</v>
      </c>
    </row>
    <row r="16" spans="2:6" ht="12.75">
      <c r="B16" s="1" t="s">
        <v>122</v>
      </c>
      <c r="E16" s="7"/>
      <c r="F16" s="6">
        <v>600</v>
      </c>
    </row>
    <row r="18" ht="12.75">
      <c r="B18" s="15" t="s">
        <v>162</v>
      </c>
    </row>
    <row r="19" spans="4:8" ht="12.75">
      <c r="D19" s="19" t="s">
        <v>183</v>
      </c>
      <c r="E19" s="19" t="s">
        <v>267</v>
      </c>
      <c r="F19" s="19" t="s">
        <v>121</v>
      </c>
      <c r="G19" s="10" t="s">
        <v>158</v>
      </c>
      <c r="H19" s="10" t="s">
        <v>222</v>
      </c>
    </row>
    <row r="21" spans="2:8" ht="12.75">
      <c r="B21" s="50" t="s">
        <v>290</v>
      </c>
      <c r="D21" s="6">
        <f>960*E12</f>
        <v>4800</v>
      </c>
      <c r="E21" s="6">
        <v>20</v>
      </c>
      <c r="F21" s="6">
        <f aca="true" t="shared" si="0" ref="F21:F31">D21/E21</f>
        <v>240</v>
      </c>
      <c r="G21" s="6">
        <f>(D21/2)*F14</f>
        <v>156</v>
      </c>
      <c r="H21" s="6">
        <f>(D21/2)*F15</f>
        <v>36</v>
      </c>
    </row>
    <row r="22" spans="2:8" ht="12.75">
      <c r="B22" s="50" t="s">
        <v>300</v>
      </c>
      <c r="D22" s="6">
        <v>1400</v>
      </c>
      <c r="E22" s="6">
        <v>10</v>
      </c>
      <c r="F22" s="6">
        <f t="shared" si="0"/>
        <v>140</v>
      </c>
      <c r="G22" s="6">
        <f>(D22/2)*F14</f>
        <v>45.5</v>
      </c>
      <c r="H22" s="6">
        <f>(D22/2)*F15</f>
        <v>10.5</v>
      </c>
    </row>
    <row r="23" spans="2:8" ht="12.75">
      <c r="B23" s="50" t="s">
        <v>291</v>
      </c>
      <c r="D23" s="6">
        <v>50000</v>
      </c>
      <c r="E23" s="6">
        <v>25</v>
      </c>
      <c r="F23" s="6">
        <f t="shared" si="0"/>
        <v>2000</v>
      </c>
      <c r="G23" s="6">
        <f>(D23/2)*F14</f>
        <v>1625</v>
      </c>
      <c r="H23" s="6">
        <f>(D23/2)*F15</f>
        <v>375</v>
      </c>
    </row>
    <row r="24" spans="2:8" ht="12.75">
      <c r="B24" s="1" t="s">
        <v>299</v>
      </c>
      <c r="D24" s="6">
        <v>16000</v>
      </c>
      <c r="E24" s="6">
        <v>15</v>
      </c>
      <c r="F24" s="6">
        <f t="shared" si="0"/>
        <v>1066.6666666666667</v>
      </c>
      <c r="G24" s="6">
        <f>(D24/2)*F14</f>
        <v>520</v>
      </c>
      <c r="H24" s="6">
        <f>(D24/2)*F$14</f>
        <v>520</v>
      </c>
    </row>
    <row r="25" spans="2:8" ht="12.75">
      <c r="B25" s="1" t="s">
        <v>292</v>
      </c>
      <c r="D25" s="6">
        <v>1000</v>
      </c>
      <c r="E25" s="6">
        <v>10</v>
      </c>
      <c r="F25" s="6">
        <f t="shared" si="0"/>
        <v>100</v>
      </c>
      <c r="G25" s="6">
        <f>(D26/2)*F14</f>
        <v>65</v>
      </c>
      <c r="H25" s="6">
        <f>(D25/2)*F15</f>
        <v>7.5</v>
      </c>
    </row>
    <row r="26" spans="2:8" ht="12.75">
      <c r="B26" s="1" t="s">
        <v>293</v>
      </c>
      <c r="D26" s="6">
        <v>2000</v>
      </c>
      <c r="E26" s="6">
        <v>5</v>
      </c>
      <c r="F26" s="6">
        <f t="shared" si="0"/>
        <v>400</v>
      </c>
      <c r="G26" s="6">
        <f>(D26/2)*F14</f>
        <v>65</v>
      </c>
      <c r="H26" s="6">
        <f>(D26/2)*F$14</f>
        <v>65</v>
      </c>
    </row>
    <row r="27" spans="2:8" ht="12.75">
      <c r="B27" s="1" t="s">
        <v>294</v>
      </c>
      <c r="D27" s="6">
        <v>2000</v>
      </c>
      <c r="E27" s="6">
        <v>5</v>
      </c>
      <c r="F27" s="6">
        <f t="shared" si="0"/>
        <v>400</v>
      </c>
      <c r="G27" s="6">
        <f>(D27/2)*F14</f>
        <v>65</v>
      </c>
      <c r="H27" s="6">
        <f>(D27/2)*F$14</f>
        <v>65</v>
      </c>
    </row>
    <row r="28" spans="2:8" ht="12.75">
      <c r="B28" s="1" t="s">
        <v>295</v>
      </c>
      <c r="D28" s="6">
        <v>500</v>
      </c>
      <c r="E28" s="6">
        <v>5</v>
      </c>
      <c r="F28" s="6">
        <f t="shared" si="0"/>
        <v>100</v>
      </c>
      <c r="G28" s="6">
        <f>(D28/2)*F14</f>
        <v>16.25</v>
      </c>
      <c r="H28" s="6">
        <f>(D28/2)*F$14</f>
        <v>16.25</v>
      </c>
    </row>
    <row r="29" spans="2:8" ht="12.75">
      <c r="B29" s="1" t="s">
        <v>296</v>
      </c>
      <c r="D29" s="6">
        <v>1500</v>
      </c>
      <c r="E29" s="6">
        <v>20</v>
      </c>
      <c r="F29" s="6">
        <f t="shared" si="0"/>
        <v>75</v>
      </c>
      <c r="G29" s="6">
        <f>(D29/2)*F14</f>
        <v>48.75</v>
      </c>
      <c r="H29" s="6">
        <f>(D29/2)*F15</f>
        <v>11.25</v>
      </c>
    </row>
    <row r="30" spans="2:8" ht="12.75">
      <c r="B30" s="1" t="s">
        <v>297</v>
      </c>
      <c r="D30" s="6">
        <v>625</v>
      </c>
      <c r="E30" s="6">
        <v>5</v>
      </c>
      <c r="F30" s="6">
        <f t="shared" si="0"/>
        <v>125</v>
      </c>
      <c r="G30" s="6">
        <f>(D30/2)*F14</f>
        <v>20.3125</v>
      </c>
      <c r="H30" s="6">
        <f>(D30/2)*F15</f>
        <v>4.6875</v>
      </c>
    </row>
    <row r="31" spans="2:8" ht="12.75">
      <c r="B31" s="1" t="s">
        <v>298</v>
      </c>
      <c r="D31" s="6">
        <f>300*E12</f>
        <v>1500</v>
      </c>
      <c r="E31" s="6">
        <v>20</v>
      </c>
      <c r="F31" s="6">
        <f t="shared" si="0"/>
        <v>75</v>
      </c>
      <c r="G31" s="6">
        <f>(D31/2)*F14</f>
        <v>48.75</v>
      </c>
      <c r="H31" s="6">
        <f>(D31/2)*F15</f>
        <v>11.25</v>
      </c>
    </row>
    <row r="32" spans="2:8" ht="13.5" thickBot="1">
      <c r="B32" s="15" t="s">
        <v>244</v>
      </c>
      <c r="D32" s="81">
        <f>SUM(D21:D31)</f>
        <v>81325</v>
      </c>
      <c r="E32" s="84"/>
      <c r="F32" s="85">
        <f>SUM(F21:F31)</f>
        <v>4721.666666666667</v>
      </c>
      <c r="G32" s="85">
        <f>SUM(G21:G31)</f>
        <v>2675.5625</v>
      </c>
      <c r="H32" s="85">
        <f>SUM(H21:H31)</f>
        <v>1122.4375</v>
      </c>
    </row>
    <row r="33" spans="4:8" ht="13.5" thickTop="1">
      <c r="D33" s="71"/>
      <c r="E33" s="71"/>
      <c r="F33" s="71"/>
      <c r="G33" s="71"/>
      <c r="H33" s="71"/>
    </row>
    <row r="34" spans="2:8" ht="13.5" thickBot="1">
      <c r="B34" s="15" t="s">
        <v>234</v>
      </c>
      <c r="D34" s="7"/>
      <c r="E34" s="7"/>
      <c r="F34" s="7"/>
      <c r="G34" s="7"/>
      <c r="H34" s="81">
        <f>F32+G32+H32</f>
        <v>8519.666666666668</v>
      </c>
    </row>
    <row r="35" spans="4:8" ht="13.5" thickTop="1">
      <c r="D35" s="7"/>
      <c r="E35" s="7"/>
      <c r="F35" s="7"/>
      <c r="G35" s="7"/>
      <c r="H35" s="71"/>
    </row>
    <row r="36" spans="2:8" ht="13.5" thickBot="1">
      <c r="B36" s="15" t="s">
        <v>101</v>
      </c>
      <c r="D36" s="7"/>
      <c r="E36" s="7"/>
      <c r="F36" s="7"/>
      <c r="G36" s="7"/>
      <c r="H36" s="74">
        <f>H34/E12</f>
        <v>1703.9333333333336</v>
      </c>
    </row>
    <row r="37" spans="4:8" ht="13.5" thickTop="1">
      <c r="D37" s="7"/>
      <c r="E37" s="7"/>
      <c r="F37" s="7"/>
      <c r="G37" s="7"/>
      <c r="H37" s="71"/>
    </row>
    <row r="38" spans="4:8" ht="12.75">
      <c r="D38" s="7"/>
      <c r="E38" s="7"/>
      <c r="F38" s="7"/>
      <c r="G38" s="7"/>
      <c r="H38" s="7"/>
    </row>
    <row r="39" spans="2:8" ht="12.75">
      <c r="B39" s="15" t="s">
        <v>187</v>
      </c>
      <c r="D39" s="7"/>
      <c r="E39" s="7"/>
      <c r="F39" s="7"/>
      <c r="G39" s="7"/>
      <c r="H39" s="7"/>
    </row>
    <row r="40" spans="4:8" ht="12.75">
      <c r="D40" s="7"/>
      <c r="E40" s="7"/>
      <c r="F40" s="7"/>
      <c r="G40" s="7"/>
      <c r="H40" s="7"/>
    </row>
    <row r="41" spans="2:8" ht="12.75">
      <c r="B41" s="1" t="s">
        <v>181</v>
      </c>
      <c r="D41" s="7"/>
      <c r="E41" s="7"/>
      <c r="F41" s="7">
        <v>50</v>
      </c>
      <c r="G41" s="7"/>
      <c r="H41" s="7"/>
    </row>
    <row r="42" spans="2:8" ht="12.75">
      <c r="B42" s="1" t="s">
        <v>214</v>
      </c>
      <c r="D42" s="7"/>
      <c r="E42" s="7"/>
      <c r="F42" s="6">
        <v>625</v>
      </c>
      <c r="G42" s="7"/>
      <c r="H42" s="7"/>
    </row>
    <row r="43" spans="2:8" ht="12.75">
      <c r="B43" s="1" t="s">
        <v>102</v>
      </c>
      <c r="D43" s="7"/>
      <c r="E43" s="7"/>
      <c r="F43" s="7">
        <v>100</v>
      </c>
      <c r="G43" s="7"/>
      <c r="H43" s="7"/>
    </row>
    <row r="44" spans="2:8" ht="12.75">
      <c r="B44" s="1" t="s">
        <v>125</v>
      </c>
      <c r="D44" s="7"/>
      <c r="E44" s="7"/>
      <c r="F44" s="7"/>
      <c r="G44" s="7"/>
      <c r="H44" s="7"/>
    </row>
    <row r="45" spans="2:8" ht="12.75">
      <c r="B45" s="1" t="s">
        <v>14</v>
      </c>
      <c r="D45" s="7"/>
      <c r="E45" s="7"/>
      <c r="F45" s="7">
        <v>1100</v>
      </c>
      <c r="G45" s="7"/>
      <c r="H45" s="7"/>
    </row>
    <row r="46" spans="2:8" ht="12.75">
      <c r="B46" s="1" t="s">
        <v>35</v>
      </c>
      <c r="D46" s="7"/>
      <c r="E46" s="7"/>
      <c r="F46" s="7">
        <v>0.12</v>
      </c>
      <c r="G46" s="7"/>
      <c r="H46" s="7"/>
    </row>
    <row r="47" spans="2:8" ht="12.75">
      <c r="B47" s="1" t="s">
        <v>99</v>
      </c>
      <c r="D47" s="7"/>
      <c r="E47" s="7"/>
      <c r="F47" s="6">
        <v>1245</v>
      </c>
      <c r="G47" s="7"/>
      <c r="H47" s="7"/>
    </row>
    <row r="48" spans="2:8" ht="12.75">
      <c r="B48" s="1" t="s">
        <v>100</v>
      </c>
      <c r="D48" s="7"/>
      <c r="E48" s="7"/>
      <c r="F48" s="7"/>
      <c r="G48" s="7"/>
      <c r="H48" s="8">
        <f>F47/E12</f>
        <v>249</v>
      </c>
    </row>
    <row r="49" spans="2:8" ht="13.5" thickBot="1">
      <c r="B49" s="15" t="s">
        <v>186</v>
      </c>
      <c r="D49" s="7"/>
      <c r="E49" s="7"/>
      <c r="F49" s="7"/>
      <c r="G49" s="7"/>
      <c r="H49" s="74">
        <f>(F42+F47)/E12</f>
        <v>374</v>
      </c>
    </row>
    <row r="50" spans="4:8" ht="13.5" thickTop="1">
      <c r="D50" s="7"/>
      <c r="E50" s="7"/>
      <c r="F50" s="7"/>
      <c r="G50" s="7"/>
      <c r="H50" s="71"/>
    </row>
    <row r="51" spans="2:8" ht="13.5" thickBot="1">
      <c r="B51" s="15" t="s">
        <v>233</v>
      </c>
      <c r="D51" s="7"/>
      <c r="E51" s="7"/>
      <c r="F51" s="7"/>
      <c r="G51" s="7"/>
      <c r="H51" s="74">
        <f>H36+H49</f>
        <v>2077.9333333333334</v>
      </c>
    </row>
    <row r="52" spans="1:8" ht="13.5" thickTop="1">
      <c r="A52" s="1" t="s">
        <v>84</v>
      </c>
      <c r="D52" s="7"/>
      <c r="E52" s="7"/>
      <c r="F52" s="7"/>
      <c r="G52" s="7"/>
      <c r="H52" s="71"/>
    </row>
    <row r="53" spans="4:8" ht="12.75">
      <c r="D53" s="7"/>
      <c r="E53" s="7"/>
      <c r="F53" s="7"/>
      <c r="G53" s="7"/>
      <c r="H53" s="7"/>
    </row>
    <row r="54" spans="2:10" ht="12.75">
      <c r="B54" s="57"/>
      <c r="C54" s="57"/>
      <c r="D54" s="57"/>
      <c r="E54" s="57"/>
      <c r="F54" s="57"/>
      <c r="G54" s="57"/>
      <c r="H54" s="57"/>
      <c r="I54" s="57"/>
      <c r="J54" s="57"/>
    </row>
    <row r="55" spans="2:10" ht="12.75">
      <c r="B55" s="57"/>
      <c r="C55" s="57"/>
      <c r="D55" s="57"/>
      <c r="E55" s="57"/>
      <c r="F55" s="57"/>
      <c r="G55" s="57"/>
      <c r="H55" s="57"/>
      <c r="I55" s="57"/>
      <c r="J55" s="57"/>
    </row>
    <row r="56" spans="2:10" ht="12.75">
      <c r="B56" s="57"/>
      <c r="C56" s="57"/>
      <c r="D56" s="57"/>
      <c r="E56" s="57"/>
      <c r="F56" s="57"/>
      <c r="G56" s="57"/>
      <c r="H56" s="57"/>
      <c r="I56" s="57"/>
      <c r="J56" s="57"/>
    </row>
    <row r="57" spans="2:10" ht="12.75">
      <c r="B57" s="57"/>
      <c r="C57" s="57"/>
      <c r="D57" s="57"/>
      <c r="E57" s="57"/>
      <c r="F57" s="57"/>
      <c r="G57" s="57"/>
      <c r="H57" s="57"/>
      <c r="I57" s="57"/>
      <c r="J57" s="57"/>
    </row>
    <row r="58" spans="2:10" ht="12.75">
      <c r="B58" s="57"/>
      <c r="C58" s="57"/>
      <c r="D58" s="57"/>
      <c r="E58" s="57"/>
      <c r="F58" s="57"/>
      <c r="G58" s="57"/>
      <c r="H58" s="57"/>
      <c r="I58" s="57"/>
      <c r="J58" s="57"/>
    </row>
    <row r="59" spans="2:10" ht="12.75">
      <c r="B59" s="102"/>
      <c r="C59" s="102"/>
      <c r="D59" s="102"/>
      <c r="E59" s="102"/>
      <c r="F59" s="102"/>
      <c r="G59" s="102"/>
      <c r="H59" s="102"/>
      <c r="I59" s="102"/>
      <c r="J59" s="103"/>
    </row>
    <row r="60" spans="2:10" ht="12.75">
      <c r="B60" s="123"/>
      <c r="C60" s="123"/>
      <c r="D60" s="123"/>
      <c r="E60" s="123"/>
      <c r="F60" s="123"/>
      <c r="G60" s="123"/>
      <c r="H60" s="123"/>
      <c r="I60" s="123"/>
      <c r="J60" s="123"/>
    </row>
    <row r="61" spans="2:10" ht="12.75">
      <c r="B61" s="123"/>
      <c r="C61" s="123"/>
      <c r="D61" s="123"/>
      <c r="E61" s="123"/>
      <c r="F61" s="123"/>
      <c r="G61" s="123"/>
      <c r="H61" s="123"/>
      <c r="I61" s="123"/>
      <c r="J61" s="123"/>
    </row>
  </sheetData>
  <sheetProtection/>
  <mergeCells count="7">
    <mergeCell ref="B61:J61"/>
    <mergeCell ref="C4:G4"/>
    <mergeCell ref="C6:G6"/>
    <mergeCell ref="C7:G7"/>
    <mergeCell ref="C9:G9"/>
    <mergeCell ref="C10:G10"/>
    <mergeCell ref="B60:J60"/>
  </mergeCells>
  <printOptions/>
  <pageMargins left="0.75" right="0.75" top="1" bottom="1" header="0.5" footer="0.5"/>
  <pageSetup horizontalDpi="600" verticalDpi="600" orientation="portrait" r:id="rId2"/>
  <rowBreaks count="1" manualBreakCount="1">
    <brk id="52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8"/>
  </sheetPr>
  <dimension ref="A2:I37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5" width="9.140625" style="1" customWidth="1"/>
    <col min="6" max="6" width="10.8515625" style="1" customWidth="1"/>
    <col min="7" max="7" width="10.00390625" style="1" customWidth="1"/>
    <col min="8" max="8" width="10.8515625" style="1" customWidth="1"/>
    <col min="9" max="16384" width="9.140625" style="1" customWidth="1"/>
  </cols>
  <sheetData>
    <row r="2" ht="12.75">
      <c r="B2" s="99" t="s">
        <v>344</v>
      </c>
    </row>
    <row r="4" spans="4:6" ht="15.75">
      <c r="D4" s="111" t="s">
        <v>288</v>
      </c>
      <c r="E4" s="121"/>
      <c r="F4" s="121"/>
    </row>
    <row r="6" ht="12.75">
      <c r="C6" s="15" t="s">
        <v>227</v>
      </c>
    </row>
    <row r="8" spans="2:8" ht="12.75">
      <c r="B8" s="7"/>
      <c r="C8" s="7"/>
      <c r="D8" s="7"/>
      <c r="E8" s="7"/>
      <c r="F8" s="7" t="s">
        <v>215</v>
      </c>
      <c r="G8" s="7"/>
      <c r="H8" s="7" t="s">
        <v>215</v>
      </c>
    </row>
    <row r="9" spans="2:8" ht="12.75">
      <c r="B9" s="7" t="s">
        <v>263</v>
      </c>
      <c r="C9" s="7" t="s">
        <v>264</v>
      </c>
      <c r="D9" s="7" t="s">
        <v>204</v>
      </c>
      <c r="E9" s="7" t="s">
        <v>256</v>
      </c>
      <c r="F9" s="7" t="s">
        <v>256</v>
      </c>
      <c r="G9" s="7" t="s">
        <v>237</v>
      </c>
      <c r="H9" s="7" t="s">
        <v>237</v>
      </c>
    </row>
    <row r="11" spans="2:8" ht="12.75">
      <c r="B11" s="7">
        <v>1</v>
      </c>
      <c r="C11" s="7">
        <v>0</v>
      </c>
      <c r="D11" s="14">
        <v>0</v>
      </c>
      <c r="E11" s="8">
        <f>+Yr1!H27</f>
        <v>4828.185558505639</v>
      </c>
      <c r="F11" s="8">
        <f aca="true" t="shared" si="0" ref="F11:F25">(C11*D11)-E11</f>
        <v>-4828.185558505639</v>
      </c>
      <c r="G11" s="8">
        <f>Yr1!H36</f>
        <v>7272.8168789481515</v>
      </c>
      <c r="H11" s="8">
        <f aca="true" t="shared" si="1" ref="H11:H25">(C11*D11)-G11</f>
        <v>-7272.8168789481515</v>
      </c>
    </row>
    <row r="12" spans="2:8" ht="12.75">
      <c r="B12" s="7">
        <v>2</v>
      </c>
      <c r="C12" s="7">
        <v>0</v>
      </c>
      <c r="D12" s="14">
        <v>0</v>
      </c>
      <c r="E12" s="8">
        <f>+Yr2!H24</f>
        <v>2768.6762000000003</v>
      </c>
      <c r="F12" s="8">
        <f t="shared" si="0"/>
        <v>-2768.6762000000003</v>
      </c>
      <c r="G12" s="8">
        <f>+Yr2!H34</f>
        <v>4904.381116666667</v>
      </c>
      <c r="H12" s="8">
        <f t="shared" si="1"/>
        <v>-4904.381116666667</v>
      </c>
    </row>
    <row r="13" spans="2:8" ht="12.75">
      <c r="B13" s="7">
        <v>3</v>
      </c>
      <c r="C13" s="7">
        <v>0</v>
      </c>
      <c r="D13" s="14">
        <v>0</v>
      </c>
      <c r="E13" s="8">
        <f>+Yr3!H26</f>
        <v>3871.6967</v>
      </c>
      <c r="F13" s="8">
        <f t="shared" si="0"/>
        <v>-3871.6967</v>
      </c>
      <c r="G13" s="8">
        <f>+Yr3!H36</f>
        <v>6172.854691666667</v>
      </c>
      <c r="H13" s="8">
        <f t="shared" si="1"/>
        <v>-6172.854691666667</v>
      </c>
    </row>
    <row r="14" spans="2:8" ht="12.75">
      <c r="B14" s="7">
        <v>4</v>
      </c>
      <c r="C14" s="7">
        <v>8700</v>
      </c>
      <c r="D14" s="14">
        <v>0.45</v>
      </c>
      <c r="E14" s="8">
        <f>+Bud!I48</f>
        <v>10138.698066666668</v>
      </c>
      <c r="F14" s="8">
        <f t="shared" si="0"/>
        <v>-6223.698066666668</v>
      </c>
      <c r="G14" s="8">
        <f aca="true" t="shared" si="2" ref="G14:G25">+UNITCOST</f>
        <v>14663.160741271402</v>
      </c>
      <c r="H14" s="8">
        <f t="shared" si="1"/>
        <v>-10748.160741271402</v>
      </c>
    </row>
    <row r="15" spans="2:8" ht="12.75">
      <c r="B15" s="7">
        <v>5</v>
      </c>
      <c r="C15" s="7">
        <v>21750</v>
      </c>
      <c r="D15" s="14">
        <v>0.45</v>
      </c>
      <c r="E15" s="8">
        <f>+Bud!I48</f>
        <v>10138.698066666668</v>
      </c>
      <c r="F15" s="8">
        <f t="shared" si="0"/>
        <v>-351.1980666666677</v>
      </c>
      <c r="G15" s="8">
        <f t="shared" si="2"/>
        <v>14663.160741271402</v>
      </c>
      <c r="H15" s="8">
        <f t="shared" si="1"/>
        <v>-4875.660741271402</v>
      </c>
    </row>
    <row r="16" spans="2:8" ht="12.75">
      <c r="B16" s="7">
        <v>6</v>
      </c>
      <c r="C16" s="7">
        <v>43500</v>
      </c>
      <c r="D16" s="14">
        <v>0.45</v>
      </c>
      <c r="E16" s="8">
        <f>+Bud!I48</f>
        <v>10138.698066666668</v>
      </c>
      <c r="F16" s="8">
        <f t="shared" si="0"/>
        <v>9436.301933333332</v>
      </c>
      <c r="G16" s="8">
        <f t="shared" si="2"/>
        <v>14663.160741271402</v>
      </c>
      <c r="H16" s="8">
        <f t="shared" si="1"/>
        <v>4911.839258728598</v>
      </c>
    </row>
    <row r="17" spans="2:8" ht="12.75">
      <c r="B17" s="7">
        <v>7</v>
      </c>
      <c r="C17" s="7">
        <v>43500</v>
      </c>
      <c r="D17" s="14">
        <v>0.45</v>
      </c>
      <c r="E17" s="8">
        <f>+Bud!I48</f>
        <v>10138.698066666668</v>
      </c>
      <c r="F17" s="8">
        <f t="shared" si="0"/>
        <v>9436.301933333332</v>
      </c>
      <c r="G17" s="8">
        <f t="shared" si="2"/>
        <v>14663.160741271402</v>
      </c>
      <c r="H17" s="8">
        <f t="shared" si="1"/>
        <v>4911.839258728598</v>
      </c>
    </row>
    <row r="18" spans="2:8" ht="12.75">
      <c r="B18" s="7">
        <v>8</v>
      </c>
      <c r="C18" s="7">
        <v>43500</v>
      </c>
      <c r="D18" s="14">
        <v>0.45</v>
      </c>
      <c r="E18" s="8">
        <f>Bud!I$48</f>
        <v>10138.698066666668</v>
      </c>
      <c r="F18" s="8">
        <f t="shared" si="0"/>
        <v>9436.301933333332</v>
      </c>
      <c r="G18" s="8">
        <f t="shared" si="2"/>
        <v>14663.160741271402</v>
      </c>
      <c r="H18" s="8">
        <f t="shared" si="1"/>
        <v>4911.839258728598</v>
      </c>
    </row>
    <row r="19" spans="2:8" ht="12.75">
      <c r="B19" s="7">
        <v>9</v>
      </c>
      <c r="C19" s="7">
        <v>43500</v>
      </c>
      <c r="D19" s="14">
        <v>0.45</v>
      </c>
      <c r="E19" s="8">
        <f>Bud!I$48</f>
        <v>10138.698066666668</v>
      </c>
      <c r="F19" s="8">
        <f t="shared" si="0"/>
        <v>9436.301933333332</v>
      </c>
      <c r="G19" s="8">
        <f t="shared" si="2"/>
        <v>14663.160741271402</v>
      </c>
      <c r="H19" s="8">
        <f t="shared" si="1"/>
        <v>4911.839258728598</v>
      </c>
    </row>
    <row r="20" spans="2:9" ht="12.75">
      <c r="B20" s="7">
        <v>10</v>
      </c>
      <c r="C20" s="7">
        <v>43500</v>
      </c>
      <c r="D20" s="14">
        <v>0.45</v>
      </c>
      <c r="E20" s="8">
        <f>Bud!I$48</f>
        <v>10138.698066666668</v>
      </c>
      <c r="F20" s="8">
        <f t="shared" si="0"/>
        <v>9436.301933333332</v>
      </c>
      <c r="G20" s="8">
        <f t="shared" si="2"/>
        <v>14663.160741271402</v>
      </c>
      <c r="H20" s="8">
        <f t="shared" si="1"/>
        <v>4911.839258728598</v>
      </c>
      <c r="I20" s="15" t="s">
        <v>79</v>
      </c>
    </row>
    <row r="21" spans="2:8" ht="12.75">
      <c r="B21" s="7">
        <v>11</v>
      </c>
      <c r="C21" s="7">
        <v>43500</v>
      </c>
      <c r="D21" s="14">
        <v>0.45</v>
      </c>
      <c r="E21" s="8">
        <f>Bud!I$48</f>
        <v>10138.698066666668</v>
      </c>
      <c r="F21" s="8">
        <f t="shared" si="0"/>
        <v>9436.301933333332</v>
      </c>
      <c r="G21" s="8">
        <f t="shared" si="2"/>
        <v>14663.160741271402</v>
      </c>
      <c r="H21" s="8">
        <f t="shared" si="1"/>
        <v>4911.839258728598</v>
      </c>
    </row>
    <row r="22" spans="2:8" ht="12.75">
      <c r="B22" s="7">
        <v>12</v>
      </c>
      <c r="C22" s="7">
        <v>43500</v>
      </c>
      <c r="D22" s="14">
        <v>0.45</v>
      </c>
      <c r="E22" s="8">
        <f>Bud!I$48</f>
        <v>10138.698066666668</v>
      </c>
      <c r="F22" s="8">
        <f t="shared" si="0"/>
        <v>9436.301933333332</v>
      </c>
      <c r="G22" s="8">
        <f t="shared" si="2"/>
        <v>14663.160741271402</v>
      </c>
      <c r="H22" s="8">
        <f t="shared" si="1"/>
        <v>4911.839258728598</v>
      </c>
    </row>
    <row r="23" spans="2:8" ht="12.75">
      <c r="B23" s="7">
        <v>13</v>
      </c>
      <c r="C23" s="7">
        <v>43500</v>
      </c>
      <c r="D23" s="14">
        <v>0.45</v>
      </c>
      <c r="E23" s="8">
        <f>Bud!I$48</f>
        <v>10138.698066666668</v>
      </c>
      <c r="F23" s="8">
        <f t="shared" si="0"/>
        <v>9436.301933333332</v>
      </c>
      <c r="G23" s="8">
        <f t="shared" si="2"/>
        <v>14663.160741271402</v>
      </c>
      <c r="H23" s="8">
        <f t="shared" si="1"/>
        <v>4911.839258728598</v>
      </c>
    </row>
    <row r="24" spans="2:8" ht="12.75">
      <c r="B24" s="7">
        <v>14</v>
      </c>
      <c r="C24" s="7">
        <v>43500</v>
      </c>
      <c r="D24" s="14">
        <v>0.45</v>
      </c>
      <c r="E24" s="8">
        <f>Bud!I$48</f>
        <v>10138.698066666668</v>
      </c>
      <c r="F24" s="8">
        <f t="shared" si="0"/>
        <v>9436.301933333332</v>
      </c>
      <c r="G24" s="8">
        <f t="shared" si="2"/>
        <v>14663.160741271402</v>
      </c>
      <c r="H24" s="8">
        <f t="shared" si="1"/>
        <v>4911.839258728598</v>
      </c>
    </row>
    <row r="25" spans="2:8" ht="12.75">
      <c r="B25" s="7">
        <v>15</v>
      </c>
      <c r="C25" s="7">
        <v>43500</v>
      </c>
      <c r="D25" s="14">
        <v>0.45</v>
      </c>
      <c r="E25" s="8">
        <f>Bud!I$48</f>
        <v>10138.698066666668</v>
      </c>
      <c r="F25" s="8">
        <f t="shared" si="0"/>
        <v>9436.301933333332</v>
      </c>
      <c r="G25" s="8">
        <f t="shared" si="2"/>
        <v>14663.160741271402</v>
      </c>
      <c r="H25" s="8">
        <f t="shared" si="1"/>
        <v>4911.839258728598</v>
      </c>
    </row>
    <row r="26" spans="2:8" ht="12.75">
      <c r="B26" s="7"/>
      <c r="C26" s="7"/>
      <c r="D26" s="7"/>
      <c r="E26" s="7"/>
      <c r="F26" s="7"/>
      <c r="G26" s="7"/>
      <c r="H26" s="7"/>
    </row>
    <row r="27" spans="2:8" ht="12.75">
      <c r="B27" s="7"/>
      <c r="C27" s="15" t="s">
        <v>79</v>
      </c>
      <c r="D27" s="7" t="s">
        <v>228</v>
      </c>
      <c r="E27" s="7"/>
      <c r="F27" s="7"/>
      <c r="G27" s="7"/>
      <c r="H27" s="7"/>
    </row>
    <row r="28" spans="2:8" ht="12.75">
      <c r="B28" s="7"/>
      <c r="C28" s="7"/>
      <c r="D28" s="7" t="s">
        <v>153</v>
      </c>
      <c r="E28" s="7"/>
      <c r="F28" s="7"/>
      <c r="G28" s="7"/>
      <c r="H28" s="7"/>
    </row>
    <row r="30" ht="12.75">
      <c r="C30" s="1" t="s">
        <v>84</v>
      </c>
    </row>
    <row r="31" ht="12.75">
      <c r="B31" s="1" t="s">
        <v>84</v>
      </c>
    </row>
    <row r="32" ht="12.75"/>
    <row r="33" ht="12.75"/>
    <row r="34" ht="12.75"/>
    <row r="35" spans="1:9" ht="12.75">
      <c r="A35" s="107"/>
      <c r="B35" s="107"/>
      <c r="C35" s="107"/>
      <c r="D35" s="107"/>
      <c r="E35" s="107"/>
      <c r="F35" s="107"/>
      <c r="G35" s="107"/>
      <c r="H35" s="107"/>
      <c r="I35" s="103"/>
    </row>
    <row r="36" spans="1:9" ht="12.75">
      <c r="A36" s="123"/>
      <c r="B36" s="123"/>
      <c r="C36" s="123"/>
      <c r="D36" s="123"/>
      <c r="E36" s="123"/>
      <c r="F36" s="123"/>
      <c r="G36" s="123"/>
      <c r="H36" s="123"/>
      <c r="I36" s="123"/>
    </row>
    <row r="37" spans="1:9" ht="12.75">
      <c r="A37" s="123"/>
      <c r="B37" s="123"/>
      <c r="C37" s="123"/>
      <c r="D37" s="123"/>
      <c r="E37" s="123"/>
      <c r="F37" s="123"/>
      <c r="G37" s="123"/>
      <c r="H37" s="123"/>
      <c r="I37" s="123"/>
    </row>
  </sheetData>
  <sheetProtection/>
  <mergeCells count="3">
    <mergeCell ref="D4:F4"/>
    <mergeCell ref="A36:I36"/>
    <mergeCell ref="A37:I37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4:F19"/>
  <sheetViews>
    <sheetView showGridLines="0" showRowColHeaders="0" zoomScalePageLayoutView="0" workbookViewId="0" topLeftCell="A1">
      <selection activeCell="H12" sqref="H12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4" width="9.140625" style="1" customWidth="1"/>
    <col min="5" max="5" width="10.57421875" style="1" customWidth="1"/>
    <col min="6" max="16384" width="9.140625" style="1" customWidth="1"/>
  </cols>
  <sheetData>
    <row r="4" spans="2:6" ht="12.75">
      <c r="B4" s="35"/>
      <c r="C4" s="35"/>
      <c r="D4" s="35"/>
      <c r="E4" s="35"/>
      <c r="F4" s="35"/>
    </row>
    <row r="5" spans="2:6" ht="12.75">
      <c r="B5" s="36" t="s">
        <v>260</v>
      </c>
      <c r="C5" s="37"/>
      <c r="D5" s="36"/>
      <c r="E5" s="35"/>
      <c r="F5" s="35"/>
    </row>
    <row r="6" spans="2:6" ht="12.75">
      <c r="B6" s="36" t="s">
        <v>353</v>
      </c>
      <c r="C6" s="37"/>
      <c r="D6" s="37"/>
      <c r="E6" s="35"/>
      <c r="F6" s="35"/>
    </row>
    <row r="7" spans="2:6" ht="12.75">
      <c r="B7" s="38"/>
      <c r="C7" s="36"/>
      <c r="D7" s="36"/>
      <c r="E7" s="35"/>
      <c r="F7" s="35"/>
    </row>
    <row r="8" spans="2:6" ht="12.75">
      <c r="B8" s="38"/>
      <c r="C8" s="39" t="s">
        <v>108</v>
      </c>
      <c r="D8" s="40" t="s">
        <v>109</v>
      </c>
      <c r="E8" s="41" t="s">
        <v>188</v>
      </c>
      <c r="F8" s="35"/>
    </row>
    <row r="9" spans="2:6" ht="12.75">
      <c r="B9" s="38"/>
      <c r="C9" s="39" t="s">
        <v>66</v>
      </c>
      <c r="D9" s="40" t="s">
        <v>167</v>
      </c>
      <c r="E9" s="41"/>
      <c r="F9" s="35"/>
    </row>
    <row r="10" spans="2:6" ht="12.75">
      <c r="B10" s="38"/>
      <c r="C10" s="36"/>
      <c r="D10" s="36"/>
      <c r="E10" s="35"/>
      <c r="F10" s="35"/>
    </row>
    <row r="11" spans="2:6" ht="12.75">
      <c r="B11" s="38"/>
      <c r="C11" s="39" t="s">
        <v>232</v>
      </c>
      <c r="D11" s="42" t="s">
        <v>3</v>
      </c>
      <c r="E11" s="43" t="s">
        <v>111</v>
      </c>
      <c r="F11" s="35"/>
    </row>
    <row r="12" spans="2:6" ht="12.75">
      <c r="B12" s="38"/>
      <c r="C12" s="39" t="s">
        <v>118</v>
      </c>
      <c r="D12" s="44"/>
      <c r="E12" s="39" t="s">
        <v>206</v>
      </c>
      <c r="F12" s="35"/>
    </row>
    <row r="13" spans="2:6" ht="12.75">
      <c r="B13" s="38"/>
      <c r="C13" s="36"/>
      <c r="D13" s="36"/>
      <c r="E13" s="35"/>
      <c r="F13" s="35"/>
    </row>
    <row r="14" spans="2:6" ht="12.75">
      <c r="B14" s="38"/>
      <c r="C14" s="39" t="s">
        <v>114</v>
      </c>
      <c r="D14" s="44"/>
      <c r="E14" s="43" t="s">
        <v>111</v>
      </c>
      <c r="F14" s="35"/>
    </row>
    <row r="15" spans="2:6" ht="12.75">
      <c r="B15" s="38"/>
      <c r="C15" s="39" t="s">
        <v>137</v>
      </c>
      <c r="D15" s="44"/>
      <c r="E15" s="39" t="s">
        <v>206</v>
      </c>
      <c r="F15" s="35"/>
    </row>
    <row r="16" spans="2:6" ht="12.75">
      <c r="B16" s="38"/>
      <c r="C16" s="36"/>
      <c r="D16" s="36"/>
      <c r="E16" s="35"/>
      <c r="F16" s="35"/>
    </row>
    <row r="17" spans="2:6" ht="12.75">
      <c r="B17" s="38"/>
      <c r="C17" s="39" t="s">
        <v>67</v>
      </c>
      <c r="D17" s="44"/>
      <c r="E17" s="43" t="s">
        <v>111</v>
      </c>
      <c r="F17" s="35"/>
    </row>
    <row r="18" spans="2:6" ht="12.75">
      <c r="B18" s="38"/>
      <c r="C18" s="39" t="s">
        <v>118</v>
      </c>
      <c r="D18" s="44"/>
      <c r="E18" s="39" t="s">
        <v>206</v>
      </c>
      <c r="F18" s="35"/>
    </row>
    <row r="19" spans="2:6" ht="12.75">
      <c r="B19" s="38"/>
      <c r="C19" s="38"/>
      <c r="D19" s="38"/>
      <c r="E19" s="38"/>
      <c r="F19" s="35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C1">
      <selection activeCell="F22" sqref="F22"/>
    </sheetView>
  </sheetViews>
  <sheetFormatPr defaultColWidth="9.140625" defaultRowHeight="12.75"/>
  <cols>
    <col min="1" max="1" width="13.7109375" style="1" customWidth="1"/>
    <col min="2" max="2" width="13.28125" style="1" customWidth="1"/>
    <col min="3" max="3" width="24.57421875" style="1" customWidth="1"/>
    <col min="4" max="4" width="12.28125" style="1" customWidth="1"/>
    <col min="5" max="5" width="9.140625" style="1" customWidth="1"/>
    <col min="6" max="6" width="29.421875" style="1" customWidth="1"/>
    <col min="7" max="7" width="14.8515625" style="1" customWidth="1"/>
    <col min="8" max="16384" width="9.140625" style="1" customWidth="1"/>
  </cols>
  <sheetData>
    <row r="1" spans="1:8" ht="12.75">
      <c r="A1" s="45" t="s">
        <v>208</v>
      </c>
      <c r="B1" s="1" t="s">
        <v>85</v>
      </c>
      <c r="C1" s="15"/>
      <c r="D1" s="45" t="s">
        <v>208</v>
      </c>
      <c r="E1" s="1" t="s">
        <v>85</v>
      </c>
      <c r="F1" s="15"/>
      <c r="G1" s="45" t="s">
        <v>208</v>
      </c>
      <c r="H1" s="1" t="s">
        <v>85</v>
      </c>
    </row>
    <row r="2" spans="1:8" ht="12.75">
      <c r="A2" s="7" t="s">
        <v>93</v>
      </c>
      <c r="B2" s="1" t="s">
        <v>89</v>
      </c>
      <c r="C2" s="15"/>
      <c r="D2" s="7" t="s">
        <v>93</v>
      </c>
      <c r="E2" s="1" t="s">
        <v>86</v>
      </c>
      <c r="F2" s="15"/>
      <c r="G2" s="7" t="s">
        <v>93</v>
      </c>
      <c r="H2" s="1" t="s">
        <v>92</v>
      </c>
    </row>
    <row r="3" spans="1:8" ht="12.75">
      <c r="A3" s="7" t="s">
        <v>93</v>
      </c>
      <c r="B3" s="1" t="s">
        <v>87</v>
      </c>
      <c r="D3" s="7" t="s">
        <v>93</v>
      </c>
      <c r="E3" s="1" t="s">
        <v>88</v>
      </c>
      <c r="G3" s="7" t="s">
        <v>93</v>
      </c>
      <c r="H3" s="1" t="s">
        <v>87</v>
      </c>
    </row>
    <row r="4" spans="1:8" ht="12.75">
      <c r="A4" s="7" t="s">
        <v>93</v>
      </c>
      <c r="B4" s="1" t="s">
        <v>90</v>
      </c>
      <c r="D4" s="7" t="s">
        <v>93</v>
      </c>
      <c r="E4" s="1" t="s">
        <v>91</v>
      </c>
      <c r="G4" s="7" t="s">
        <v>93</v>
      </c>
      <c r="H4" s="1" t="s">
        <v>90</v>
      </c>
    </row>
    <row r="5" ht="12.75">
      <c r="A5" s="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</sheetPr>
  <dimension ref="A3:AQ185"/>
  <sheetViews>
    <sheetView tabSelected="1" zoomScalePageLayoutView="0" workbookViewId="0" topLeftCell="A1">
      <selection activeCell="B125" sqref="B125:J125"/>
    </sheetView>
  </sheetViews>
  <sheetFormatPr defaultColWidth="9.140625" defaultRowHeight="12.75"/>
  <cols>
    <col min="1" max="1" width="2.140625" style="1" customWidth="1"/>
    <col min="2" max="2" width="8.28125" style="1" customWidth="1"/>
    <col min="3" max="3" width="8.421875" style="1" customWidth="1"/>
    <col min="4" max="4" width="10.421875" style="1" customWidth="1"/>
    <col min="5" max="5" width="8.7109375" style="1" customWidth="1"/>
    <col min="6" max="6" width="9.140625" style="1" customWidth="1"/>
    <col min="7" max="7" width="10.28125" style="1" customWidth="1"/>
    <col min="8" max="8" width="9.28125" style="1" customWidth="1"/>
    <col min="9" max="9" width="9.421875" style="1" customWidth="1"/>
    <col min="10" max="10" width="8.140625" style="1" customWidth="1"/>
    <col min="11" max="11" width="7.28125" style="1" customWidth="1"/>
    <col min="12" max="12" width="11.7109375" style="1" customWidth="1"/>
    <col min="13" max="31" width="9.140625" style="1" customWidth="1"/>
    <col min="32" max="32" width="3.28125" style="1" customWidth="1"/>
    <col min="33" max="33" width="1.57421875" style="1" customWidth="1"/>
    <col min="34" max="34" width="2.421875" style="1" customWidth="1"/>
    <col min="35" max="35" width="54.7109375" style="1" customWidth="1"/>
    <col min="36" max="36" width="2.421875" style="1" customWidth="1"/>
    <col min="37" max="37" width="1.57421875" style="1" customWidth="1"/>
    <col min="38" max="16384" width="9.140625" style="1" customWidth="1"/>
  </cols>
  <sheetData>
    <row r="1" s="135" customFormat="1" ht="12.75"/>
    <row r="2" s="135" customFormat="1" ht="12.75"/>
    <row r="3" spans="1:10" s="135" customFormat="1" ht="15.75">
      <c r="A3" s="159" t="s">
        <v>370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1" s="135" customFormat="1" ht="12.75">
      <c r="A4" s="160" t="s">
        <v>328</v>
      </c>
      <c r="B4" s="160"/>
      <c r="C4" s="160"/>
      <c r="D4" s="160"/>
      <c r="E4" s="160"/>
      <c r="F4" s="160"/>
      <c r="G4" s="160"/>
      <c r="H4" s="160"/>
      <c r="I4" s="160"/>
      <c r="J4" s="160"/>
      <c r="K4" s="135" t="s">
        <v>0</v>
      </c>
    </row>
    <row r="5" spans="1:11" s="135" customFormat="1" ht="12.75">
      <c r="A5" s="160" t="s">
        <v>329</v>
      </c>
      <c r="B5" s="160"/>
      <c r="C5" s="160"/>
      <c r="D5" s="160"/>
      <c r="E5" s="160"/>
      <c r="F5" s="160"/>
      <c r="G5" s="160"/>
      <c r="H5" s="160"/>
      <c r="I5" s="160"/>
      <c r="J5" s="160"/>
      <c r="K5" s="135" t="s">
        <v>0</v>
      </c>
    </row>
    <row r="6" spans="4:11" s="135" customFormat="1" ht="12.75">
      <c r="D6" s="155"/>
      <c r="E6" s="155"/>
      <c r="F6" s="155"/>
      <c r="G6" s="155"/>
      <c r="H6" s="155"/>
      <c r="I6" s="155"/>
      <c r="J6" s="155"/>
      <c r="K6" s="135" t="s">
        <v>0</v>
      </c>
    </row>
    <row r="7" spans="1:11" s="135" customFormat="1" ht="12.75">
      <c r="A7" s="156">
        <v>2020</v>
      </c>
      <c r="B7" s="156"/>
      <c r="C7" s="156"/>
      <c r="D7" s="156"/>
      <c r="E7" s="156"/>
      <c r="F7" s="156"/>
      <c r="G7" s="156"/>
      <c r="H7" s="156"/>
      <c r="I7" s="156"/>
      <c r="J7" s="156"/>
      <c r="K7" s="135" t="s">
        <v>0</v>
      </c>
    </row>
    <row r="8" s="135" customFormat="1" ht="12.75">
      <c r="K8" s="135" t="s">
        <v>0</v>
      </c>
    </row>
    <row r="9" spans="1:11" s="135" customFormat="1" ht="18" customHeight="1">
      <c r="A9" s="158" t="s">
        <v>343</v>
      </c>
      <c r="B9" s="158"/>
      <c r="C9" s="158"/>
      <c r="D9" s="158"/>
      <c r="E9" s="158"/>
      <c r="F9" s="158"/>
      <c r="G9" s="158"/>
      <c r="H9" s="158"/>
      <c r="I9" s="158"/>
      <c r="J9" s="158"/>
      <c r="K9" s="135" t="s">
        <v>0</v>
      </c>
    </row>
    <row r="10" s="135" customFormat="1" ht="12.75">
      <c r="A10" s="135" t="s">
        <v>2</v>
      </c>
    </row>
    <row r="11" spans="1:11" s="135" customFormat="1" ht="12.75" customHeight="1">
      <c r="A11" s="138" t="s">
        <v>375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5" t="s">
        <v>0</v>
      </c>
    </row>
    <row r="12" s="135" customFormat="1" ht="15.75">
      <c r="E12" s="140"/>
    </row>
    <row r="13" spans="5:11" s="135" customFormat="1" ht="12.75">
      <c r="E13" s="135" t="s">
        <v>257</v>
      </c>
      <c r="K13" s="135" t="s">
        <v>0</v>
      </c>
    </row>
    <row r="14" spans="5:11" s="135" customFormat="1" ht="12.75">
      <c r="E14" s="135" t="s">
        <v>7</v>
      </c>
      <c r="I14" s="141">
        <v>1</v>
      </c>
      <c r="K14" s="135" t="s">
        <v>2</v>
      </c>
    </row>
    <row r="15" spans="4:18" s="135" customFormat="1" ht="12.75">
      <c r="D15" s="135" t="s">
        <v>164</v>
      </c>
      <c r="I15" s="141">
        <v>1</v>
      </c>
      <c r="K15" s="135" t="s">
        <v>0</v>
      </c>
      <c r="P15" s="142"/>
      <c r="R15" s="142"/>
    </row>
    <row r="16" spans="11:18" s="135" customFormat="1" ht="12.75">
      <c r="K16" s="135" t="s">
        <v>0</v>
      </c>
      <c r="M16" s="109"/>
      <c r="N16" s="143"/>
      <c r="O16" s="143"/>
      <c r="P16" s="144"/>
      <c r="Q16" s="143"/>
      <c r="R16" s="143"/>
    </row>
    <row r="17" spans="2:11" s="135" customFormat="1" ht="12.75">
      <c r="B17" s="137"/>
      <c r="C17" s="137"/>
      <c r="D17" s="137"/>
      <c r="E17" s="145" t="s">
        <v>106</v>
      </c>
      <c r="F17" s="145" t="s">
        <v>189</v>
      </c>
      <c r="G17" s="145" t="s">
        <v>180</v>
      </c>
      <c r="H17" s="144" t="s">
        <v>196</v>
      </c>
      <c r="I17" s="144" t="s">
        <v>262</v>
      </c>
      <c r="J17" s="136" t="s">
        <v>0</v>
      </c>
      <c r="K17" s="135" t="s">
        <v>0</v>
      </c>
    </row>
    <row r="18" spans="5:11" s="135" customFormat="1" ht="12.75">
      <c r="E18" s="146"/>
      <c r="F18" s="146"/>
      <c r="G18" s="146"/>
      <c r="H18" s="146"/>
      <c r="I18" s="146"/>
      <c r="K18" s="135" t="s">
        <v>0</v>
      </c>
    </row>
    <row r="19" spans="2:11" s="135" customFormat="1" ht="12.75">
      <c r="B19" s="135" t="s">
        <v>82</v>
      </c>
      <c r="E19" s="141">
        <v>35090</v>
      </c>
      <c r="F19" s="141">
        <v>31900</v>
      </c>
      <c r="G19" s="147">
        <v>29000</v>
      </c>
      <c r="H19" s="141">
        <v>26100</v>
      </c>
      <c r="I19" s="141">
        <v>23490</v>
      </c>
      <c r="K19" s="135" t="s">
        <v>0</v>
      </c>
    </row>
    <row r="20" spans="2:9" s="135" customFormat="1" ht="12.75">
      <c r="B20" s="135" t="s">
        <v>80</v>
      </c>
      <c r="D20" s="109"/>
      <c r="E20" s="143">
        <v>0.54</v>
      </c>
      <c r="F20" s="143">
        <v>0.5</v>
      </c>
      <c r="G20" s="144">
        <v>0.45</v>
      </c>
      <c r="H20" s="143">
        <v>0.41</v>
      </c>
      <c r="I20" s="143">
        <v>0.36</v>
      </c>
    </row>
    <row r="21" spans="11:19" s="135" customFormat="1" ht="12.75">
      <c r="K21" s="135" t="s">
        <v>0</v>
      </c>
      <c r="S21" s="135" t="s">
        <v>0</v>
      </c>
    </row>
    <row r="22" spans="2:11" s="135" customFormat="1" ht="12.75">
      <c r="B22" s="137" t="s">
        <v>165</v>
      </c>
      <c r="C22" s="137"/>
      <c r="D22" s="137"/>
      <c r="E22" s="137"/>
      <c r="F22" s="145" t="s">
        <v>252</v>
      </c>
      <c r="G22" s="145" t="s">
        <v>209</v>
      </c>
      <c r="H22" s="144" t="s">
        <v>204</v>
      </c>
      <c r="I22" s="147" t="s">
        <v>69</v>
      </c>
      <c r="J22" s="148" t="s">
        <v>231</v>
      </c>
      <c r="K22" s="135" t="s">
        <v>0</v>
      </c>
    </row>
    <row r="23" s="135" customFormat="1" ht="12.75">
      <c r="K23" s="135" t="s">
        <v>0</v>
      </c>
    </row>
    <row r="24" spans="2:9" s="135" customFormat="1" ht="15" customHeight="1">
      <c r="B24" s="135" t="s">
        <v>258</v>
      </c>
      <c r="I24" s="149" t="s">
        <v>0</v>
      </c>
    </row>
    <row r="25" spans="3:11" s="135" customFormat="1" ht="15" customHeight="1">
      <c r="C25" s="142" t="s">
        <v>131</v>
      </c>
      <c r="D25" s="142"/>
      <c r="E25" s="142"/>
      <c r="F25" s="150" t="s">
        <v>94</v>
      </c>
      <c r="G25" s="151">
        <v>1000</v>
      </c>
      <c r="H25" s="151">
        <v>0.3</v>
      </c>
      <c r="I25" s="151">
        <f aca="true" t="shared" si="0" ref="I25:I39">G25*H25</f>
        <v>300</v>
      </c>
      <c r="J25" s="152">
        <f>I25*I14</f>
        <v>300</v>
      </c>
      <c r="K25" s="146"/>
    </row>
    <row r="26" spans="3:11" s="135" customFormat="1" ht="15" customHeight="1">
      <c r="C26" s="142" t="s">
        <v>305</v>
      </c>
      <c r="D26" s="142"/>
      <c r="E26" s="142"/>
      <c r="F26" s="150" t="s">
        <v>94</v>
      </c>
      <c r="G26" s="151">
        <v>2</v>
      </c>
      <c r="H26" s="151">
        <v>10</v>
      </c>
      <c r="I26" s="151">
        <f t="shared" si="0"/>
        <v>20</v>
      </c>
      <c r="J26" s="152">
        <f>I26*I14</f>
        <v>20</v>
      </c>
      <c r="K26" s="146" t="s">
        <v>0</v>
      </c>
    </row>
    <row r="27" spans="3:11" s="135" customFormat="1" ht="15" customHeight="1">
      <c r="C27" s="142" t="s">
        <v>306</v>
      </c>
      <c r="D27" s="142"/>
      <c r="E27" s="142"/>
      <c r="F27" s="150" t="s">
        <v>94</v>
      </c>
      <c r="G27" s="151">
        <v>2</v>
      </c>
      <c r="H27" s="151">
        <v>40</v>
      </c>
      <c r="I27" s="151">
        <f t="shared" si="0"/>
        <v>80</v>
      </c>
      <c r="J27" s="152">
        <f aca="true" t="shared" si="1" ref="J27:J32">I27*I$15</f>
        <v>80</v>
      </c>
      <c r="K27" s="146"/>
    </row>
    <row r="28" spans="3:11" s="135" customFormat="1" ht="15" customHeight="1">
      <c r="C28" s="142" t="s">
        <v>307</v>
      </c>
      <c r="D28" s="142"/>
      <c r="E28" s="142"/>
      <c r="F28" s="150" t="s">
        <v>94</v>
      </c>
      <c r="G28" s="151">
        <v>5</v>
      </c>
      <c r="H28" s="151">
        <v>10</v>
      </c>
      <c r="I28" s="151">
        <f t="shared" si="0"/>
        <v>50</v>
      </c>
      <c r="J28" s="152">
        <f t="shared" si="1"/>
        <v>50</v>
      </c>
      <c r="K28" s="146"/>
    </row>
    <row r="29" spans="3:11" s="135" customFormat="1" ht="15" customHeight="1">
      <c r="C29" s="142" t="s">
        <v>155</v>
      </c>
      <c r="D29" s="142"/>
      <c r="E29" s="142"/>
      <c r="F29" s="150" t="s">
        <v>94</v>
      </c>
      <c r="G29" s="151">
        <v>5</v>
      </c>
      <c r="H29" s="151">
        <f>15</f>
        <v>15</v>
      </c>
      <c r="I29" s="151">
        <f t="shared" si="0"/>
        <v>75</v>
      </c>
      <c r="J29" s="152">
        <f t="shared" si="1"/>
        <v>75</v>
      </c>
      <c r="K29" s="146"/>
    </row>
    <row r="30" spans="3:11" s="135" customFormat="1" ht="15" customHeight="1">
      <c r="C30" s="142" t="s">
        <v>142</v>
      </c>
      <c r="D30" s="142"/>
      <c r="E30" s="142"/>
      <c r="F30" s="150" t="s">
        <v>94</v>
      </c>
      <c r="G30" s="151">
        <v>2</v>
      </c>
      <c r="H30" s="151">
        <v>50</v>
      </c>
      <c r="I30" s="151">
        <f t="shared" si="0"/>
        <v>100</v>
      </c>
      <c r="J30" s="152">
        <f t="shared" si="1"/>
        <v>100</v>
      </c>
      <c r="K30" s="146"/>
    </row>
    <row r="31" spans="3:11" s="135" customFormat="1" ht="15" customHeight="1">
      <c r="C31" s="142" t="s">
        <v>349</v>
      </c>
      <c r="D31" s="142"/>
      <c r="E31" s="142"/>
      <c r="F31" s="150" t="s">
        <v>249</v>
      </c>
      <c r="G31" s="151">
        <v>5</v>
      </c>
      <c r="H31" s="151">
        <v>15</v>
      </c>
      <c r="I31" s="151">
        <f t="shared" si="0"/>
        <v>75</v>
      </c>
      <c r="J31" s="152">
        <f t="shared" si="1"/>
        <v>75</v>
      </c>
      <c r="K31" s="146"/>
    </row>
    <row r="32" spans="3:11" s="135" customFormat="1" ht="15" customHeight="1">
      <c r="C32" s="142" t="s">
        <v>308</v>
      </c>
      <c r="D32" s="142"/>
      <c r="E32" s="142"/>
      <c r="F32" s="150" t="s">
        <v>94</v>
      </c>
      <c r="G32" s="151">
        <v>1</v>
      </c>
      <c r="H32" s="151">
        <v>35</v>
      </c>
      <c r="I32" s="151">
        <f t="shared" si="0"/>
        <v>35</v>
      </c>
      <c r="J32" s="152">
        <f t="shared" si="1"/>
        <v>35</v>
      </c>
      <c r="K32" s="146"/>
    </row>
    <row r="33" spans="3:11" s="135" customFormat="1" ht="15" customHeight="1">
      <c r="C33" s="142" t="s">
        <v>309</v>
      </c>
      <c r="D33" s="142"/>
      <c r="E33" s="142"/>
      <c r="F33" s="150" t="s">
        <v>94</v>
      </c>
      <c r="G33" s="151">
        <v>1</v>
      </c>
      <c r="H33" s="151">
        <v>6</v>
      </c>
      <c r="I33" s="151">
        <f t="shared" si="0"/>
        <v>6</v>
      </c>
      <c r="J33" s="152">
        <f>I33*I14</f>
        <v>6</v>
      </c>
      <c r="K33" s="146"/>
    </row>
    <row r="34" spans="3:11" s="135" customFormat="1" ht="15" customHeight="1">
      <c r="C34" s="142" t="s">
        <v>301</v>
      </c>
      <c r="D34" s="142"/>
      <c r="E34" s="142"/>
      <c r="F34" s="150" t="s">
        <v>94</v>
      </c>
      <c r="G34" s="151">
        <v>1</v>
      </c>
      <c r="H34" s="151">
        <v>75</v>
      </c>
      <c r="I34" s="151">
        <f t="shared" si="0"/>
        <v>75</v>
      </c>
      <c r="J34" s="152">
        <f>I34*I$15</f>
        <v>75</v>
      </c>
      <c r="K34" s="146"/>
    </row>
    <row r="35" spans="3:11" s="135" customFormat="1" ht="15" customHeight="1">
      <c r="C35" s="142" t="s">
        <v>168</v>
      </c>
      <c r="D35" s="142"/>
      <c r="E35" s="142"/>
      <c r="F35" s="150" t="s">
        <v>152</v>
      </c>
      <c r="G35" s="151">
        <v>200</v>
      </c>
      <c r="H35" s="151">
        <v>10</v>
      </c>
      <c r="I35" s="151">
        <f t="shared" si="0"/>
        <v>2000</v>
      </c>
      <c r="J35" s="152">
        <f>I35*I$15</f>
        <v>2000</v>
      </c>
      <c r="K35" s="146"/>
    </row>
    <row r="36" spans="3:11" s="135" customFormat="1" ht="15" customHeight="1">
      <c r="C36" s="142" t="s">
        <v>57</v>
      </c>
      <c r="D36" s="142"/>
      <c r="E36" s="142"/>
      <c r="F36" s="150" t="s">
        <v>94</v>
      </c>
      <c r="G36" s="151">
        <v>1</v>
      </c>
      <c r="H36" s="151">
        <v>29.98</v>
      </c>
      <c r="I36" s="151">
        <f t="shared" si="0"/>
        <v>29.98</v>
      </c>
      <c r="J36" s="152">
        <f>I36*I$15</f>
        <v>29.98</v>
      </c>
      <c r="K36" s="146"/>
    </row>
    <row r="37" spans="3:11" s="135" customFormat="1" ht="15" customHeight="1">
      <c r="C37" s="142" t="s">
        <v>63</v>
      </c>
      <c r="D37" s="142"/>
      <c r="E37" s="142"/>
      <c r="F37" s="150" t="s">
        <v>94</v>
      </c>
      <c r="G37" s="151">
        <v>1</v>
      </c>
      <c r="H37" s="151">
        <v>37</v>
      </c>
      <c r="I37" s="151">
        <f t="shared" si="0"/>
        <v>37</v>
      </c>
      <c r="J37" s="152">
        <f>I37*I14</f>
        <v>37</v>
      </c>
      <c r="K37" s="146"/>
    </row>
    <row r="38" spans="3:11" s="135" customFormat="1" ht="15" customHeight="1">
      <c r="C38" s="142" t="s">
        <v>312</v>
      </c>
      <c r="D38" s="142"/>
      <c r="E38" s="142"/>
      <c r="F38" s="150" t="s">
        <v>94</v>
      </c>
      <c r="G38" s="151">
        <v>1</v>
      </c>
      <c r="H38" s="151">
        <f>+Drip!I48</f>
        <v>1413.3243666666667</v>
      </c>
      <c r="I38" s="151">
        <f t="shared" si="0"/>
        <v>1413.3243666666667</v>
      </c>
      <c r="J38" s="152">
        <f>I38*I14</f>
        <v>1413.3243666666667</v>
      </c>
      <c r="K38" s="146"/>
    </row>
    <row r="39" spans="3:11" s="135" customFormat="1" ht="15" customHeight="1">
      <c r="C39" s="142" t="s">
        <v>161</v>
      </c>
      <c r="D39" s="142"/>
      <c r="E39" s="142"/>
      <c r="F39" s="150"/>
      <c r="G39" s="151">
        <f>SUM(I21:I37)</f>
        <v>2882.98</v>
      </c>
      <c r="H39" s="153">
        <v>0.065</v>
      </c>
      <c r="I39" s="151">
        <f t="shared" si="0"/>
        <v>187.3937</v>
      </c>
      <c r="J39" s="152">
        <f>I39*I14</f>
        <v>187.3937</v>
      </c>
      <c r="K39" s="154" t="s">
        <v>0</v>
      </c>
    </row>
    <row r="40" spans="3:11" s="135" customFormat="1" ht="15" customHeight="1" thickBot="1">
      <c r="C40" s="161" t="s">
        <v>321</v>
      </c>
      <c r="D40" s="161"/>
      <c r="E40" s="161"/>
      <c r="F40" s="162"/>
      <c r="G40" s="163"/>
      <c r="H40" s="167">
        <f>SUM(I25:I39)</f>
        <v>4483.698066666667</v>
      </c>
      <c r="I40" s="167">
        <f>SUM(I25:I39)</f>
        <v>4483.698066666667</v>
      </c>
      <c r="J40" s="168">
        <f>SUM(J25:J39)</f>
        <v>4483.698066666667</v>
      </c>
      <c r="K40" s="154"/>
    </row>
    <row r="41" spans="6:11" s="135" customFormat="1" ht="15" customHeight="1" thickTop="1">
      <c r="F41" s="146"/>
      <c r="G41" s="165"/>
      <c r="H41" s="165"/>
      <c r="I41" s="165"/>
      <c r="J41" s="152"/>
      <c r="K41" s="146" t="s">
        <v>0</v>
      </c>
    </row>
    <row r="42" spans="2:11" s="135" customFormat="1" ht="15" customHeight="1" thickBot="1">
      <c r="B42" s="137"/>
      <c r="C42" s="161" t="s">
        <v>321</v>
      </c>
      <c r="F42" s="146"/>
      <c r="G42" s="166"/>
      <c r="H42" s="166"/>
      <c r="I42" s="169">
        <f>SUM(I24:I39)</f>
        <v>4483.698066666667</v>
      </c>
      <c r="J42" s="170">
        <f>I42*I14</f>
        <v>4483.698066666667</v>
      </c>
      <c r="K42" s="154" t="s">
        <v>0</v>
      </c>
    </row>
    <row r="43" s="135" customFormat="1" ht="15" customHeight="1" thickTop="1">
      <c r="K43" s="154" t="s">
        <v>0</v>
      </c>
    </row>
    <row r="44" spans="2:11" s="135" customFormat="1" ht="15" customHeight="1">
      <c r="B44" s="161" t="s">
        <v>147</v>
      </c>
      <c r="C44" s="142"/>
      <c r="D44" s="142"/>
      <c r="E44" s="142"/>
      <c r="F44" s="145" t="s">
        <v>252</v>
      </c>
      <c r="G44" s="145" t="s">
        <v>209</v>
      </c>
      <c r="H44" s="144" t="s">
        <v>204</v>
      </c>
      <c r="I44" s="147" t="s">
        <v>69</v>
      </c>
      <c r="J44" s="148" t="s">
        <v>231</v>
      </c>
      <c r="K44" s="154" t="s">
        <v>0</v>
      </c>
    </row>
    <row r="45" spans="2:11" s="135" customFormat="1" ht="15" customHeight="1">
      <c r="B45" s="142"/>
      <c r="C45" s="142" t="s">
        <v>366</v>
      </c>
      <c r="D45" s="142"/>
      <c r="E45" s="142"/>
      <c r="F45" s="150" t="s">
        <v>94</v>
      </c>
      <c r="G45" s="171">
        <f>MEDY*0.75</f>
        <v>21750</v>
      </c>
      <c r="H45" s="171">
        <v>0.25</v>
      </c>
      <c r="I45" s="171">
        <f>G45*H45</f>
        <v>5437.5</v>
      </c>
      <c r="J45" s="172">
        <f>I45*I14</f>
        <v>5437.5</v>
      </c>
      <c r="K45" s="154"/>
    </row>
    <row r="46" spans="2:11" s="135" customFormat="1" ht="15" customHeight="1">
      <c r="B46" s="142"/>
      <c r="C46" s="142" t="s">
        <v>313</v>
      </c>
      <c r="D46" s="142"/>
      <c r="E46" s="142"/>
      <c r="F46" s="150" t="s">
        <v>94</v>
      </c>
      <c r="G46" s="171">
        <f>MEDY*0.75</f>
        <v>21750</v>
      </c>
      <c r="H46" s="171">
        <v>0.01</v>
      </c>
      <c r="I46" s="171">
        <f>G46*H46</f>
        <v>217.5</v>
      </c>
      <c r="J46" s="172">
        <f>I46*I14</f>
        <v>217.5</v>
      </c>
      <c r="K46" s="146"/>
    </row>
    <row r="47" spans="2:11" s="135" customFormat="1" ht="15" customHeight="1">
      <c r="B47" s="161" t="s">
        <v>242</v>
      </c>
      <c r="C47" s="142"/>
      <c r="D47" s="142"/>
      <c r="E47" s="142"/>
      <c r="F47" s="150" t="s">
        <v>68</v>
      </c>
      <c r="G47" s="150"/>
      <c r="H47" s="142"/>
      <c r="I47" s="163">
        <f>SUM(I45:I46)</f>
        <v>5655</v>
      </c>
      <c r="J47" s="164">
        <f>SUM(J45:J46)</f>
        <v>5655</v>
      </c>
      <c r="K47" s="154" t="s">
        <v>0</v>
      </c>
    </row>
    <row r="48" spans="2:11" s="135" customFormat="1" ht="15" customHeight="1" thickBot="1">
      <c r="B48" s="137" t="s">
        <v>247</v>
      </c>
      <c r="F48" s="146"/>
      <c r="G48" s="146"/>
      <c r="H48" s="146"/>
      <c r="I48" s="169">
        <f>I42+I47</f>
        <v>10138.698066666668</v>
      </c>
      <c r="J48" s="170">
        <f>I48*I14</f>
        <v>10138.698066666668</v>
      </c>
      <c r="K48" s="146"/>
    </row>
    <row r="49" spans="6:11" s="135" customFormat="1" ht="15" customHeight="1" thickTop="1">
      <c r="F49" s="146"/>
      <c r="G49" s="146"/>
      <c r="H49" s="146"/>
      <c r="I49" s="146"/>
      <c r="J49" s="146"/>
      <c r="K49" s="154" t="s">
        <v>0</v>
      </c>
    </row>
    <row r="50" spans="6:40" s="135" customFormat="1" ht="12.75">
      <c r="F50" s="146"/>
      <c r="G50" s="146"/>
      <c r="H50" s="146"/>
      <c r="I50" s="146"/>
      <c r="J50" s="146"/>
      <c r="K50" s="146"/>
      <c r="AN50" s="135" t="s">
        <v>118</v>
      </c>
    </row>
    <row r="51" spans="6:11" s="135" customFormat="1" ht="12.75">
      <c r="F51" s="146"/>
      <c r="G51" s="146"/>
      <c r="H51" s="146"/>
      <c r="I51" s="146"/>
      <c r="J51" s="146"/>
      <c r="K51" s="146"/>
    </row>
    <row r="52" spans="6:11" s="135" customFormat="1" ht="12.75">
      <c r="F52" s="146"/>
      <c r="G52" s="146"/>
      <c r="H52" s="146"/>
      <c r="I52" s="146"/>
      <c r="J52" s="146"/>
      <c r="K52" s="154" t="s">
        <v>0</v>
      </c>
    </row>
    <row r="53" spans="2:11" s="135" customFormat="1" ht="15" customHeight="1">
      <c r="B53" s="137" t="s">
        <v>133</v>
      </c>
      <c r="C53" s="137"/>
      <c r="F53" s="145" t="s">
        <v>252</v>
      </c>
      <c r="G53" s="145" t="s">
        <v>209</v>
      </c>
      <c r="H53" s="144" t="s">
        <v>204</v>
      </c>
      <c r="I53" s="147" t="s">
        <v>69</v>
      </c>
      <c r="J53" s="148" t="s">
        <v>231</v>
      </c>
      <c r="K53" s="146"/>
    </row>
    <row r="54" spans="3:11" s="135" customFormat="1" ht="15" customHeight="1">
      <c r="C54" s="135" t="s">
        <v>248</v>
      </c>
      <c r="F54" s="150" t="s">
        <v>94</v>
      </c>
      <c r="G54" s="143">
        <v>1</v>
      </c>
      <c r="H54" s="165">
        <f>FxdCost!I26</f>
        <v>527.75052</v>
      </c>
      <c r="I54" s="165">
        <f>G54*H54</f>
        <v>527.75052</v>
      </c>
      <c r="J54" s="173">
        <f>I14*I54</f>
        <v>527.75052</v>
      </c>
      <c r="K54" s="146"/>
    </row>
    <row r="55" spans="3:11" s="135" customFormat="1" ht="15" customHeight="1">
      <c r="C55" s="135" t="s">
        <v>163</v>
      </c>
      <c r="F55" s="146" t="s">
        <v>94</v>
      </c>
      <c r="G55" s="143">
        <v>1</v>
      </c>
      <c r="H55" s="165">
        <f>+SSet!H51</f>
        <v>2077.9333333333334</v>
      </c>
      <c r="I55" s="165">
        <f>G55*H55</f>
        <v>2077.9333333333334</v>
      </c>
      <c r="J55" s="173">
        <f>I14*I55</f>
        <v>2077.9333333333334</v>
      </c>
      <c r="K55" s="146"/>
    </row>
    <row r="56" spans="3:11" s="135" customFormat="1" ht="15" customHeight="1">
      <c r="C56" s="135" t="s">
        <v>342</v>
      </c>
      <c r="F56" s="146" t="s">
        <v>94</v>
      </c>
      <c r="G56" s="143">
        <v>1</v>
      </c>
      <c r="H56" s="165">
        <f>+Yr3!H67</f>
        <v>1246.2241112714005</v>
      </c>
      <c r="I56" s="165">
        <f>G56*H56</f>
        <v>1246.2241112714005</v>
      </c>
      <c r="J56" s="173">
        <f>I15*I56</f>
        <v>1246.2241112714005</v>
      </c>
      <c r="K56" s="146"/>
    </row>
    <row r="57" spans="3:11" s="135" customFormat="1" ht="15" customHeight="1">
      <c r="C57" s="135" t="s">
        <v>192</v>
      </c>
      <c r="F57" s="150" t="s">
        <v>94</v>
      </c>
      <c r="G57" s="141">
        <f>I42</f>
        <v>4483.698066666667</v>
      </c>
      <c r="H57" s="165">
        <v>0.15</v>
      </c>
      <c r="I57" s="165">
        <f>G57*H57</f>
        <v>672.55471</v>
      </c>
      <c r="J57" s="173">
        <f>I14*I57</f>
        <v>672.55471</v>
      </c>
      <c r="K57" s="146"/>
    </row>
    <row r="58" spans="2:11" s="135" customFormat="1" ht="15" customHeight="1" thickBot="1">
      <c r="B58" s="161" t="s">
        <v>324</v>
      </c>
      <c r="F58" s="150" t="s">
        <v>68</v>
      </c>
      <c r="G58" s="146"/>
      <c r="H58" s="166"/>
      <c r="I58" s="169">
        <f>SUM(I54:I57)</f>
        <v>4524.462674604734</v>
      </c>
      <c r="J58" s="175">
        <f>I14*I58</f>
        <v>4524.462674604734</v>
      </c>
      <c r="K58" s="146"/>
    </row>
    <row r="59" spans="7:11" s="135" customFormat="1" ht="15" customHeight="1" thickTop="1">
      <c r="G59" s="146"/>
      <c r="H59" s="166"/>
      <c r="I59" s="152" t="s">
        <v>0</v>
      </c>
      <c r="J59" s="166"/>
      <c r="K59" s="146"/>
    </row>
    <row r="60" spans="2:11" s="135" customFormat="1" ht="15" customHeight="1" thickBot="1">
      <c r="B60" s="161" t="s">
        <v>323</v>
      </c>
      <c r="G60" s="146"/>
      <c r="H60" s="166"/>
      <c r="I60" s="169">
        <f>I42+I47+I58</f>
        <v>14663.160741271402</v>
      </c>
      <c r="J60" s="170">
        <f>I14*I60</f>
        <v>14663.160741271402</v>
      </c>
      <c r="K60" s="146"/>
    </row>
    <row r="61" spans="7:11" s="135" customFormat="1" ht="13.5" thickTop="1">
      <c r="G61" s="146"/>
      <c r="H61" s="146"/>
      <c r="I61" s="146"/>
      <c r="J61" s="146"/>
      <c r="K61" s="146"/>
    </row>
    <row r="62" spans="7:17" s="135" customFormat="1" ht="12.75">
      <c r="G62" s="146"/>
      <c r="H62" s="146"/>
      <c r="I62" s="146"/>
      <c r="J62" s="146"/>
      <c r="K62" s="146"/>
      <c r="M62" s="135" t="s">
        <v>77</v>
      </c>
      <c r="Q62" s="135" t="s">
        <v>77</v>
      </c>
    </row>
    <row r="63" spans="2:17" s="135" customFormat="1" ht="13.5" thickBot="1">
      <c r="B63" s="198"/>
      <c r="C63" s="198"/>
      <c r="D63" s="198"/>
      <c r="E63" s="198"/>
      <c r="F63" s="198"/>
      <c r="G63" s="199"/>
      <c r="H63" s="199"/>
      <c r="I63" s="199"/>
      <c r="J63" s="146"/>
      <c r="K63" s="146"/>
      <c r="M63" s="135" t="s">
        <v>8</v>
      </c>
      <c r="Q63" s="135" t="s">
        <v>77</v>
      </c>
    </row>
    <row r="64" spans="7:17" s="135" customFormat="1" ht="12.75">
      <c r="G64" s="146"/>
      <c r="H64" s="146"/>
      <c r="I64" s="146"/>
      <c r="J64" s="146"/>
      <c r="K64" s="146"/>
      <c r="M64" s="135" t="s">
        <v>1</v>
      </c>
      <c r="Q64" s="135" t="s">
        <v>77</v>
      </c>
    </row>
    <row r="65" spans="7:17" s="135" customFormat="1" ht="12.75">
      <c r="G65" s="146"/>
      <c r="H65" s="146"/>
      <c r="I65" s="146"/>
      <c r="J65" s="146"/>
      <c r="K65" s="146"/>
      <c r="M65" s="149">
        <f>I14</f>
        <v>1</v>
      </c>
      <c r="N65" s="135" t="s">
        <v>11</v>
      </c>
      <c r="Q65" s="135" t="s">
        <v>77</v>
      </c>
    </row>
    <row r="66" spans="3:17" s="135" customFormat="1" ht="15" customHeight="1">
      <c r="C66" s="137" t="s">
        <v>107</v>
      </c>
      <c r="G66" s="146"/>
      <c r="H66" s="146"/>
      <c r="I66" s="146"/>
      <c r="J66" s="146"/>
      <c r="K66" s="146"/>
      <c r="M66" s="149">
        <f>E19</f>
        <v>35090</v>
      </c>
      <c r="N66" s="135" t="s">
        <v>13</v>
      </c>
      <c r="O66" s="109">
        <f>E20</f>
        <v>0.54</v>
      </c>
      <c r="P66" s="135" t="s">
        <v>12</v>
      </c>
      <c r="Q66" s="135" t="s">
        <v>77</v>
      </c>
    </row>
    <row r="67" spans="3:17" s="135" customFormat="1" ht="15" customHeight="1">
      <c r="C67" s="142" t="s">
        <v>345</v>
      </c>
      <c r="G67" s="146"/>
      <c r="H67" s="146"/>
      <c r="I67" s="143">
        <f>I42/G19</f>
        <v>0.15461027816091955</v>
      </c>
      <c r="J67" s="146"/>
      <c r="K67" s="146"/>
      <c r="M67" s="149">
        <f>F19</f>
        <v>31900</v>
      </c>
      <c r="N67" s="135" t="s">
        <v>30</v>
      </c>
      <c r="O67" s="109">
        <f>F20</f>
        <v>0.5</v>
      </c>
      <c r="P67" s="135" t="s">
        <v>29</v>
      </c>
      <c r="Q67" s="135" t="s">
        <v>77</v>
      </c>
    </row>
    <row r="68" spans="3:15" s="135" customFormat="1" ht="15" customHeight="1">
      <c r="C68" s="142" t="s">
        <v>346</v>
      </c>
      <c r="G68" s="146"/>
      <c r="H68" s="146"/>
      <c r="I68" s="143">
        <f>I47/G19</f>
        <v>0.195</v>
      </c>
      <c r="J68" s="146"/>
      <c r="K68" s="146"/>
      <c r="M68" s="149"/>
      <c r="O68" s="109"/>
    </row>
    <row r="69" spans="3:17" s="135" customFormat="1" ht="15" customHeight="1">
      <c r="C69" s="142" t="s">
        <v>347</v>
      </c>
      <c r="D69" s="135" t="s">
        <v>61</v>
      </c>
      <c r="G69" s="146"/>
      <c r="H69" s="146"/>
      <c r="I69" s="143">
        <f>I58/G19</f>
        <v>0.15601595429671497</v>
      </c>
      <c r="J69" s="146"/>
      <c r="K69" s="146"/>
      <c r="M69" s="149">
        <f>G19</f>
        <v>29000</v>
      </c>
      <c r="N69" s="135" t="s">
        <v>23</v>
      </c>
      <c r="O69" s="109">
        <f>G20</f>
        <v>0.45</v>
      </c>
      <c r="P69" s="135" t="s">
        <v>22</v>
      </c>
      <c r="Q69" s="135" t="s">
        <v>77</v>
      </c>
    </row>
    <row r="70" spans="2:17" s="135" customFormat="1" ht="15" customHeight="1">
      <c r="B70" s="137"/>
      <c r="C70" s="142" t="s">
        <v>348</v>
      </c>
      <c r="G70" s="146"/>
      <c r="H70" s="146"/>
      <c r="I70" s="144">
        <f>UNITCOST/MEDP</f>
        <v>32584.801647269782</v>
      </c>
      <c r="J70" s="146"/>
      <c r="K70" s="146"/>
      <c r="M70" s="149">
        <f>H19</f>
        <v>26100</v>
      </c>
      <c r="N70" s="135" t="s">
        <v>33</v>
      </c>
      <c r="O70" s="109">
        <f>H20</f>
        <v>0.41</v>
      </c>
      <c r="P70" s="135" t="s">
        <v>32</v>
      </c>
      <c r="Q70" s="135" t="s">
        <v>77</v>
      </c>
    </row>
    <row r="71" spans="7:17" s="135" customFormat="1" ht="15" customHeight="1">
      <c r="G71" s="146"/>
      <c r="H71" s="146"/>
      <c r="I71" s="174"/>
      <c r="J71" s="146"/>
      <c r="K71" s="146" t="s">
        <v>0</v>
      </c>
      <c r="M71" s="149">
        <f>I19</f>
        <v>23490</v>
      </c>
      <c r="N71" s="135" t="s">
        <v>56</v>
      </c>
      <c r="O71" s="109">
        <f>I20</f>
        <v>0.36</v>
      </c>
      <c r="P71" s="135" t="s">
        <v>55</v>
      </c>
      <c r="Q71" s="135" t="s">
        <v>77</v>
      </c>
    </row>
    <row r="72" spans="5:17" s="135" customFormat="1" ht="15" customHeight="1">
      <c r="E72" s="135" t="s">
        <v>72</v>
      </c>
      <c r="G72" s="146"/>
      <c r="H72" s="146"/>
      <c r="I72" s="146"/>
      <c r="J72" s="146"/>
      <c r="K72" s="146"/>
      <c r="M72" s="109">
        <f>I68</f>
        <v>0.195</v>
      </c>
      <c r="N72" s="135" t="s">
        <v>21</v>
      </c>
      <c r="Q72" s="135" t="s">
        <v>77</v>
      </c>
    </row>
    <row r="73" spans="7:17" s="135" customFormat="1" ht="15" customHeight="1">
      <c r="G73" s="146"/>
      <c r="H73" s="146"/>
      <c r="I73" s="146"/>
      <c r="J73" s="146"/>
      <c r="K73" s="146"/>
      <c r="M73" s="109">
        <f>I42+I58</f>
        <v>9008.1607412714</v>
      </c>
      <c r="N73" s="135" t="s">
        <v>46</v>
      </c>
      <c r="Q73" s="135" t="s">
        <v>77</v>
      </c>
    </row>
    <row r="74" spans="7:17" s="135" customFormat="1" ht="15" customHeight="1">
      <c r="G74" s="146"/>
      <c r="H74" s="146"/>
      <c r="I74" s="146"/>
      <c r="J74" s="146"/>
      <c r="K74" s="146"/>
      <c r="M74" s="135" t="s">
        <v>77</v>
      </c>
      <c r="Q74" s="135" t="s">
        <v>77</v>
      </c>
    </row>
    <row r="75" spans="7:17" s="135" customFormat="1" ht="15" customHeight="1">
      <c r="G75" s="146"/>
      <c r="H75" s="146"/>
      <c r="I75" s="146"/>
      <c r="J75" s="146"/>
      <c r="K75" s="146"/>
      <c r="M75" s="135" t="s">
        <v>1</v>
      </c>
      <c r="Q75" s="135" t="s">
        <v>83</v>
      </c>
    </row>
    <row r="76" spans="7:17" s="135" customFormat="1" ht="15" customHeight="1">
      <c r="G76" s="166"/>
      <c r="H76" s="146"/>
      <c r="I76" s="146"/>
      <c r="J76" s="146"/>
      <c r="K76" s="146"/>
      <c r="N76" s="135" t="s">
        <v>113</v>
      </c>
      <c r="Q76" s="135" t="s">
        <v>83</v>
      </c>
    </row>
    <row r="77" spans="1:17" s="135" customFormat="1" ht="15" customHeight="1">
      <c r="A77" s="200" t="s">
        <v>129</v>
      </c>
      <c r="B77" s="200"/>
      <c r="C77" s="200"/>
      <c r="D77" s="200"/>
      <c r="E77" s="200"/>
      <c r="F77" s="200"/>
      <c r="G77" s="200"/>
      <c r="H77" s="200"/>
      <c r="I77" s="200"/>
      <c r="J77" s="200"/>
      <c r="K77" s="146"/>
      <c r="M77" s="135" t="s">
        <v>1</v>
      </c>
      <c r="Q77" s="135" t="s">
        <v>83</v>
      </c>
    </row>
    <row r="78" spans="7:17" s="135" customFormat="1" ht="15" customHeight="1">
      <c r="G78" s="145" t="s">
        <v>0</v>
      </c>
      <c r="H78" s="145"/>
      <c r="I78" s="146"/>
      <c r="J78" s="146"/>
      <c r="K78" s="146"/>
      <c r="M78" s="149">
        <f>0.04*M66+0.25*M67+0.42*M69+0.25*M70+0.04*M71</f>
        <v>29023.199999999997</v>
      </c>
      <c r="N78" s="135" t="s">
        <v>19</v>
      </c>
      <c r="O78" s="135">
        <f>0.04*O66+0.25*O67+0.42*O69+0.25*O70+0.04*O71</f>
        <v>0.4525</v>
      </c>
      <c r="P78" s="135" t="s">
        <v>18</v>
      </c>
      <c r="Q78" s="135" t="s">
        <v>83</v>
      </c>
    </row>
    <row r="79" spans="7:17" s="135" customFormat="1" ht="15" customHeight="1">
      <c r="G79" s="146"/>
      <c r="H79" s="146"/>
      <c r="I79" s="146"/>
      <c r="J79" s="146"/>
      <c r="K79" s="146"/>
      <c r="M79" s="135">
        <f>0.25*(M66-M78)+0.5*(M67-M78)</f>
        <v>2955.100000000002</v>
      </c>
      <c r="N79" s="135" t="s">
        <v>44</v>
      </c>
      <c r="O79" s="135">
        <f>0.25*(O66-O78)+0.5*(O67-O78)</f>
        <v>0.045625</v>
      </c>
      <c r="P79" s="135" t="s">
        <v>36</v>
      </c>
      <c r="Q79" s="135" t="s">
        <v>83</v>
      </c>
    </row>
    <row r="80" spans="3:17" s="135" customFormat="1" ht="15" customHeight="1">
      <c r="C80" s="135" t="s">
        <v>0</v>
      </c>
      <c r="D80" s="135" t="s">
        <v>128</v>
      </c>
      <c r="F80" s="135" t="s">
        <v>259</v>
      </c>
      <c r="G80" s="146"/>
      <c r="H80" s="143" t="s">
        <v>128</v>
      </c>
      <c r="I80" s="143" t="s">
        <v>0</v>
      </c>
      <c r="J80" s="157" t="s">
        <v>232</v>
      </c>
      <c r="K80" s="146"/>
      <c r="M80" s="135">
        <f>0.25*(M78-M71)+0.5*(M78-M70)</f>
        <v>2844.899999999998</v>
      </c>
      <c r="N80" s="135" t="s">
        <v>45</v>
      </c>
      <c r="O80" s="135">
        <f>0.25*(O78-O71)+0.5*(O78-O70)</f>
        <v>0.044375000000000026</v>
      </c>
      <c r="P80" s="135" t="s">
        <v>37</v>
      </c>
      <c r="Q80" s="135" t="s">
        <v>83</v>
      </c>
    </row>
    <row r="81" spans="3:17" s="135" customFormat="1" ht="15" customHeight="1">
      <c r="C81" s="135" t="s">
        <v>96</v>
      </c>
      <c r="D81" s="135" t="s">
        <v>265</v>
      </c>
      <c r="F81" s="135" t="s">
        <v>179</v>
      </c>
      <c r="G81" s="146"/>
      <c r="H81" s="143" t="s">
        <v>205</v>
      </c>
      <c r="I81" s="143" t="s">
        <v>0</v>
      </c>
      <c r="J81" s="157" t="s">
        <v>216</v>
      </c>
      <c r="K81" s="146"/>
      <c r="M81" s="149">
        <f>M79^2</f>
        <v>8732616.010000013</v>
      </c>
      <c r="N81" s="135" t="s">
        <v>53</v>
      </c>
      <c r="O81" s="135">
        <f>O79^2</f>
        <v>0.0020816406249999997</v>
      </c>
      <c r="P81" s="135" t="s">
        <v>47</v>
      </c>
      <c r="Q81" s="135" t="s">
        <v>83</v>
      </c>
    </row>
    <row r="82" spans="7:17" s="135" customFormat="1" ht="15" customHeight="1">
      <c r="G82" s="146"/>
      <c r="H82" s="146"/>
      <c r="I82" s="146"/>
      <c r="J82" s="146"/>
      <c r="K82" s="146" t="s">
        <v>2</v>
      </c>
      <c r="M82" s="149">
        <f>M80^2</f>
        <v>8093456.009999988</v>
      </c>
      <c r="N82" s="135" t="s">
        <v>54</v>
      </c>
      <c r="O82" s="135">
        <f>O80^2</f>
        <v>0.001969140625000002</v>
      </c>
      <c r="P82" s="135" t="s">
        <v>48</v>
      </c>
      <c r="Q82" s="135" t="s">
        <v>83</v>
      </c>
    </row>
    <row r="83" spans="3:17" s="135" customFormat="1" ht="15" customHeight="1">
      <c r="C83" s="149">
        <f>I14</f>
        <v>1</v>
      </c>
      <c r="D83" s="149">
        <f>MEDY</f>
        <v>29000</v>
      </c>
      <c r="F83" s="149">
        <f>MEDY*0.75</f>
        <v>21750</v>
      </c>
      <c r="G83" s="146"/>
      <c r="H83" s="143">
        <f>MEDP</f>
        <v>0.45</v>
      </c>
      <c r="I83" s="146"/>
      <c r="J83" s="141">
        <f>F83*O78</f>
        <v>9841.875</v>
      </c>
      <c r="K83" s="146"/>
      <c r="M83" s="135" t="s">
        <v>1</v>
      </c>
      <c r="Q83" s="135" t="s">
        <v>83</v>
      </c>
    </row>
    <row r="84" spans="7:17" s="135" customFormat="1" ht="15" customHeight="1">
      <c r="G84" s="146"/>
      <c r="H84" s="146"/>
      <c r="I84" s="146"/>
      <c r="J84" s="146"/>
      <c r="K84" s="146"/>
      <c r="M84" s="149">
        <f>(M78^2*O81)+(O78-M72)^2*M81</f>
        <v>2332488.961985313</v>
      </c>
      <c r="N84" s="149" t="s">
        <v>49</v>
      </c>
      <c r="O84" s="149">
        <f>(M78^2*O82)+(O78-M72)^2*M82</f>
        <v>2195344.718683313</v>
      </c>
      <c r="P84" s="135" t="s">
        <v>52</v>
      </c>
      <c r="Q84" s="135" t="s">
        <v>83</v>
      </c>
    </row>
    <row r="85" spans="7:17" s="135" customFormat="1" ht="12.75">
      <c r="G85" s="146"/>
      <c r="H85" s="146"/>
      <c r="I85" s="146"/>
      <c r="J85" s="146"/>
      <c r="K85" s="146"/>
      <c r="M85" s="149">
        <f>(M78^2*O81)+(O78-M72)^2*M82</f>
        <v>2290108.659235311</v>
      </c>
      <c r="N85" s="149" t="s">
        <v>50</v>
      </c>
      <c r="O85" s="149">
        <f>M78^2*O82+(O78-M72)^2*M81</f>
        <v>2237725.021433315</v>
      </c>
      <c r="P85" s="135" t="s">
        <v>51</v>
      </c>
      <c r="Q85" s="135" t="s">
        <v>83</v>
      </c>
    </row>
    <row r="86" spans="2:18" s="135" customFormat="1" ht="13.5" thickBot="1">
      <c r="B86" s="198"/>
      <c r="C86" s="198"/>
      <c r="D86" s="198"/>
      <c r="E86" s="198"/>
      <c r="F86" s="198"/>
      <c r="G86" s="199"/>
      <c r="H86" s="199"/>
      <c r="I86" s="199"/>
      <c r="J86" s="146"/>
      <c r="K86" s="146"/>
      <c r="M86" s="149">
        <f>SQRT(M84)</f>
        <v>1527.2488212420767</v>
      </c>
      <c r="N86" s="149" t="s">
        <v>38</v>
      </c>
      <c r="O86" s="149">
        <f>SQRT(O84)</f>
        <v>1481.669571356351</v>
      </c>
      <c r="P86" s="135" t="s">
        <v>41</v>
      </c>
      <c r="Q86" s="135" t="s">
        <v>83</v>
      </c>
      <c r="R86" s="135" t="s">
        <v>0</v>
      </c>
    </row>
    <row r="87" spans="7:17" s="135" customFormat="1" ht="12.75">
      <c r="G87" s="146"/>
      <c r="H87" s="146"/>
      <c r="I87" s="146"/>
      <c r="J87" s="146"/>
      <c r="K87" s="146"/>
      <c r="M87" s="149">
        <f>SQRT(M85)</f>
        <v>1513.3104966381854</v>
      </c>
      <c r="N87" s="149" t="s">
        <v>39</v>
      </c>
      <c r="O87" s="149">
        <f>SQRT(O85)</f>
        <v>1495.902744643954</v>
      </c>
      <c r="P87" s="135" t="s">
        <v>40</v>
      </c>
      <c r="Q87" s="135" t="s">
        <v>83</v>
      </c>
    </row>
    <row r="88" spans="7:43" s="135" customFormat="1" ht="12.75">
      <c r="G88" s="146"/>
      <c r="H88" s="146"/>
      <c r="I88" s="146"/>
      <c r="J88" s="146"/>
      <c r="K88" s="146"/>
      <c r="M88" s="149">
        <f>0.66*M86+0.17*M87+0.17*O87</f>
        <v>1519.5504730377345</v>
      </c>
      <c r="N88" s="149" t="s">
        <v>42</v>
      </c>
      <c r="O88" s="149">
        <f>0.66*O86+0.17*M87+0.17*O87</f>
        <v>1489.4681681131556</v>
      </c>
      <c r="P88" s="135" t="s">
        <v>43</v>
      </c>
      <c r="Q88" s="135" t="s">
        <v>83</v>
      </c>
      <c r="AQ88" s="135" t="s">
        <v>218</v>
      </c>
    </row>
    <row r="89" spans="1:17" s="135" customFormat="1" ht="12.75">
      <c r="A89" s="200" t="s">
        <v>5</v>
      </c>
      <c r="B89" s="200"/>
      <c r="C89" s="200"/>
      <c r="D89" s="200"/>
      <c r="E89" s="200"/>
      <c r="F89" s="200"/>
      <c r="G89" s="200"/>
      <c r="H89" s="200"/>
      <c r="I89" s="200"/>
      <c r="J89" s="200"/>
      <c r="K89" s="146"/>
      <c r="M89" s="135" t="s">
        <v>1</v>
      </c>
      <c r="Q89" s="135" t="s">
        <v>83</v>
      </c>
    </row>
    <row r="90" spans="7:17" s="135" customFormat="1" ht="13.5" thickBot="1">
      <c r="G90" s="146"/>
      <c r="H90" s="146"/>
      <c r="I90" s="146"/>
      <c r="J90" s="146"/>
      <c r="K90" s="146"/>
      <c r="M90" s="135" t="s">
        <v>112</v>
      </c>
      <c r="Q90" s="135" t="s">
        <v>83</v>
      </c>
    </row>
    <row r="91" spans="4:17" s="135" customFormat="1" ht="13.5" thickTop="1">
      <c r="D91" s="201" t="s">
        <v>182</v>
      </c>
      <c r="E91" s="202"/>
      <c r="F91" s="202"/>
      <c r="G91" s="202"/>
      <c r="H91" s="202"/>
      <c r="I91" s="203"/>
      <c r="J91" s="146"/>
      <c r="K91" s="146"/>
      <c r="M91" s="135" t="s">
        <v>1</v>
      </c>
      <c r="Q91" s="135" t="s">
        <v>83</v>
      </c>
    </row>
    <row r="92" spans="4:17" s="135" customFormat="1" ht="12.75">
      <c r="D92" s="204" t="s">
        <v>226</v>
      </c>
      <c r="E92" s="139"/>
      <c r="F92" s="139"/>
      <c r="G92" s="139"/>
      <c r="H92" s="139"/>
      <c r="I92" s="205"/>
      <c r="J92" s="146"/>
      <c r="K92" s="146"/>
      <c r="M92" s="149">
        <f>M86*M65</f>
        <v>1527.2488212420767</v>
      </c>
      <c r="N92" s="135" t="s">
        <v>38</v>
      </c>
      <c r="O92" s="149">
        <f>O86*M65</f>
        <v>1481.669571356351</v>
      </c>
      <c r="P92" s="135" t="s">
        <v>41</v>
      </c>
      <c r="Q92" s="135" t="s">
        <v>83</v>
      </c>
    </row>
    <row r="93" spans="4:17" s="135" customFormat="1" ht="13.5" thickBot="1">
      <c r="D93" s="206" t="s">
        <v>225</v>
      </c>
      <c r="E93" s="207"/>
      <c r="F93" s="207"/>
      <c r="G93" s="207"/>
      <c r="H93" s="207"/>
      <c r="I93" s="208"/>
      <c r="J93" s="146"/>
      <c r="K93" s="146" t="s">
        <v>0</v>
      </c>
      <c r="M93" s="149">
        <f>M87*M65</f>
        <v>1513.3104966381854</v>
      </c>
      <c r="N93" s="135" t="s">
        <v>39</v>
      </c>
      <c r="O93" s="149">
        <f>O87*M65</f>
        <v>1495.902744643954</v>
      </c>
      <c r="P93" s="135" t="s">
        <v>40</v>
      </c>
      <c r="Q93" s="135" t="s">
        <v>83</v>
      </c>
    </row>
    <row r="94" spans="7:17" s="135" customFormat="1" ht="13.5" thickTop="1">
      <c r="G94" s="146"/>
      <c r="H94" s="146"/>
      <c r="I94" s="146"/>
      <c r="J94" s="146"/>
      <c r="K94" s="146"/>
      <c r="M94" s="149">
        <f>M65*M88</f>
        <v>1519.5504730377345</v>
      </c>
      <c r="N94" s="135" t="s">
        <v>42</v>
      </c>
      <c r="O94" s="149">
        <f>M65*O88</f>
        <v>1489.4681681131556</v>
      </c>
      <c r="P94" s="135" t="s">
        <v>43</v>
      </c>
      <c r="Q94" s="135" t="s">
        <v>83</v>
      </c>
    </row>
    <row r="95" spans="4:17" s="135" customFormat="1" ht="12.75">
      <c r="D95" s="162" t="s">
        <v>106</v>
      </c>
      <c r="E95" s="162" t="s">
        <v>361</v>
      </c>
      <c r="F95" s="162" t="s">
        <v>189</v>
      </c>
      <c r="G95" s="162" t="s">
        <v>20</v>
      </c>
      <c r="H95" s="162" t="s">
        <v>196</v>
      </c>
      <c r="I95" s="176" t="s">
        <v>362</v>
      </c>
      <c r="J95" s="162" t="s">
        <v>262</v>
      </c>
      <c r="K95" s="146"/>
      <c r="M95" s="109">
        <f>O69</f>
        <v>0.45</v>
      </c>
      <c r="N95" s="135" t="s">
        <v>25</v>
      </c>
      <c r="O95" s="135">
        <f>M69</f>
        <v>29000</v>
      </c>
      <c r="P95" s="135" t="s">
        <v>28</v>
      </c>
      <c r="Q95" s="135" t="s">
        <v>83</v>
      </c>
    </row>
    <row r="96" spans="4:17" s="135" customFormat="1" ht="12.75">
      <c r="D96" s="146"/>
      <c r="J96" s="146"/>
      <c r="K96" s="146"/>
      <c r="M96" s="149">
        <f>I14*M78*O78</f>
        <v>13132.998</v>
      </c>
      <c r="N96" s="135" t="s">
        <v>17</v>
      </c>
      <c r="O96" s="149">
        <f>(M73+M69*M72)*M65</f>
        <v>14663.1607412714</v>
      </c>
      <c r="P96" s="135" t="s">
        <v>26</v>
      </c>
      <c r="Q96" s="135" t="s">
        <v>83</v>
      </c>
    </row>
    <row r="97" spans="2:17" s="135" customFormat="1" ht="12.75">
      <c r="B97" s="135" t="s">
        <v>81</v>
      </c>
      <c r="D97" s="157">
        <f>O$97+1.5*M$94</f>
        <v>749.1629682852013</v>
      </c>
      <c r="E97" s="157">
        <f>(O97+M94)</f>
        <v>-10.6122682336661</v>
      </c>
      <c r="F97" s="157">
        <f>O97+0.5*M94</f>
        <v>-770.3875047525333</v>
      </c>
      <c r="G97" s="148">
        <f>O97</f>
        <v>-1530.1627412714006</v>
      </c>
      <c r="H97" s="177">
        <f>O97-0.5*O94</f>
        <v>-2274.896825327978</v>
      </c>
      <c r="I97" s="177">
        <f>O97-O94</f>
        <v>-3019.630909384556</v>
      </c>
      <c r="J97" s="177">
        <f>O97-1.5*O94</f>
        <v>-3764.364993441134</v>
      </c>
      <c r="K97" s="146" t="s">
        <v>0</v>
      </c>
      <c r="M97" s="149">
        <f>M96+(0.7857*(O94-M94))</f>
        <v>13109.362333020757</v>
      </c>
      <c r="N97" s="135" t="s">
        <v>27</v>
      </c>
      <c r="O97" s="149">
        <f>M96-O96</f>
        <v>-1530.1627412714006</v>
      </c>
      <c r="P97" s="135" t="s">
        <v>15</v>
      </c>
      <c r="Q97" s="135" t="s">
        <v>83</v>
      </c>
    </row>
    <row r="98" spans="2:17" s="135" customFormat="1" ht="12.75">
      <c r="B98" s="135" t="s">
        <v>115</v>
      </c>
      <c r="D98" s="178">
        <f>IF(N101&lt;1,IF(M101,R101,1-R101),IF(M101,R102,1-R102))</f>
        <v>0.06775399353826492</v>
      </c>
      <c r="E98" s="178">
        <f>IF(T101&lt;1,IF(S101,X101,1-X101),IF(S101,X102,1-X102))</f>
        <v>0.15864772251431006</v>
      </c>
      <c r="F98" s="178">
        <f>IF(Z101&lt;1,IF(Y101,AD101,1-AD101),IF(Y101,AD102,1-AD102))</f>
        <v>0.30357622041924004</v>
      </c>
      <c r="G98" s="178">
        <f>IF(N103&lt;1,IF(M103,R103,1-R103),IF(M103,R104,1-R104))</f>
        <v>0.4937332929187032</v>
      </c>
      <c r="H98" s="179">
        <f>IF(T103&lt;1,IF(S103,X103,1-X103),IF(S103,X104,1-X104))</f>
        <v>0.6863601209744591</v>
      </c>
      <c r="I98" s="179">
        <f>IF(Z103&lt;1,IF(Y103,AD103,1-AD103),IF(Y103,AD104,1-AD104))</f>
        <v>0.8413368422940072</v>
      </c>
      <c r="J98" s="180">
        <f>IF(N105&lt;1,IF(M105,R105,1-R105),IF(M105,R106,1-R106))</f>
        <v>0.9341699206014678</v>
      </c>
      <c r="K98" s="146"/>
      <c r="M98" s="149">
        <f>M97-O96</f>
        <v>-1553.7984082506428</v>
      </c>
      <c r="N98" s="135" t="s">
        <v>24</v>
      </c>
      <c r="O98" s="135">
        <f>O97-M98</f>
        <v>23.63566697924216</v>
      </c>
      <c r="P98" s="135" t="s">
        <v>16</v>
      </c>
      <c r="Q98" s="135" t="s">
        <v>83</v>
      </c>
    </row>
    <row r="99" spans="2:17" s="135" customFormat="1" ht="12.75">
      <c r="B99" s="135" t="s">
        <v>115</v>
      </c>
      <c r="D99" s="181">
        <f>IF(N101&lt;1,IF(M101,1-R101,R101),IF(M101,1-R102,R102))</f>
        <v>0.932246006461735</v>
      </c>
      <c r="E99" s="181">
        <f>IF(T101&lt;1,IF(S101,1-X101,X101),IF(S101,1-X102,X102))</f>
        <v>0.84135227748569</v>
      </c>
      <c r="F99" s="181">
        <f>IF(Z101&lt;1,IF(Y101,1-AD101,AD101),IF(Y101,1-AD102,AD102))</f>
        <v>0.69642377958076</v>
      </c>
      <c r="G99" s="178">
        <f>IF(N103&lt;1,IF(M103,1-R103,R103),IF(M103,1-R104,R104))</f>
        <v>0.5062667070812967</v>
      </c>
      <c r="H99" s="178">
        <f>IF(T103&lt;1,IF(S103,1-X103,X103),IF(S103,1-X104,X104))</f>
        <v>0.3136398790255409</v>
      </c>
      <c r="I99" s="178">
        <f>IF(Z103&lt;1,IF(Y103,1-AD103,AD103),IF(Y103,1-AD104,AD104))</f>
        <v>0.15866315770599282</v>
      </c>
      <c r="J99" s="178">
        <f>IF(N105&lt;1,IF(M105,1-R105,R105),IF(M105,1-R106,R106))</f>
        <v>0.06583007939853219</v>
      </c>
      <c r="K99" s="146"/>
      <c r="M99" s="135" t="s">
        <v>1</v>
      </c>
      <c r="Q99" s="135" t="s">
        <v>83</v>
      </c>
    </row>
    <row r="100" spans="4:11" s="135" customFormat="1" ht="12.75">
      <c r="D100" s="146"/>
      <c r="E100" s="146"/>
      <c r="F100" s="146"/>
      <c r="G100" s="146"/>
      <c r="H100" s="146"/>
      <c r="I100" s="146"/>
      <c r="J100" s="146"/>
      <c r="K100" s="146"/>
    </row>
    <row r="101" spans="2:30" s="135" customFormat="1" ht="13.5" thickBot="1">
      <c r="B101" s="161" t="s">
        <v>360</v>
      </c>
      <c r="D101" s="146"/>
      <c r="E101" s="183">
        <f>IF(T105&lt;1,IF(S105,X105,1-X105),IF(S105,X106,1-X106))</f>
        <v>0.1569803114979898</v>
      </c>
      <c r="F101" s="150" t="s">
        <v>359</v>
      </c>
      <c r="G101" s="146"/>
      <c r="H101" s="146"/>
      <c r="I101" s="146"/>
      <c r="J101" s="184">
        <f>M65*(G19*G20-I60)</f>
        <v>-1613.160741271402</v>
      </c>
      <c r="K101" s="146"/>
      <c r="M101" s="109" t="b">
        <f>+D97&gt;=M98</f>
        <v>1</v>
      </c>
      <c r="N101" s="109">
        <f>ABS((D97-O97)/IF(M101,M94,O94))</f>
        <v>1.5</v>
      </c>
      <c r="O101" s="109">
        <f>MIN(2.5,ABS((D97-(M98+O98*ABS(D97-M98)/ABS(IF(M101,M94+O98,O94-O98))*MIN(1,N101)))/(MIN(1.52,N101)/1.52*IF(M101,M92,O92)+(1.52-MIN(1.52,N101))/3.04*M93+(1.52-MIN(1.52,N101))/3.04*O93)))</f>
        <v>1.485109235267341</v>
      </c>
      <c r="P101" s="109">
        <f aca="true" t="shared" si="2" ref="P101:P106">1/(1+(0.2316419*O101))</f>
        <v>0.7440401316096393</v>
      </c>
      <c r="Q101" s="109">
        <f aca="true" t="shared" si="3" ref="Q101:Q106">0.398942281*((2.71828)^((-(O101^2)/2)))</f>
        <v>0.1324284856431648</v>
      </c>
      <c r="R101" s="109">
        <f aca="true" t="shared" si="4" ref="R101:R106">Q101*(0.31938153*P101-0.356563782*P101^2+1.781477937*P101^3-1.821255978*P101^4+1.330274429*P101^5)</f>
        <v>0.06875752772785476</v>
      </c>
      <c r="S101" s="109" t="b">
        <f>+E97&gt;=M98</f>
        <v>1</v>
      </c>
      <c r="T101" s="109">
        <f>ABS((E97-O97)/IF(S101,M94,O94))</f>
        <v>1</v>
      </c>
      <c r="U101" s="109">
        <f>MIN(2.5,ABS((E97-(M98+O98*ABS(E97-M98)/ABS(IF(S101,M94+O98,O94-O98))*MIN(1,T101)))/(MIN(1.52,T101)/1.52*IF(S101,M92,O92)+(1.52-MIN(1.52,T101))/3.04*M93+(1.52-MIN(1.52,T101))/3.04*O93)))</f>
        <v>1.0000313706500406</v>
      </c>
      <c r="V101" s="109">
        <f aca="true" t="shared" si="5" ref="V101:V106">1/(1+(0.2316419*U101))</f>
        <v>0.8119195197712605</v>
      </c>
      <c r="W101" s="109">
        <f aca="true" t="shared" si="6" ref="W101:W106">0.398942281*((2.71828)^((-(U101^2)/2)))</f>
        <v>0.24196321548696442</v>
      </c>
      <c r="X101" s="109">
        <f aca="true" t="shared" si="7" ref="X101:X106">W101*(0.31938153*V101-0.356563782*V101^2+1.781477937*V101^3-1.821255978*V101^4+1.330274429*V101^5)</f>
        <v>0.15864772251431006</v>
      </c>
      <c r="Y101" s="109" t="b">
        <f>+F97&gt;=M98</f>
        <v>1</v>
      </c>
      <c r="Z101" s="109">
        <f>ABS((F97-O97)/IF(Y101,M94,O94))</f>
        <v>0.5</v>
      </c>
      <c r="AA101" s="109">
        <f>MIN(2.5,ABS((F97-(M98+O98*ABS(F97-M98)/ABS(IF(Y101,M94+O98,O94-O98))*MIN(1,Z101)))/(MIN(1.52,Z101)/1.52*IF(Y101,M92,O92)+(1.52-MIN(1.52,Z101))/3.04*M93+(1.52-MIN(1.52,Z101))/3.04*O93)))</f>
        <v>0.5141424303341101</v>
      </c>
      <c r="AB101" s="109">
        <f>1/(1+(0.2316419*AA101))</f>
        <v>0.8935776461351476</v>
      </c>
      <c r="AC101" s="109">
        <f>0.398942281*((2.71828)^((-(AA101^2)/2)))</f>
        <v>0.34954965181001146</v>
      </c>
      <c r="AD101" s="109">
        <f>AC101*(0.31938153*AB101-0.356563782*AB101^2+1.781477937*AB101^3-1.821255978*AB101^4+1.330274429*AB101^5)</f>
        <v>0.30357622041924004</v>
      </c>
    </row>
    <row r="102" spans="7:30" s="135" customFormat="1" ht="13.5" thickTop="1">
      <c r="G102" s="146"/>
      <c r="H102" s="146"/>
      <c r="I102" s="146"/>
      <c r="J102" s="146"/>
      <c r="K102" s="146"/>
      <c r="L102" s="135" t="s">
        <v>0</v>
      </c>
      <c r="O102" s="109">
        <f>MIN(2.5,ABS((D97-O97)/(MIN(1.52,N101)/1.52*IF(M101,M92,O92)+(1.52-MIN(1.52,N101))/3.04*M93+(1.52-MIN(1.52,N101))/3.04*O93)))</f>
        <v>1.492730194018585</v>
      </c>
      <c r="P102" s="109">
        <f t="shared" si="2"/>
        <v>0.7430641325730446</v>
      </c>
      <c r="Q102" s="109">
        <f t="shared" si="3"/>
        <v>0.1309343143962879</v>
      </c>
      <c r="R102" s="109">
        <f t="shared" si="4"/>
        <v>0.06775399353826492</v>
      </c>
      <c r="U102" s="109">
        <f>MIN(2.5,ABS((E97-O97)/(MIN(1.52,T101)/1.52*IF(S101,M92,O92)+(1.52-MIN(1.52,T101))/3.04*M93+(1.52-MIN(1.52,T101))/3.04*O93)))</f>
        <v>1.0000313706500406</v>
      </c>
      <c r="V102" s="109">
        <f t="shared" si="5"/>
        <v>0.8119195197712605</v>
      </c>
      <c r="W102" s="109">
        <f t="shared" si="6"/>
        <v>0.24196321548696442</v>
      </c>
      <c r="X102" s="109">
        <f t="shared" si="7"/>
        <v>0.15864772251431006</v>
      </c>
      <c r="AA102" s="109">
        <f>MIN(2.5,ABS((F97-O97)/(MIN(1.52,Z101)/1.52*IF(Y101,M92,O92)+(1.52-MIN(1.52,Z101))/3.04*M93+(1.52-MIN(1.52,Z101))/3.04*O93)))</f>
        <v>0.5024786669521725</v>
      </c>
      <c r="AB102" s="109">
        <f>1/(1+(0.2316419*AA102))</f>
        <v>0.8957402162064814</v>
      </c>
      <c r="AC102" s="109">
        <f>0.398942281*((2.71828)^((-(AA102^2)/2)))</f>
        <v>0.3516282209047132</v>
      </c>
      <c r="AD102" s="109">
        <f>AC102*(0.31938153*AB102-0.356563782*AB102^2+1.781477937*AB102^3-1.821255978*AB102^4+1.330274429*AB102^5)</f>
        <v>0.30766544619853403</v>
      </c>
    </row>
    <row r="103" spans="7:30" s="135" customFormat="1" ht="12.75">
      <c r="G103" s="146"/>
      <c r="H103" s="146"/>
      <c r="I103" s="146"/>
      <c r="J103" s="146"/>
      <c r="K103" s="135" t="s">
        <v>2</v>
      </c>
      <c r="M103" s="109" t="b">
        <f>+G97&gt;=M98</f>
        <v>1</v>
      </c>
      <c r="N103" s="109">
        <f>ABS((G97-O97)/IF(M103,M94,O94))</f>
        <v>0</v>
      </c>
      <c r="O103" s="109">
        <f>MIN(2.5,ABS((G97-(M98+O98*ABS(G97-M98)/ABS(IF(M103,M94+O98,O94-O98))*MIN(1,N103)))/(MIN(1.52,N103)/1.52*IF(M103,M92,O92)+(1.52-MIN(1.52,N103))/3.04*M93+(1.52-MIN(1.52,N103))/3.04*O93)))</f>
        <v>0.015708868122068797</v>
      </c>
      <c r="P103" s="109">
        <f t="shared" si="2"/>
        <v>0.9963743610326621</v>
      </c>
      <c r="Q103" s="109">
        <f t="shared" si="3"/>
        <v>0.3988930608680157</v>
      </c>
      <c r="R103" s="109">
        <f t="shared" si="4"/>
        <v>0.4937332929187032</v>
      </c>
      <c r="S103" s="109" t="b">
        <f>+H97&gt;=M98</f>
        <v>0</v>
      </c>
      <c r="T103" s="109">
        <f>ABS((H97-O97)/IF(S103,M94,O94))</f>
        <v>0.49999999999999983</v>
      </c>
      <c r="U103" s="109">
        <f>MIN(2.5,ABS((H97-(M98+O98*ABS(H97-M98)/ABS(IF(S103,M94+O98,O94-O98))*MIN(1,T103)))/(MIN(1.52,T103)/1.52*IF(S103,M92,O92)+(1.52-MIN(1.52,T103))/3.04*M93+(1.52-MIN(1.52,T103))/3.04*O93)))</f>
        <v>0.48555923543134355</v>
      </c>
      <c r="V103" s="109">
        <f t="shared" si="5"/>
        <v>0.898895906408416</v>
      </c>
      <c r="W103" s="109">
        <f t="shared" si="6"/>
        <v>0.3545796278848655</v>
      </c>
      <c r="X103" s="109">
        <f t="shared" si="7"/>
        <v>0.3136398790255409</v>
      </c>
      <c r="Y103" s="109" t="b">
        <f>+I97&gt;=M98</f>
        <v>0</v>
      </c>
      <c r="Z103" s="109">
        <f>ABS((I97-O97)/IF(Y103,M94,O94))</f>
        <v>1</v>
      </c>
      <c r="AA103" s="109">
        <f>MIN(2.5,ABS((I97-(M98+O98*ABS(I97-M98)/ABS(IF(Y103,M94+O98,O94-O98))*MIN(1,Z103)))/(MIN(1.52,Z103)/1.52*IF(Y103,M92,O92)+(1.52-MIN(1.52,Z103))/3.04*M93+(1.52-MIN(1.52,Z103))/3.04*O93)))</f>
        <v>0.9999675810733109</v>
      </c>
      <c r="AB103" s="109">
        <f>1/(1+(0.2316419*AA103))</f>
        <v>0.8119292606472528</v>
      </c>
      <c r="AC103" s="109">
        <f>0.398942281*((2.71828)^((-(AA103^2)/2)))</f>
        <v>0.2419786506918891</v>
      </c>
      <c r="AD103" s="109">
        <f>AC103*(0.31938153*AB103-0.356563782*AB103^2+1.781477937*AB103^3-1.821255978*AB103^4+1.330274429*AB103^5)</f>
        <v>0.15866315770599282</v>
      </c>
    </row>
    <row r="104" spans="7:30" s="135" customFormat="1" ht="12.75">
      <c r="G104" s="146"/>
      <c r="H104" s="146"/>
      <c r="I104" s="146"/>
      <c r="J104" s="146"/>
      <c r="O104" s="109">
        <f>MIN(2.5,ABS((G97-O97)/(MIN(1.52,N103)/1.52*IF(M103,M92,O92)+(1.52-MIN(1.52,N103))/3.04*M93+(1.52-MIN(1.52,N103))/3.04*O93)))</f>
        <v>0</v>
      </c>
      <c r="P104" s="109">
        <f t="shared" si="2"/>
        <v>1</v>
      </c>
      <c r="Q104" s="109">
        <f t="shared" si="3"/>
        <v>0.398942281</v>
      </c>
      <c r="R104" s="109">
        <f t="shared" si="4"/>
        <v>0.5000000002253843</v>
      </c>
      <c r="U104" s="109">
        <f>MIN(2.5,ABS((H97-O97)/(MIN(1.52,T103)/1.52*IF(S103,M92,O92)+(1.52-MIN(1.52,T103))/3.04*M93+(1.52-MIN(1.52,T103))/3.04*O93)))</f>
        <v>0.4974639083530049</v>
      </c>
      <c r="V104" s="109">
        <f t="shared" si="5"/>
        <v>0.896673220028561</v>
      </c>
      <c r="W104" s="109">
        <f t="shared" si="6"/>
        <v>0.3525109411350848</v>
      </c>
      <c r="X104" s="109">
        <f t="shared" si="7"/>
        <v>0.30943099511611466</v>
      </c>
      <c r="AA104" s="109">
        <f>MIN(2.5,ABS((I97-O97)/(MIN(1.52,Z103)/1.52*IF(Y103,M92,O92)+(1.52-MIN(1.52,Z103))/3.04*M93+(1.52-MIN(1.52,Z103))/3.04*O93)))</f>
        <v>0.9999675810733109</v>
      </c>
      <c r="AB104" s="109">
        <f>1/(1+(0.2316419*AA104))</f>
        <v>0.8119292606472528</v>
      </c>
      <c r="AC104" s="109">
        <f>0.398942281*((2.71828)^((-(AA104^2)/2)))</f>
        <v>0.2419786506918891</v>
      </c>
      <c r="AD104" s="109">
        <f>AC104*(0.31938153*AB104-0.356563782*AB104^2+1.781477937*AB104^3-1.821255978*AB104^4+1.330274429*AB104^5)</f>
        <v>0.15866315770599282</v>
      </c>
    </row>
    <row r="105" spans="1:24" s="135" customFormat="1" ht="12.75">
      <c r="A105" s="200" t="s">
        <v>327</v>
      </c>
      <c r="B105" s="200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109" t="b">
        <f>+J97&gt;=M98</f>
        <v>0</v>
      </c>
      <c r="N105" s="109">
        <f>ABS((J97-O97)/IF(M105,M94,O94))</f>
        <v>1.5000000000000002</v>
      </c>
      <c r="O105" s="109">
        <f>MIN(2.5,ABS((J97-(M98+O98*ABS(J97-M98)/ABS(IF(M105,M94+O98,O94-O98))*MIN(1,N105)))/(MIN(1.52,N105)/1.52*IF(M105,M92,O92)+(1.52-MIN(1.52,N105))/3.04*M93+(1.52-MIN(1.52,N105))/3.04*O93)))</f>
        <v>1.5156909772726088</v>
      </c>
      <c r="P105" s="109">
        <f t="shared" si="2"/>
        <v>0.7401390144171067</v>
      </c>
      <c r="Q105" s="109">
        <f t="shared" si="3"/>
        <v>0.12648932922209358</v>
      </c>
      <c r="R105" s="109">
        <f t="shared" si="4"/>
        <v>0.06479882822365778</v>
      </c>
      <c r="S105" s="109" t="b">
        <f>0&gt;=M98</f>
        <v>1</v>
      </c>
      <c r="T105" s="109">
        <f>ABS((0-O97)/IF(S105,M94,O94))</f>
        <v>1.0069838208219903</v>
      </c>
      <c r="U105" s="109">
        <f>MIN(2.5,ABS((0-(M98+O98*ABS(0-M98)/ABS(IF(S105,M94+O98,O94-O98))*MIN(1,T105)))/(MIN(1.52,T105)/1.52*IF(S105,M92,O92)+(1.52-MIN(1.52,T105))/3.04*M93+(1.52-MIN(1.52,T105))/3.04*O93)))</f>
        <v>1.0068395090196343</v>
      </c>
      <c r="V105" s="109">
        <f t="shared" si="5"/>
        <v>0.8108812368120256</v>
      </c>
      <c r="W105" s="109">
        <f t="shared" si="6"/>
        <v>0.2403158716222401</v>
      </c>
      <c r="X105" s="109">
        <f t="shared" si="7"/>
        <v>0.15700601455061702</v>
      </c>
    </row>
    <row r="106" spans="11:24" s="135" customFormat="1" ht="12.75">
      <c r="K106" s="161" t="s">
        <v>373</v>
      </c>
      <c r="O106" s="109">
        <f>MIN(2.5,ABS((J97-O97)/(MIN(1.52,N105)/1.52*IF(M105,M92,O92)+(1.52-MIN(1.52,N105))/3.04*M93+(1.52-MIN(1.52,N105))/3.04*O93)))</f>
        <v>1.507587994213365</v>
      </c>
      <c r="P106" s="109">
        <f t="shared" si="2"/>
        <v>0.7411686710000306</v>
      </c>
      <c r="Q106" s="109">
        <f t="shared" si="3"/>
        <v>0.12804819692706845</v>
      </c>
      <c r="R106" s="109">
        <f t="shared" si="4"/>
        <v>0.06583007939853219</v>
      </c>
      <c r="U106" s="109">
        <f>MIN(2.5,ABS((0-O97)/(MIN(1.52,T105)/1.52*IF(S105,M92,O92)+(1.52-MIN(1.52,T105))/3.04*M93+(1.52-MIN(1.52,T105))/3.04*O93)))</f>
        <v>1.0069464702839424</v>
      </c>
      <c r="V106" s="109">
        <f t="shared" si="5"/>
        <v>0.810864945749013</v>
      </c>
      <c r="W106" s="109">
        <f t="shared" si="6"/>
        <v>0.24028999136306478</v>
      </c>
      <c r="X106" s="109">
        <f t="shared" si="7"/>
        <v>0.1569803114979898</v>
      </c>
    </row>
    <row r="107" spans="2:11" s="135" customFormat="1" ht="12.75">
      <c r="B107" s="162"/>
      <c r="C107" s="162" t="s">
        <v>106</v>
      </c>
      <c r="D107" s="162" t="s">
        <v>325</v>
      </c>
      <c r="E107" s="162" t="s">
        <v>189</v>
      </c>
      <c r="F107" s="162" t="s">
        <v>127</v>
      </c>
      <c r="G107" s="162" t="s">
        <v>196</v>
      </c>
      <c r="H107" s="162" t="s">
        <v>196</v>
      </c>
      <c r="I107" s="162" t="s">
        <v>262</v>
      </c>
      <c r="J107" s="162" t="s">
        <v>371</v>
      </c>
      <c r="K107" s="161" t="s">
        <v>326</v>
      </c>
    </row>
    <row r="108" spans="2:11" s="135" customFormat="1" ht="12.75">
      <c r="B108" s="162" t="s">
        <v>374</v>
      </c>
      <c r="C108" s="162" t="s">
        <v>68</v>
      </c>
      <c r="D108" s="162" t="s">
        <v>68</v>
      </c>
      <c r="E108" s="162" t="s">
        <v>68</v>
      </c>
      <c r="F108" s="162">
        <f>MEDY*0.75</f>
        <v>21750</v>
      </c>
      <c r="G108" s="162" t="s">
        <v>68</v>
      </c>
      <c r="H108" s="162" t="s">
        <v>68</v>
      </c>
      <c r="I108" s="162" t="s">
        <v>68</v>
      </c>
      <c r="J108" s="162" t="s">
        <v>372</v>
      </c>
      <c r="K108" s="186">
        <v>0.01</v>
      </c>
    </row>
    <row r="109" spans="2:11" s="135" customFormat="1" ht="12.75">
      <c r="B109" s="109">
        <v>0.36</v>
      </c>
      <c r="C109" s="185">
        <v>-2078</v>
      </c>
      <c r="D109" s="185">
        <v>-2730</v>
      </c>
      <c r="E109" s="185">
        <v>-3383</v>
      </c>
      <c r="F109" s="185">
        <v>-4035</v>
      </c>
      <c r="G109" s="185">
        <v>-4613</v>
      </c>
      <c r="H109" s="185">
        <v>-5191</v>
      </c>
      <c r="I109" s="185">
        <v>-5769</v>
      </c>
      <c r="J109" s="177">
        <v>-4223</v>
      </c>
      <c r="K109" s="186">
        <v>0.02</v>
      </c>
    </row>
    <row r="110" spans="2:11" s="135" customFormat="1" ht="12.75">
      <c r="B110" s="109">
        <v>0.41</v>
      </c>
      <c r="C110" s="185">
        <v>-693</v>
      </c>
      <c r="D110" s="185">
        <v>-1404</v>
      </c>
      <c r="E110" s="185">
        <v>-2114</v>
      </c>
      <c r="F110" s="185">
        <v>-2825</v>
      </c>
      <c r="G110" s="185">
        <v>-3526</v>
      </c>
      <c r="H110" s="185">
        <v>-4228</v>
      </c>
      <c r="I110" s="185">
        <v>-4929</v>
      </c>
      <c r="J110" s="177">
        <v>-2773</v>
      </c>
      <c r="K110" s="189">
        <v>0.16</v>
      </c>
    </row>
    <row r="111" spans="2:17" s="135" customFormat="1" ht="12.75">
      <c r="B111" s="108">
        <v>0.45</v>
      </c>
      <c r="C111" s="187">
        <v>749</v>
      </c>
      <c r="D111" s="188">
        <v>-11</v>
      </c>
      <c r="E111" s="188">
        <v>-770</v>
      </c>
      <c r="F111" s="188">
        <v>-1530</v>
      </c>
      <c r="G111" s="188">
        <v>-2275</v>
      </c>
      <c r="H111" s="188">
        <v>-3020</v>
      </c>
      <c r="I111" s="188">
        <v>-3764</v>
      </c>
      <c r="J111" s="182">
        <v>-1613</v>
      </c>
      <c r="K111" s="186">
        <v>0.44</v>
      </c>
      <c r="M111" s="143"/>
      <c r="N111" s="143"/>
      <c r="O111" s="144"/>
      <c r="P111" s="143"/>
      <c r="Q111" s="143"/>
    </row>
    <row r="112" spans="2:11" s="135" customFormat="1" ht="12.75">
      <c r="B112" s="109">
        <v>0.5</v>
      </c>
      <c r="C112" s="190">
        <v>2211</v>
      </c>
      <c r="D112" s="173">
        <v>1403</v>
      </c>
      <c r="E112" s="136">
        <v>595</v>
      </c>
      <c r="F112" s="185">
        <v>-213</v>
      </c>
      <c r="G112" s="185">
        <v>-1009</v>
      </c>
      <c r="H112" s="191">
        <v>-1806</v>
      </c>
      <c r="I112" s="192">
        <v>-2.602</v>
      </c>
      <c r="J112" s="177">
        <v>-163</v>
      </c>
      <c r="K112" s="186">
        <v>0.74</v>
      </c>
    </row>
    <row r="113" spans="1:10" s="135" customFormat="1" ht="12.75">
      <c r="A113" s="142" t="s">
        <v>2</v>
      </c>
      <c r="B113" s="109">
        <v>0.54</v>
      </c>
      <c r="C113" s="193">
        <v>4.003</v>
      </c>
      <c r="D113" s="194">
        <v>3.065</v>
      </c>
      <c r="E113" s="136">
        <v>2127</v>
      </c>
      <c r="F113" s="190">
        <v>1189</v>
      </c>
      <c r="G113" s="136">
        <v>323</v>
      </c>
      <c r="H113" s="185">
        <v>-543</v>
      </c>
      <c r="I113" s="185">
        <v>-1408</v>
      </c>
      <c r="J113" s="157">
        <v>997</v>
      </c>
    </row>
    <row r="114" s="135" customFormat="1" ht="12.75"/>
    <row r="115" s="135" customFormat="1" ht="12.75">
      <c r="K115" s="109"/>
    </row>
    <row r="116" spans="2:11" s="135" customFormat="1" ht="12.75">
      <c r="B116" s="108" t="s">
        <v>355</v>
      </c>
      <c r="C116" s="109"/>
      <c r="D116" s="109"/>
      <c r="E116" s="109"/>
      <c r="F116" s="109"/>
      <c r="G116" s="109"/>
      <c r="H116" s="109"/>
      <c r="I116" s="109"/>
      <c r="J116" s="109"/>
      <c r="K116" s="109"/>
    </row>
    <row r="117" spans="2:11" s="135" customFormat="1" ht="12.75">
      <c r="B117" s="109" t="s">
        <v>356</v>
      </c>
      <c r="C117" s="109"/>
      <c r="D117" s="109"/>
      <c r="E117" s="109"/>
      <c r="F117" s="109"/>
      <c r="G117" s="109"/>
      <c r="H117" s="109"/>
      <c r="I117" s="109"/>
      <c r="J117" s="109"/>
      <c r="K117" s="109"/>
    </row>
    <row r="118" spans="2:11" s="135" customFormat="1" ht="12.75">
      <c r="B118" s="109" t="s">
        <v>357</v>
      </c>
      <c r="C118" s="109"/>
      <c r="D118" s="109"/>
      <c r="E118" s="109"/>
      <c r="F118" s="109"/>
      <c r="G118" s="109"/>
      <c r="H118" s="109"/>
      <c r="I118" s="109"/>
      <c r="J118" s="109"/>
      <c r="K118" s="109"/>
    </row>
    <row r="119" spans="2:10" s="135" customFormat="1" ht="12.75">
      <c r="B119" s="109" t="s">
        <v>358</v>
      </c>
      <c r="C119" s="109"/>
      <c r="D119" s="109"/>
      <c r="E119" s="109"/>
      <c r="F119" s="109"/>
      <c r="G119" s="109"/>
      <c r="H119" s="109"/>
      <c r="I119" s="109"/>
      <c r="J119" s="109"/>
    </row>
    <row r="120" s="135" customFormat="1" ht="12.75">
      <c r="A120" s="142" t="s">
        <v>2</v>
      </c>
    </row>
    <row r="121" s="135" customFormat="1" ht="12.75">
      <c r="A121" s="142" t="s">
        <v>2</v>
      </c>
    </row>
    <row r="122" s="135" customFormat="1" ht="12.75">
      <c r="A122" s="142" t="s">
        <v>2</v>
      </c>
    </row>
    <row r="123" s="135" customFormat="1" ht="12.75">
      <c r="A123" s="142" t="s">
        <v>2</v>
      </c>
    </row>
    <row r="124" spans="2:10" s="135" customFormat="1" ht="12.75">
      <c r="B124" s="195"/>
      <c r="C124" s="195"/>
      <c r="D124" s="195"/>
      <c r="E124" s="195"/>
      <c r="F124" s="195"/>
      <c r="G124" s="195"/>
      <c r="H124" s="195"/>
      <c r="I124" s="195"/>
      <c r="J124" s="196"/>
    </row>
    <row r="125" spans="2:10" s="135" customFormat="1" ht="12.75">
      <c r="B125" s="197"/>
      <c r="C125" s="197"/>
      <c r="D125" s="197"/>
      <c r="E125" s="197"/>
      <c r="F125" s="197"/>
      <c r="G125" s="197"/>
      <c r="H125" s="197"/>
      <c r="I125" s="197"/>
      <c r="J125" s="197"/>
    </row>
    <row r="126" spans="2:10" s="135" customFormat="1" ht="12.75">
      <c r="B126" s="197"/>
      <c r="C126" s="197"/>
      <c r="D126" s="197"/>
      <c r="E126" s="197"/>
      <c r="F126" s="197"/>
      <c r="G126" s="197"/>
      <c r="H126" s="197"/>
      <c r="I126" s="197"/>
      <c r="J126" s="197"/>
    </row>
    <row r="127" s="135" customFormat="1" ht="12.75"/>
    <row r="128" s="135" customFormat="1" ht="12.75"/>
    <row r="129" s="135" customFormat="1" ht="12.75"/>
    <row r="130" s="135" customFormat="1" ht="12.75"/>
    <row r="131" s="135" customFormat="1" ht="12.75"/>
    <row r="132" s="135" customFormat="1" ht="12.75"/>
    <row r="133" s="135" customFormat="1" ht="12.75"/>
    <row r="134" s="135" customFormat="1" ht="12.75"/>
    <row r="135" s="135" customFormat="1" ht="12.75"/>
    <row r="136" s="135" customFormat="1" ht="12.75"/>
    <row r="137" spans="2:9" s="135" customFormat="1" ht="12.75">
      <c r="B137" s="137"/>
      <c r="C137" s="137"/>
      <c r="D137" s="137"/>
      <c r="E137" s="145"/>
      <c r="F137" s="145"/>
      <c r="G137" s="145"/>
      <c r="H137" s="144"/>
      <c r="I137" s="144"/>
    </row>
    <row r="138" spans="5:9" s="135" customFormat="1" ht="12.75">
      <c r="E138" s="146"/>
      <c r="F138" s="146"/>
      <c r="G138" s="146"/>
      <c r="H138" s="146"/>
      <c r="I138" s="146"/>
    </row>
    <row r="139" spans="5:9" s="135" customFormat="1" ht="12.75">
      <c r="E139" s="141"/>
      <c r="F139" s="141"/>
      <c r="G139" s="147"/>
      <c r="H139" s="141"/>
      <c r="I139" s="141"/>
    </row>
    <row r="140" spans="5:9" s="135" customFormat="1" ht="12.75">
      <c r="E140" s="143"/>
      <c r="F140" s="143"/>
      <c r="G140" s="144"/>
      <c r="H140" s="143"/>
      <c r="I140" s="143"/>
    </row>
    <row r="141" s="135" customFormat="1" ht="12.75"/>
    <row r="142" s="135" customFormat="1" ht="12.75"/>
    <row r="143" s="135" customFormat="1" ht="12.75"/>
    <row r="144" s="135" customFormat="1" ht="12.75"/>
    <row r="145" s="135" customFormat="1" ht="12.75"/>
    <row r="146" s="135" customFormat="1" ht="12.75"/>
    <row r="147" s="135" customFormat="1" ht="12.75"/>
    <row r="148" s="135" customFormat="1" ht="12.75"/>
    <row r="149" s="135" customFormat="1" ht="12.75"/>
    <row r="150" s="135" customFormat="1" ht="12.75"/>
    <row r="151" s="135" customFormat="1" ht="12.75"/>
    <row r="152" s="135" customFormat="1" ht="12.75"/>
    <row r="153" s="135" customFormat="1" ht="12.75"/>
    <row r="154" s="135" customFormat="1" ht="12.75"/>
    <row r="155" s="135" customFormat="1" ht="12.75"/>
    <row r="156" s="135" customFormat="1" ht="12.75"/>
    <row r="157" s="135" customFormat="1" ht="12.75"/>
    <row r="158" s="135" customFormat="1" ht="12.75"/>
    <row r="159" s="135" customFormat="1" ht="12.75"/>
    <row r="160" s="135" customFormat="1" ht="12.75"/>
    <row r="161" s="135" customFormat="1" ht="12.75"/>
    <row r="162" s="135" customFormat="1" ht="12.75"/>
    <row r="163" s="135" customFormat="1" ht="12.75"/>
    <row r="164" s="135" customFormat="1" ht="12.75"/>
    <row r="165" s="135" customFormat="1" ht="12.75"/>
    <row r="166" s="135" customFormat="1" ht="12.75"/>
    <row r="167" s="135" customFormat="1" ht="12.75"/>
    <row r="168" s="135" customFormat="1" ht="12.75"/>
    <row r="169" s="135" customFormat="1" ht="12.75"/>
    <row r="170" s="135" customFormat="1" ht="12.75"/>
    <row r="171" s="135" customFormat="1" ht="12.75"/>
    <row r="172" s="135" customFormat="1" ht="12.75"/>
    <row r="173" s="135" customFormat="1" ht="12.75"/>
    <row r="174" s="135" customFormat="1" ht="12.75"/>
    <row r="175" s="135" customFormat="1" ht="12.75"/>
    <row r="176" s="135" customFormat="1" ht="12.75"/>
    <row r="177" s="135" customFormat="1" ht="12.75"/>
    <row r="178" s="135" customFormat="1" ht="12.75"/>
    <row r="179" s="135" customFormat="1" ht="12.75"/>
    <row r="180" s="135" customFormat="1" ht="12.75"/>
    <row r="181" s="135" customFormat="1" ht="12.75"/>
    <row r="182" s="135" customFormat="1" ht="12.75"/>
    <row r="183" s="135" customFormat="1" ht="12.75"/>
    <row r="184" spans="1:12" ht="12.75">
      <c r="A184" s="135"/>
      <c r="B184" s="135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</row>
    <row r="185" spans="1:10" ht="12.75">
      <c r="A185" s="135"/>
      <c r="B185" s="135"/>
      <c r="C185" s="135"/>
      <c r="D185" s="135"/>
      <c r="E185" s="135"/>
      <c r="F185" s="135"/>
      <c r="G185" s="135"/>
      <c r="H185" s="135"/>
      <c r="I185" s="135"/>
      <c r="J185" s="135"/>
    </row>
  </sheetData>
  <sheetProtection/>
  <mergeCells count="14">
    <mergeCell ref="A77:J77"/>
    <mergeCell ref="A89:J89"/>
    <mergeCell ref="A105:L105"/>
    <mergeCell ref="D91:I91"/>
    <mergeCell ref="D92:I92"/>
    <mergeCell ref="D93:I93"/>
    <mergeCell ref="B125:J125"/>
    <mergeCell ref="B126:J126"/>
    <mergeCell ref="A3:J3"/>
    <mergeCell ref="A4:J4"/>
    <mergeCell ref="A5:J5"/>
    <mergeCell ref="A7:J7"/>
    <mergeCell ref="A9:J9"/>
    <mergeCell ref="A11:J11"/>
  </mergeCells>
  <printOptions/>
  <pageMargins left="0.49" right="0.17" top="0.54" bottom="0.56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J48"/>
  <sheetViews>
    <sheetView zoomScalePageLayoutView="0" workbookViewId="0" topLeftCell="A13">
      <selection activeCell="L19" sqref="L19"/>
    </sheetView>
  </sheetViews>
  <sheetFormatPr defaultColWidth="9.140625" defaultRowHeight="12.75"/>
  <cols>
    <col min="1" max="1" width="9.140625" style="1" customWidth="1"/>
    <col min="2" max="2" width="29.57421875" style="1" customWidth="1"/>
    <col min="3" max="3" width="3.421875" style="1" customWidth="1"/>
    <col min="4" max="4" width="9.140625" style="1" customWidth="1"/>
    <col min="5" max="5" width="9.7109375" style="1" customWidth="1"/>
    <col min="6" max="6" width="10.57421875" style="1" bestFit="1" customWidth="1"/>
    <col min="7" max="16384" width="9.140625" style="1" customWidth="1"/>
  </cols>
  <sheetData>
    <row r="2" spans="2:4" ht="15.75">
      <c r="B2" s="99" t="s">
        <v>344</v>
      </c>
      <c r="D2" s="69"/>
    </row>
    <row r="4" spans="1:9" ht="15.75">
      <c r="A4" s="111" t="s">
        <v>287</v>
      </c>
      <c r="B4" s="113"/>
      <c r="C4" s="113"/>
      <c r="D4" s="113"/>
      <c r="E4" s="113"/>
      <c r="F4" s="113"/>
      <c r="G4" s="113"/>
      <c r="H4" s="113"/>
      <c r="I4" s="113"/>
    </row>
    <row r="5" spans="2:8" ht="15.75">
      <c r="B5" s="114" t="s">
        <v>367</v>
      </c>
      <c r="C5" s="121"/>
      <c r="D5" s="121"/>
      <c r="E5" s="121"/>
      <c r="F5" s="121"/>
      <c r="G5" s="121"/>
      <c r="H5" s="121"/>
    </row>
    <row r="8" spans="2:8" ht="12.75">
      <c r="B8" s="19" t="s">
        <v>166</v>
      </c>
      <c r="C8" s="19"/>
      <c r="D8" s="19"/>
      <c r="E8" s="19" t="s">
        <v>253</v>
      </c>
      <c r="F8" s="19" t="s">
        <v>210</v>
      </c>
      <c r="G8" s="10" t="s">
        <v>205</v>
      </c>
      <c r="H8" s="9" t="s">
        <v>97</v>
      </c>
    </row>
    <row r="10" spans="2:8" ht="12.75">
      <c r="B10" s="46" t="s">
        <v>187</v>
      </c>
      <c r="C10" s="46"/>
      <c r="D10" s="50"/>
      <c r="E10" s="50"/>
      <c r="F10" s="50"/>
      <c r="G10" s="50"/>
      <c r="H10" s="50"/>
    </row>
    <row r="11" spans="2:8" ht="12.75">
      <c r="B11" s="50" t="s">
        <v>275</v>
      </c>
      <c r="C11" s="50"/>
      <c r="D11" s="50"/>
      <c r="E11" s="51" t="s">
        <v>94</v>
      </c>
      <c r="F11" s="52">
        <v>1</v>
      </c>
      <c r="G11" s="52">
        <v>500</v>
      </c>
      <c r="H11" s="52">
        <f aca="true" t="shared" si="0" ref="H11:H26">F11*G11</f>
        <v>500</v>
      </c>
    </row>
    <row r="12" spans="2:8" ht="12.75">
      <c r="B12" s="50" t="s">
        <v>174</v>
      </c>
      <c r="C12" s="50"/>
      <c r="D12" s="50"/>
      <c r="E12" s="51" t="s">
        <v>230</v>
      </c>
      <c r="F12" s="52">
        <v>1</v>
      </c>
      <c r="G12" s="52">
        <v>30</v>
      </c>
      <c r="H12" s="52">
        <f t="shared" si="0"/>
        <v>30</v>
      </c>
    </row>
    <row r="13" spans="2:8" ht="12.75">
      <c r="B13" s="50" t="s">
        <v>131</v>
      </c>
      <c r="C13" s="50"/>
      <c r="D13" s="50"/>
      <c r="E13" s="51" t="s">
        <v>94</v>
      </c>
      <c r="F13" s="52">
        <v>730</v>
      </c>
      <c r="G13" s="52">
        <v>0.3</v>
      </c>
      <c r="H13" s="52">
        <f t="shared" si="0"/>
        <v>219</v>
      </c>
    </row>
    <row r="14" spans="2:8" ht="12.75">
      <c r="B14" s="50" t="s">
        <v>303</v>
      </c>
      <c r="C14" s="50"/>
      <c r="D14" s="50"/>
      <c r="E14" s="51" t="s">
        <v>94</v>
      </c>
      <c r="F14" s="52">
        <v>2</v>
      </c>
      <c r="G14" s="52">
        <v>40</v>
      </c>
      <c r="H14" s="52">
        <f t="shared" si="0"/>
        <v>80</v>
      </c>
    </row>
    <row r="15" spans="2:8" ht="12.75">
      <c r="B15" s="50" t="s">
        <v>304</v>
      </c>
      <c r="C15" s="50"/>
      <c r="D15" s="50"/>
      <c r="E15" s="51" t="s">
        <v>94</v>
      </c>
      <c r="F15" s="52">
        <v>2</v>
      </c>
      <c r="G15" s="52">
        <v>10</v>
      </c>
      <c r="H15" s="52">
        <f t="shared" si="0"/>
        <v>20</v>
      </c>
    </row>
    <row r="16" spans="2:8" ht="12.75">
      <c r="B16" s="50" t="s">
        <v>155</v>
      </c>
      <c r="C16" s="50"/>
      <c r="D16" s="50"/>
      <c r="E16" s="51" t="s">
        <v>94</v>
      </c>
      <c r="F16" s="52">
        <v>4</v>
      </c>
      <c r="G16" s="52">
        <f>15</f>
        <v>15</v>
      </c>
      <c r="H16" s="52">
        <f t="shared" si="0"/>
        <v>60</v>
      </c>
    </row>
    <row r="17" spans="2:8" ht="12.75">
      <c r="B17" s="50" t="s">
        <v>142</v>
      </c>
      <c r="C17" s="50"/>
      <c r="D17" s="50"/>
      <c r="E17" s="51" t="s">
        <v>94</v>
      </c>
      <c r="F17" s="52">
        <v>0</v>
      </c>
      <c r="G17" s="52">
        <v>50</v>
      </c>
      <c r="H17" s="52">
        <f t="shared" si="0"/>
        <v>0</v>
      </c>
    </row>
    <row r="18" spans="2:8" ht="12.75">
      <c r="B18" s="50" t="s">
        <v>351</v>
      </c>
      <c r="C18" s="50"/>
      <c r="D18" s="50"/>
      <c r="E18" s="51" t="s">
        <v>249</v>
      </c>
      <c r="F18" s="52">
        <v>145</v>
      </c>
      <c r="G18" s="52">
        <v>15</v>
      </c>
      <c r="H18" s="52">
        <f t="shared" si="0"/>
        <v>2175</v>
      </c>
    </row>
    <row r="19" spans="2:8" ht="12.75">
      <c r="B19" s="50" t="s">
        <v>301</v>
      </c>
      <c r="C19" s="50"/>
      <c r="D19" s="50"/>
      <c r="E19" s="51" t="s">
        <v>94</v>
      </c>
      <c r="F19" s="52">
        <v>1</v>
      </c>
      <c r="G19" s="52">
        <v>75</v>
      </c>
      <c r="H19" s="52">
        <f t="shared" si="0"/>
        <v>75</v>
      </c>
    </row>
    <row r="20" spans="2:8" ht="12.75">
      <c r="B20" s="50" t="s">
        <v>310</v>
      </c>
      <c r="C20" s="50"/>
      <c r="D20" s="50"/>
      <c r="E20" s="51" t="s">
        <v>94</v>
      </c>
      <c r="F20" s="52">
        <v>1</v>
      </c>
      <c r="G20" s="52">
        <v>35</v>
      </c>
      <c r="H20" s="52">
        <f t="shared" si="0"/>
        <v>35</v>
      </c>
    </row>
    <row r="21" spans="2:8" ht="12.75">
      <c r="B21" s="50" t="s">
        <v>311</v>
      </c>
      <c r="C21" s="50"/>
      <c r="D21" s="50"/>
      <c r="E21" s="51" t="s">
        <v>94</v>
      </c>
      <c r="F21" s="52">
        <v>1</v>
      </c>
      <c r="G21" s="52">
        <v>6</v>
      </c>
      <c r="H21" s="52">
        <f t="shared" si="0"/>
        <v>6</v>
      </c>
    </row>
    <row r="22" spans="2:8" ht="12.75">
      <c r="B22" s="50" t="s">
        <v>168</v>
      </c>
      <c r="C22" s="50"/>
      <c r="D22" s="50"/>
      <c r="E22" s="51" t="s">
        <v>152</v>
      </c>
      <c r="F22" s="52">
        <v>70</v>
      </c>
      <c r="G22" s="52">
        <v>10</v>
      </c>
      <c r="H22" s="52">
        <f t="shared" si="0"/>
        <v>700</v>
      </c>
    </row>
    <row r="23" spans="2:8" ht="12.75">
      <c r="B23" s="50" t="s">
        <v>57</v>
      </c>
      <c r="C23" s="50"/>
      <c r="D23" s="50"/>
      <c r="E23" s="51" t="s">
        <v>94</v>
      </c>
      <c r="F23" s="52">
        <v>1</v>
      </c>
      <c r="G23" s="52">
        <f>'[1]Mach'!I16</f>
        <v>29.975172305764413</v>
      </c>
      <c r="H23" s="52">
        <f t="shared" si="0"/>
        <v>29.975172305764413</v>
      </c>
    </row>
    <row r="24" spans="2:8" ht="12.75">
      <c r="B24" s="50" t="s">
        <v>63</v>
      </c>
      <c r="C24" s="50"/>
      <c r="D24" s="50"/>
      <c r="E24" s="51" t="s">
        <v>94</v>
      </c>
      <c r="F24" s="52">
        <v>1</v>
      </c>
      <c r="G24" s="52">
        <v>37</v>
      </c>
      <c r="H24" s="52">
        <f t="shared" si="0"/>
        <v>37</v>
      </c>
    </row>
    <row r="25" spans="2:8" ht="12.75">
      <c r="B25" s="50" t="s">
        <v>312</v>
      </c>
      <c r="C25" s="50"/>
      <c r="D25" s="50"/>
      <c r="E25" s="51" t="s">
        <v>94</v>
      </c>
      <c r="F25" s="52">
        <v>5</v>
      </c>
      <c r="G25" s="52">
        <f>+Drip!I45</f>
        <v>220.6714</v>
      </c>
      <c r="H25" s="52">
        <f t="shared" si="0"/>
        <v>1103.357</v>
      </c>
    </row>
    <row r="26" spans="2:8" ht="12.75">
      <c r="B26" s="50" t="s">
        <v>161</v>
      </c>
      <c r="C26" s="50"/>
      <c r="D26" s="50"/>
      <c r="E26" s="51" t="s">
        <v>94</v>
      </c>
      <c r="F26" s="52">
        <f>SUM(H7:H24)</f>
        <v>3966.9751723057643</v>
      </c>
      <c r="G26" s="51">
        <v>0.065</v>
      </c>
      <c r="H26" s="52">
        <f t="shared" si="0"/>
        <v>257.8533861998747</v>
      </c>
    </row>
    <row r="27" spans="2:8" ht="13.5" thickBot="1">
      <c r="B27" s="46" t="s">
        <v>245</v>
      </c>
      <c r="C27" s="50"/>
      <c r="D27" s="50"/>
      <c r="E27" s="51" t="s">
        <v>68</v>
      </c>
      <c r="F27" s="51"/>
      <c r="G27" s="51"/>
      <c r="H27" s="65">
        <f>SUM(H12:H26)</f>
        <v>4828.185558505639</v>
      </c>
    </row>
    <row r="28" spans="2:8" ht="13.5" thickTop="1">
      <c r="B28" s="50"/>
      <c r="C28" s="50"/>
      <c r="D28" s="50"/>
      <c r="E28" s="51"/>
      <c r="F28" s="51"/>
      <c r="G28" s="51"/>
      <c r="H28" s="72"/>
    </row>
    <row r="29" spans="3:8" ht="12.75">
      <c r="C29" s="46"/>
      <c r="D29" s="50"/>
      <c r="E29" s="51"/>
      <c r="F29" s="51"/>
      <c r="G29" s="51"/>
      <c r="H29" s="51"/>
    </row>
    <row r="30" spans="2:8" ht="12.75">
      <c r="B30" s="64" t="s">
        <v>134</v>
      </c>
      <c r="C30" s="50"/>
      <c r="D30" s="50"/>
      <c r="E30" s="19" t="s">
        <v>253</v>
      </c>
      <c r="F30" s="19" t="s">
        <v>210</v>
      </c>
      <c r="G30" s="10" t="s">
        <v>205</v>
      </c>
      <c r="H30" s="9" t="s">
        <v>97</v>
      </c>
    </row>
    <row r="31" spans="2:8" ht="12.75">
      <c r="B31" s="50" t="s">
        <v>248</v>
      </c>
      <c r="C31" s="50"/>
      <c r="D31" s="50"/>
      <c r="E31" s="51" t="s">
        <v>68</v>
      </c>
      <c r="F31" s="52">
        <f>FxdCost!I26</f>
        <v>527.75052</v>
      </c>
      <c r="G31" s="52">
        <v>1</v>
      </c>
      <c r="H31" s="52">
        <f>F31*G31</f>
        <v>527.75052</v>
      </c>
    </row>
    <row r="32" spans="2:8" ht="12.75">
      <c r="B32" s="50" t="s">
        <v>178</v>
      </c>
      <c r="C32" s="50"/>
      <c r="D32" s="50"/>
      <c r="E32" s="51" t="s">
        <v>68</v>
      </c>
      <c r="F32" s="52">
        <f>H27</f>
        <v>4828.185558505639</v>
      </c>
      <c r="G32" s="52">
        <v>0.15</v>
      </c>
      <c r="H32" s="52">
        <f>F32*G32</f>
        <v>724.2278337758459</v>
      </c>
    </row>
    <row r="33" spans="2:8" ht="12.75">
      <c r="B33" s="50" t="s">
        <v>163</v>
      </c>
      <c r="C33" s="50"/>
      <c r="D33" s="50"/>
      <c r="E33" s="51" t="s">
        <v>94</v>
      </c>
      <c r="F33" s="51">
        <v>1</v>
      </c>
      <c r="G33" s="52">
        <f>Drip!I32</f>
        <v>1192.6529666666668</v>
      </c>
      <c r="H33" s="52">
        <f>F33*G33</f>
        <v>1192.6529666666668</v>
      </c>
    </row>
    <row r="34" spans="2:8" ht="13.5" thickBot="1">
      <c r="B34" s="46" t="s">
        <v>239</v>
      </c>
      <c r="C34" s="50"/>
      <c r="D34" s="50"/>
      <c r="E34" s="51"/>
      <c r="F34" s="51"/>
      <c r="G34" s="51"/>
      <c r="H34" s="65">
        <f>SUM(H31:H33)</f>
        <v>2444.6313204425123</v>
      </c>
    </row>
    <row r="35" spans="2:8" ht="13.5" thickTop="1">
      <c r="B35" s="50"/>
      <c r="C35" s="50"/>
      <c r="D35" s="50"/>
      <c r="E35" s="51"/>
      <c r="F35" s="51"/>
      <c r="G35" s="51"/>
      <c r="H35" s="72"/>
    </row>
    <row r="36" spans="2:8" ht="13.5" thickBot="1">
      <c r="B36" s="15" t="s">
        <v>238</v>
      </c>
      <c r="E36" s="7"/>
      <c r="F36" s="7"/>
      <c r="G36" s="7"/>
      <c r="H36" s="74">
        <f>H27+H34</f>
        <v>7272.8168789481515</v>
      </c>
    </row>
    <row r="37" ht="13.5" thickTop="1">
      <c r="H37" s="73"/>
    </row>
    <row r="40" ht="12.75">
      <c r="B40" s="1" t="s">
        <v>276</v>
      </c>
    </row>
    <row r="42" ht="12.75">
      <c r="A42" s="1" t="s">
        <v>84</v>
      </c>
    </row>
    <row r="43" ht="12.75"/>
    <row r="44" ht="12.75"/>
    <row r="45" ht="12.75"/>
    <row r="46" spans="2:10" ht="12.75">
      <c r="B46" s="100"/>
      <c r="C46" s="100"/>
      <c r="D46" s="100"/>
      <c r="E46" s="100"/>
      <c r="F46" s="100"/>
      <c r="G46" s="100"/>
      <c r="H46" s="100"/>
      <c r="I46" s="100"/>
      <c r="J46" s="101"/>
    </row>
    <row r="47" spans="2:10" ht="12.75">
      <c r="B47" s="115"/>
      <c r="C47" s="116"/>
      <c r="D47" s="116"/>
      <c r="E47" s="116"/>
      <c r="F47" s="116"/>
      <c r="G47" s="116"/>
      <c r="H47" s="116"/>
      <c r="I47" s="116"/>
      <c r="J47" s="117"/>
    </row>
    <row r="48" spans="2:10" ht="12.75">
      <c r="B48" s="118"/>
      <c r="C48" s="119"/>
      <c r="D48" s="119"/>
      <c r="E48" s="119"/>
      <c r="F48" s="119"/>
      <c r="G48" s="119"/>
      <c r="H48" s="119"/>
      <c r="I48" s="119"/>
      <c r="J48" s="120"/>
    </row>
  </sheetData>
  <sheetProtection/>
  <mergeCells count="4">
    <mergeCell ref="A4:I4"/>
    <mergeCell ref="B5:H5"/>
    <mergeCell ref="B47:J47"/>
    <mergeCell ref="B48:J48"/>
  </mergeCells>
  <printOptions/>
  <pageMargins left="0.75" right="0.75" top="1" bottom="1" header="0.5" footer="0.5"/>
  <pageSetup horizontalDpi="600" verticalDpi="600" orientation="portrait" r:id="rId2"/>
  <rowBreaks count="1" manualBreakCount="1">
    <brk id="4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2:J42"/>
  <sheetViews>
    <sheetView zoomScalePageLayoutView="0" workbookViewId="0" topLeftCell="A10">
      <selection activeCell="P28" sqref="P28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9.140625" style="1" customWidth="1"/>
    <col min="5" max="5" width="7.421875" style="1" customWidth="1"/>
    <col min="6" max="6" width="7.8515625" style="1" customWidth="1"/>
    <col min="7" max="7" width="7.7109375" style="1" customWidth="1"/>
    <col min="8" max="16384" width="9.140625" style="1" customWidth="1"/>
  </cols>
  <sheetData>
    <row r="2" spans="2:3" ht="15.75">
      <c r="B2" s="99" t="s">
        <v>344</v>
      </c>
      <c r="C2" s="69"/>
    </row>
    <row r="4" spans="2:8" ht="15.75">
      <c r="B4" s="111" t="s">
        <v>286</v>
      </c>
      <c r="C4" s="122"/>
      <c r="D4" s="122"/>
      <c r="E4" s="122"/>
      <c r="F4" s="122"/>
      <c r="G4" s="122"/>
      <c r="H4" s="122"/>
    </row>
    <row r="5" spans="2:8" ht="15.75">
      <c r="B5" s="111"/>
      <c r="C5" s="122"/>
      <c r="D5" s="122"/>
      <c r="E5" s="122"/>
      <c r="F5" s="122"/>
      <c r="G5" s="122"/>
      <c r="H5" s="122"/>
    </row>
    <row r="7" spans="2:8" ht="12.75">
      <c r="B7" s="15" t="s">
        <v>187</v>
      </c>
      <c r="E7" s="15" t="s">
        <v>253</v>
      </c>
      <c r="F7" s="15" t="s">
        <v>210</v>
      </c>
      <c r="G7" s="26" t="s">
        <v>205</v>
      </c>
      <c r="H7" s="27" t="s">
        <v>97</v>
      </c>
    </row>
    <row r="9" spans="2:8" ht="12.75">
      <c r="B9" s="50" t="s">
        <v>131</v>
      </c>
      <c r="C9" s="50"/>
      <c r="D9" s="50"/>
      <c r="E9" s="51" t="s">
        <v>94</v>
      </c>
      <c r="F9" s="52">
        <v>219</v>
      </c>
      <c r="G9" s="52">
        <v>0.3</v>
      </c>
      <c r="H9" s="52">
        <f aca="true" t="shared" si="0" ref="H9:H23">F9*G9</f>
        <v>65.7</v>
      </c>
    </row>
    <row r="10" spans="2:8" ht="12.75">
      <c r="B10" s="50" t="s">
        <v>305</v>
      </c>
      <c r="C10" s="50"/>
      <c r="D10" s="50"/>
      <c r="E10" s="51" t="s">
        <v>94</v>
      </c>
      <c r="F10" s="52">
        <v>1</v>
      </c>
      <c r="G10" s="52">
        <v>10</v>
      </c>
      <c r="H10" s="52">
        <f t="shared" si="0"/>
        <v>10</v>
      </c>
    </row>
    <row r="11" spans="2:8" ht="12.75">
      <c r="B11" s="50" t="s">
        <v>306</v>
      </c>
      <c r="C11" s="50"/>
      <c r="D11" s="50"/>
      <c r="E11" s="51" t="s">
        <v>94</v>
      </c>
      <c r="F11" s="52">
        <v>2</v>
      </c>
      <c r="G11" s="52">
        <v>40</v>
      </c>
      <c r="H11" s="52">
        <f t="shared" si="0"/>
        <v>80</v>
      </c>
    </row>
    <row r="12" spans="2:8" ht="12.75">
      <c r="B12" s="50" t="s">
        <v>307</v>
      </c>
      <c r="C12" s="50"/>
      <c r="D12" s="50"/>
      <c r="E12" s="51" t="s">
        <v>94</v>
      </c>
      <c r="F12" s="52">
        <v>5</v>
      </c>
      <c r="G12" s="52">
        <v>10</v>
      </c>
      <c r="H12" s="52">
        <f t="shared" si="0"/>
        <v>50</v>
      </c>
    </row>
    <row r="13" spans="2:8" ht="12.75">
      <c r="B13" s="50" t="s">
        <v>155</v>
      </c>
      <c r="C13" s="50"/>
      <c r="D13" s="50"/>
      <c r="E13" s="51" t="s">
        <v>94</v>
      </c>
      <c r="F13" s="52">
        <v>4</v>
      </c>
      <c r="G13" s="52">
        <f>15</f>
        <v>15</v>
      </c>
      <c r="H13" s="52">
        <f t="shared" si="0"/>
        <v>60</v>
      </c>
    </row>
    <row r="14" spans="2:8" ht="12.75">
      <c r="B14" s="50" t="s">
        <v>142</v>
      </c>
      <c r="C14" s="50"/>
      <c r="D14" s="50"/>
      <c r="E14" s="51" t="s">
        <v>94</v>
      </c>
      <c r="F14" s="52">
        <v>0</v>
      </c>
      <c r="G14" s="52">
        <v>50</v>
      </c>
      <c r="H14" s="52">
        <f t="shared" si="0"/>
        <v>0</v>
      </c>
    </row>
    <row r="15" spans="2:8" ht="12.75">
      <c r="B15" s="50" t="s">
        <v>349</v>
      </c>
      <c r="C15" s="50"/>
      <c r="D15" s="50"/>
      <c r="E15" s="51" t="s">
        <v>249</v>
      </c>
      <c r="F15" s="52">
        <v>5</v>
      </c>
      <c r="G15" s="52">
        <v>15</v>
      </c>
      <c r="H15" s="52">
        <f t="shared" si="0"/>
        <v>75</v>
      </c>
    </row>
    <row r="16" spans="2:8" ht="12.75">
      <c r="B16" s="50" t="s">
        <v>308</v>
      </c>
      <c r="C16" s="50"/>
      <c r="D16" s="50"/>
      <c r="E16" s="51" t="s">
        <v>94</v>
      </c>
      <c r="F16" s="52">
        <v>1</v>
      </c>
      <c r="G16" s="52">
        <v>35</v>
      </c>
      <c r="H16" s="52">
        <f t="shared" si="0"/>
        <v>35</v>
      </c>
    </row>
    <row r="17" spans="2:8" ht="12.75">
      <c r="B17" s="50" t="s">
        <v>309</v>
      </c>
      <c r="C17" s="50"/>
      <c r="D17" s="50"/>
      <c r="E17" s="51" t="s">
        <v>94</v>
      </c>
      <c r="F17" s="52">
        <v>1</v>
      </c>
      <c r="G17" s="52">
        <v>6</v>
      </c>
      <c r="H17" s="52">
        <f t="shared" si="0"/>
        <v>6</v>
      </c>
    </row>
    <row r="18" spans="2:8" ht="12.75">
      <c r="B18" s="50" t="s">
        <v>301</v>
      </c>
      <c r="C18" s="50"/>
      <c r="D18" s="50"/>
      <c r="E18" s="51" t="s">
        <v>94</v>
      </c>
      <c r="F18" s="52">
        <v>1</v>
      </c>
      <c r="G18" s="52">
        <v>75</v>
      </c>
      <c r="H18" s="52">
        <f t="shared" si="0"/>
        <v>75</v>
      </c>
    </row>
    <row r="19" spans="2:8" ht="12.75">
      <c r="B19" s="50" t="s">
        <v>168</v>
      </c>
      <c r="C19" s="50"/>
      <c r="D19" s="50"/>
      <c r="E19" s="51" t="s">
        <v>152</v>
      </c>
      <c r="F19" s="52">
        <v>104</v>
      </c>
      <c r="G19" s="52">
        <v>10</v>
      </c>
      <c r="H19" s="52">
        <f t="shared" si="0"/>
        <v>1040</v>
      </c>
    </row>
    <row r="20" spans="2:8" ht="12.75">
      <c r="B20" s="50" t="s">
        <v>57</v>
      </c>
      <c r="C20" s="50"/>
      <c r="D20" s="50"/>
      <c r="E20" s="51" t="s">
        <v>94</v>
      </c>
      <c r="F20" s="52">
        <v>1</v>
      </c>
      <c r="G20" s="52">
        <v>29.98</v>
      </c>
      <c r="H20" s="52">
        <f t="shared" si="0"/>
        <v>29.98</v>
      </c>
    </row>
    <row r="21" spans="2:8" ht="12.75">
      <c r="B21" s="50" t="s">
        <v>63</v>
      </c>
      <c r="C21" s="50"/>
      <c r="D21" s="50"/>
      <c r="E21" s="51" t="s">
        <v>94</v>
      </c>
      <c r="F21" s="52">
        <v>1</v>
      </c>
      <c r="G21" s="52">
        <v>37</v>
      </c>
      <c r="H21" s="52">
        <f t="shared" si="0"/>
        <v>37</v>
      </c>
    </row>
    <row r="22" spans="2:8" ht="12.75">
      <c r="B22" s="50" t="s">
        <v>312</v>
      </c>
      <c r="C22" s="50"/>
      <c r="D22" s="50"/>
      <c r="E22" s="51" t="s">
        <v>94</v>
      </c>
      <c r="F22" s="52">
        <v>5</v>
      </c>
      <c r="G22" s="52">
        <f>+Drip!I45</f>
        <v>220.6714</v>
      </c>
      <c r="H22" s="52">
        <f t="shared" si="0"/>
        <v>1103.357</v>
      </c>
    </row>
    <row r="23" spans="2:8" ht="12.75">
      <c r="B23" s="50" t="s">
        <v>161</v>
      </c>
      <c r="C23" s="50"/>
      <c r="D23" s="50"/>
      <c r="E23" s="51" t="s">
        <v>94</v>
      </c>
      <c r="F23" s="52">
        <f>SUM(H6:H21)</f>
        <v>1563.68</v>
      </c>
      <c r="G23" s="51">
        <v>0.065</v>
      </c>
      <c r="H23" s="52">
        <f t="shared" si="0"/>
        <v>101.6392</v>
      </c>
    </row>
    <row r="24" spans="2:8" ht="13.5" thickBot="1">
      <c r="B24" s="46" t="s">
        <v>302</v>
      </c>
      <c r="C24" s="46"/>
      <c r="D24" s="46"/>
      <c r="E24" s="64" t="s">
        <v>68</v>
      </c>
      <c r="F24" s="65"/>
      <c r="G24" s="66"/>
      <c r="H24" s="65">
        <f>SUM(H9:H23)</f>
        <v>2768.6762000000003</v>
      </c>
    </row>
    <row r="25" spans="3:8" ht="13.5" thickTop="1">
      <c r="C25" s="50"/>
      <c r="D25" s="50"/>
      <c r="E25" s="51"/>
      <c r="F25" s="62"/>
      <c r="G25" s="63"/>
      <c r="H25" s="62"/>
    </row>
    <row r="27" spans="2:8" ht="12.75">
      <c r="B27" s="15" t="s">
        <v>134</v>
      </c>
      <c r="E27" s="15" t="s">
        <v>253</v>
      </c>
      <c r="F27" s="15" t="s">
        <v>210</v>
      </c>
      <c r="G27" s="26" t="s">
        <v>205</v>
      </c>
      <c r="H27" s="27" t="s">
        <v>97</v>
      </c>
    </row>
    <row r="29" spans="2:8" ht="12.75">
      <c r="B29" s="1" t="s">
        <v>248</v>
      </c>
      <c r="E29" s="50" t="s">
        <v>94</v>
      </c>
      <c r="F29" s="17">
        <v>1</v>
      </c>
      <c r="G29" s="17">
        <f>FxdCost!I26</f>
        <v>527.75052</v>
      </c>
      <c r="H29" s="17">
        <f>F29*G29</f>
        <v>527.75052</v>
      </c>
    </row>
    <row r="30" spans="2:8" ht="12.75">
      <c r="B30" s="1" t="s">
        <v>144</v>
      </c>
      <c r="E30" s="50" t="s">
        <v>94</v>
      </c>
      <c r="F30" s="17">
        <f>H24</f>
        <v>2768.6762000000003</v>
      </c>
      <c r="G30" s="17">
        <v>0.15</v>
      </c>
      <c r="H30" s="17">
        <f>F30*G30</f>
        <v>415.30143000000004</v>
      </c>
    </row>
    <row r="31" spans="2:8" ht="12.75">
      <c r="B31" s="1" t="s">
        <v>163</v>
      </c>
      <c r="E31" s="1" t="s">
        <v>94</v>
      </c>
      <c r="F31" s="17">
        <v>1</v>
      </c>
      <c r="G31" s="17">
        <f>Drip!I32</f>
        <v>1192.6529666666668</v>
      </c>
      <c r="H31" s="17">
        <f>F31*G31</f>
        <v>1192.6529666666668</v>
      </c>
    </row>
    <row r="32" spans="2:8" ht="13.5" thickBot="1">
      <c r="B32" s="46" t="s">
        <v>316</v>
      </c>
      <c r="H32" s="75">
        <f>SUM(H29:H31)</f>
        <v>2135.7049166666666</v>
      </c>
    </row>
    <row r="33" ht="13.5" thickTop="1">
      <c r="H33" s="73"/>
    </row>
    <row r="34" spans="2:8" ht="13.5" thickBot="1">
      <c r="B34" s="46" t="s">
        <v>315</v>
      </c>
      <c r="C34" s="46"/>
      <c r="D34" s="46"/>
      <c r="E34" s="46"/>
      <c r="F34" s="46"/>
      <c r="G34" s="46"/>
      <c r="H34" s="76">
        <f>H24+H32</f>
        <v>4904.381116666667</v>
      </c>
    </row>
    <row r="35" ht="13.5" thickTop="1">
      <c r="H35" s="73"/>
    </row>
    <row r="38" ht="12.75">
      <c r="A38" s="1" t="s">
        <v>84</v>
      </c>
    </row>
    <row r="39" ht="12.75"/>
    <row r="40" spans="2:10" ht="12.75">
      <c r="B40" s="102"/>
      <c r="C40" s="102"/>
      <c r="D40" s="102"/>
      <c r="E40" s="102"/>
      <c r="F40" s="102"/>
      <c r="G40" s="102"/>
      <c r="H40" s="102"/>
      <c r="I40" s="102"/>
      <c r="J40" s="103"/>
    </row>
    <row r="41" spans="2:10" ht="12.75">
      <c r="B41" s="123"/>
      <c r="C41" s="123"/>
      <c r="D41" s="123"/>
      <c r="E41" s="123"/>
      <c r="F41" s="123"/>
      <c r="G41" s="123"/>
      <c r="H41" s="123"/>
      <c r="I41" s="123"/>
      <c r="J41" s="123"/>
    </row>
    <row r="42" spans="2:10" ht="12.75">
      <c r="B42" s="123"/>
      <c r="C42" s="123"/>
      <c r="D42" s="123"/>
      <c r="E42" s="123"/>
      <c r="F42" s="123"/>
      <c r="G42" s="123"/>
      <c r="H42" s="123"/>
      <c r="I42" s="123"/>
      <c r="J42" s="123"/>
    </row>
  </sheetData>
  <sheetProtection/>
  <mergeCells count="4">
    <mergeCell ref="B4:H4"/>
    <mergeCell ref="B5:H5"/>
    <mergeCell ref="B41:J41"/>
    <mergeCell ref="B42:J42"/>
  </mergeCells>
  <printOptions/>
  <pageMargins left="0.75" right="0.75" top="1" bottom="1" header="0.5" footer="0.5"/>
  <pageSetup horizontalDpi="600" verticalDpi="600" orientation="portrait" r:id="rId2"/>
  <rowBreaks count="1" manualBreakCount="1">
    <brk id="3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5"/>
  </sheetPr>
  <dimension ref="A2:H68"/>
  <sheetViews>
    <sheetView zoomScalePageLayoutView="0" workbookViewId="0" topLeftCell="A1">
      <selection activeCell="L22" sqref="L22"/>
    </sheetView>
  </sheetViews>
  <sheetFormatPr defaultColWidth="10.57421875" defaultRowHeight="12.75"/>
  <cols>
    <col min="1" max="1" width="10.57421875" style="1" customWidth="1"/>
    <col min="2" max="2" width="27.28125" style="1" customWidth="1"/>
    <col min="3" max="3" width="2.57421875" style="1" customWidth="1"/>
    <col min="4" max="4" width="5.140625" style="1" customWidth="1"/>
    <col min="5" max="7" width="10.57421875" style="1" customWidth="1"/>
    <col min="8" max="8" width="12.421875" style="1" customWidth="1"/>
    <col min="9" max="16384" width="10.57421875" style="1" customWidth="1"/>
  </cols>
  <sheetData>
    <row r="2" spans="2:5" ht="15.75">
      <c r="B2" s="99" t="s">
        <v>344</v>
      </c>
      <c r="E2" s="69"/>
    </row>
    <row r="4" spans="2:8" ht="15.75">
      <c r="B4" s="114" t="s">
        <v>368</v>
      </c>
      <c r="C4" s="122"/>
      <c r="D4" s="122"/>
      <c r="E4" s="122"/>
      <c r="F4" s="122"/>
      <c r="G4" s="122"/>
      <c r="H4" s="122"/>
    </row>
    <row r="5" spans="2:8" ht="15.75">
      <c r="B5" s="111"/>
      <c r="C5" s="122"/>
      <c r="D5" s="122"/>
      <c r="E5" s="122"/>
      <c r="F5" s="122"/>
      <c r="G5" s="122"/>
      <c r="H5" s="122"/>
    </row>
    <row r="7" spans="2:8" ht="12.75">
      <c r="B7" s="15" t="s">
        <v>166</v>
      </c>
      <c r="E7" s="15" t="s">
        <v>253</v>
      </c>
      <c r="F7" s="15" t="s">
        <v>210</v>
      </c>
      <c r="G7" s="26" t="s">
        <v>205</v>
      </c>
      <c r="H7" s="27" t="s">
        <v>97</v>
      </c>
    </row>
    <row r="9" ht="12.75">
      <c r="B9" s="15" t="s">
        <v>187</v>
      </c>
    </row>
    <row r="11" spans="2:8" ht="12.75">
      <c r="B11" s="50" t="s">
        <v>131</v>
      </c>
      <c r="C11" s="50"/>
      <c r="D11" s="50"/>
      <c r="E11" s="51" t="s">
        <v>94</v>
      </c>
      <c r="F11" s="88">
        <v>438</v>
      </c>
      <c r="G11" s="88">
        <v>0.3</v>
      </c>
      <c r="H11" s="88">
        <f aca="true" t="shared" si="0" ref="H11:H25">F11*G11</f>
        <v>131.4</v>
      </c>
    </row>
    <row r="12" spans="2:8" ht="12.75">
      <c r="B12" s="50" t="s">
        <v>305</v>
      </c>
      <c r="C12" s="50"/>
      <c r="D12" s="50"/>
      <c r="E12" s="51" t="s">
        <v>94</v>
      </c>
      <c r="F12" s="88">
        <v>2</v>
      </c>
      <c r="G12" s="88">
        <v>10</v>
      </c>
      <c r="H12" s="88">
        <f t="shared" si="0"/>
        <v>20</v>
      </c>
    </row>
    <row r="13" spans="2:8" ht="12.75">
      <c r="B13" s="50" t="s">
        <v>306</v>
      </c>
      <c r="C13" s="50"/>
      <c r="D13" s="50"/>
      <c r="E13" s="51" t="s">
        <v>94</v>
      </c>
      <c r="F13" s="88">
        <v>2</v>
      </c>
      <c r="G13" s="88">
        <v>40</v>
      </c>
      <c r="H13" s="88">
        <f t="shared" si="0"/>
        <v>80</v>
      </c>
    </row>
    <row r="14" spans="2:8" ht="12.75">
      <c r="B14" s="50" t="s">
        <v>307</v>
      </c>
      <c r="C14" s="50"/>
      <c r="D14" s="50"/>
      <c r="E14" s="51" t="s">
        <v>94</v>
      </c>
      <c r="F14" s="88">
        <v>5</v>
      </c>
      <c r="G14" s="88">
        <v>10</v>
      </c>
      <c r="H14" s="88">
        <f t="shared" si="0"/>
        <v>50</v>
      </c>
    </row>
    <row r="15" spans="2:8" ht="12.75">
      <c r="B15" s="50" t="s">
        <v>155</v>
      </c>
      <c r="C15" s="50"/>
      <c r="D15" s="50"/>
      <c r="E15" s="51" t="s">
        <v>94</v>
      </c>
      <c r="F15" s="88">
        <v>4</v>
      </c>
      <c r="G15" s="88">
        <f>15</f>
        <v>15</v>
      </c>
      <c r="H15" s="88">
        <f t="shared" si="0"/>
        <v>60</v>
      </c>
    </row>
    <row r="16" spans="2:8" ht="12.75">
      <c r="B16" s="50" t="s">
        <v>142</v>
      </c>
      <c r="C16" s="50"/>
      <c r="D16" s="50"/>
      <c r="E16" s="51" t="s">
        <v>94</v>
      </c>
      <c r="F16" s="88">
        <v>0</v>
      </c>
      <c r="G16" s="88">
        <v>50</v>
      </c>
      <c r="H16" s="88">
        <f t="shared" si="0"/>
        <v>0</v>
      </c>
    </row>
    <row r="17" spans="2:8" ht="12.75">
      <c r="B17" s="50" t="s">
        <v>352</v>
      </c>
      <c r="C17" s="50"/>
      <c r="D17" s="50"/>
      <c r="E17" s="51" t="s">
        <v>249</v>
      </c>
      <c r="F17" s="88">
        <v>5</v>
      </c>
      <c r="G17" s="88">
        <v>15</v>
      </c>
      <c r="H17" s="88">
        <f t="shared" si="0"/>
        <v>75</v>
      </c>
    </row>
    <row r="18" spans="2:8" ht="12.75">
      <c r="B18" s="50" t="s">
        <v>308</v>
      </c>
      <c r="C18" s="50"/>
      <c r="D18" s="50"/>
      <c r="E18" s="51" t="s">
        <v>94</v>
      </c>
      <c r="F18" s="88">
        <v>1</v>
      </c>
      <c r="G18" s="88">
        <v>35</v>
      </c>
      <c r="H18" s="88">
        <f t="shared" si="0"/>
        <v>35</v>
      </c>
    </row>
    <row r="19" spans="2:8" ht="12.75">
      <c r="B19" s="50" t="s">
        <v>309</v>
      </c>
      <c r="C19" s="50"/>
      <c r="D19" s="50"/>
      <c r="E19" s="51" t="s">
        <v>94</v>
      </c>
      <c r="F19" s="88">
        <v>1</v>
      </c>
      <c r="G19" s="88">
        <v>6</v>
      </c>
      <c r="H19" s="88">
        <f t="shared" si="0"/>
        <v>6</v>
      </c>
    </row>
    <row r="20" spans="2:8" ht="12.75">
      <c r="B20" s="50" t="s">
        <v>301</v>
      </c>
      <c r="C20" s="50"/>
      <c r="D20" s="50"/>
      <c r="E20" s="51" t="s">
        <v>94</v>
      </c>
      <c r="F20" s="88">
        <v>1</v>
      </c>
      <c r="G20" s="88">
        <v>75</v>
      </c>
      <c r="H20" s="88">
        <f t="shared" si="0"/>
        <v>75</v>
      </c>
    </row>
    <row r="21" spans="2:8" ht="12.75">
      <c r="B21" s="50" t="s">
        <v>168</v>
      </c>
      <c r="C21" s="50"/>
      <c r="D21" s="50"/>
      <c r="E21" s="51" t="s">
        <v>152</v>
      </c>
      <c r="F21" s="88">
        <v>200</v>
      </c>
      <c r="G21" s="88">
        <v>10</v>
      </c>
      <c r="H21" s="88">
        <f t="shared" si="0"/>
        <v>2000</v>
      </c>
    </row>
    <row r="22" spans="2:8" ht="12.75">
      <c r="B22" s="50" t="s">
        <v>57</v>
      </c>
      <c r="C22" s="50"/>
      <c r="D22" s="50"/>
      <c r="E22" s="51" t="s">
        <v>94</v>
      </c>
      <c r="F22" s="88">
        <v>1</v>
      </c>
      <c r="G22" s="88">
        <v>29.98</v>
      </c>
      <c r="H22" s="88">
        <f t="shared" si="0"/>
        <v>29.98</v>
      </c>
    </row>
    <row r="23" spans="2:8" ht="12.75">
      <c r="B23" s="50" t="s">
        <v>63</v>
      </c>
      <c r="C23" s="50"/>
      <c r="D23" s="50"/>
      <c r="E23" s="51" t="s">
        <v>94</v>
      </c>
      <c r="F23" s="88">
        <v>1</v>
      </c>
      <c r="G23" s="88">
        <v>37</v>
      </c>
      <c r="H23" s="88">
        <f t="shared" si="0"/>
        <v>37</v>
      </c>
    </row>
    <row r="24" spans="2:8" ht="12.75">
      <c r="B24" s="50" t="s">
        <v>312</v>
      </c>
      <c r="C24" s="50"/>
      <c r="D24" s="50"/>
      <c r="E24" s="51" t="s">
        <v>94</v>
      </c>
      <c r="F24" s="88">
        <v>5</v>
      </c>
      <c r="G24" s="88">
        <f>+Drip!I45</f>
        <v>220.6714</v>
      </c>
      <c r="H24" s="88">
        <f t="shared" si="0"/>
        <v>1103.357</v>
      </c>
    </row>
    <row r="25" spans="2:8" ht="12.75">
      <c r="B25" s="50" t="s">
        <v>161</v>
      </c>
      <c r="C25" s="50"/>
      <c r="D25" s="50"/>
      <c r="E25" s="51"/>
      <c r="F25" s="88">
        <f>SUM(H7:H23)</f>
        <v>2599.38</v>
      </c>
      <c r="G25" s="89">
        <v>0.065</v>
      </c>
      <c r="H25" s="88">
        <f t="shared" si="0"/>
        <v>168.95970000000003</v>
      </c>
    </row>
    <row r="26" spans="2:8" ht="13.5" thickBot="1">
      <c r="B26" s="46" t="s">
        <v>302</v>
      </c>
      <c r="C26" s="46"/>
      <c r="D26" s="46"/>
      <c r="E26" s="64"/>
      <c r="F26" s="67"/>
      <c r="G26" s="90"/>
      <c r="H26" s="67">
        <f>SUM(H11:H25)</f>
        <v>3871.6967</v>
      </c>
    </row>
    <row r="27" spans="3:8" ht="13.5" thickTop="1">
      <c r="C27" s="50"/>
      <c r="D27" s="50"/>
      <c r="E27" s="51"/>
      <c r="F27" s="62"/>
      <c r="G27" s="63"/>
      <c r="H27" s="62"/>
    </row>
    <row r="29" spans="2:8" ht="12.75">
      <c r="B29" s="19" t="s">
        <v>134</v>
      </c>
      <c r="C29" s="7"/>
      <c r="D29" s="7"/>
      <c r="E29" s="19" t="s">
        <v>253</v>
      </c>
      <c r="F29" s="19" t="s">
        <v>210</v>
      </c>
      <c r="G29" s="10" t="s">
        <v>205</v>
      </c>
      <c r="H29" s="9" t="s">
        <v>97</v>
      </c>
    </row>
    <row r="30" spans="5:7" ht="12.75">
      <c r="E30" s="7"/>
      <c r="F30" s="18"/>
      <c r="G30" s="18"/>
    </row>
    <row r="31" spans="2:8" ht="12.75">
      <c r="B31" s="1" t="s">
        <v>248</v>
      </c>
      <c r="E31" s="51" t="s">
        <v>94</v>
      </c>
      <c r="F31" s="32">
        <v>1</v>
      </c>
      <c r="G31" s="32">
        <f>+FxdCost!I26</f>
        <v>527.75052</v>
      </c>
      <c r="H31" s="17">
        <f>F31*G31</f>
        <v>527.75052</v>
      </c>
    </row>
    <row r="32" spans="2:8" ht="12.75">
      <c r="B32" s="1" t="s">
        <v>144</v>
      </c>
      <c r="E32" s="51" t="s">
        <v>94</v>
      </c>
      <c r="F32" s="32">
        <f>H26</f>
        <v>3871.6967</v>
      </c>
      <c r="G32" s="32">
        <v>0.15</v>
      </c>
      <c r="H32" s="17">
        <f>F32*G32</f>
        <v>580.754505</v>
      </c>
    </row>
    <row r="33" spans="2:8" ht="12.75">
      <c r="B33" s="1" t="s">
        <v>163</v>
      </c>
      <c r="E33" s="7" t="s">
        <v>94</v>
      </c>
      <c r="F33" s="32">
        <v>1</v>
      </c>
      <c r="G33" s="32">
        <f>+Drip!I32</f>
        <v>1192.6529666666668</v>
      </c>
      <c r="H33" s="17">
        <f>F33*G33</f>
        <v>1192.6529666666668</v>
      </c>
    </row>
    <row r="34" spans="2:8" ht="13.5" thickBot="1">
      <c r="B34" s="46" t="s">
        <v>314</v>
      </c>
      <c r="E34" s="51" t="s">
        <v>68</v>
      </c>
      <c r="H34" s="75">
        <f>SUM(H31:H33)</f>
        <v>2301.157991666667</v>
      </c>
    </row>
    <row r="35" spans="5:8" ht="13.5" thickTop="1">
      <c r="E35" s="7"/>
      <c r="H35" s="73"/>
    </row>
    <row r="36" spans="2:8" ht="13.5" thickBot="1">
      <c r="B36" s="46" t="s">
        <v>322</v>
      </c>
      <c r="C36" s="46"/>
      <c r="D36" s="46"/>
      <c r="E36" s="64" t="s">
        <v>68</v>
      </c>
      <c r="F36" s="46"/>
      <c r="G36" s="46"/>
      <c r="H36" s="76">
        <f>H26+H34</f>
        <v>6172.854691666667</v>
      </c>
    </row>
    <row r="37" ht="13.5" thickTop="1">
      <c r="H37" s="73"/>
    </row>
    <row r="41" spans="2:8" ht="15.75">
      <c r="B41" s="111"/>
      <c r="C41" s="122"/>
      <c r="D41" s="122"/>
      <c r="E41" s="122"/>
      <c r="F41" s="122"/>
      <c r="G41" s="122"/>
      <c r="H41" s="122"/>
    </row>
    <row r="45" spans="6:8" ht="12.75">
      <c r="F45" s="17"/>
      <c r="G45" s="12"/>
      <c r="H45" s="12"/>
    </row>
    <row r="46" spans="6:8" ht="12.75">
      <c r="F46" s="17"/>
      <c r="G46" s="12"/>
      <c r="H46" s="12"/>
    </row>
    <row r="47" spans="6:8" ht="12.75">
      <c r="F47" s="17"/>
      <c r="G47" s="12"/>
      <c r="H47" s="12"/>
    </row>
    <row r="48" spans="6:8" ht="12.75">
      <c r="F48" s="17"/>
      <c r="G48" s="12"/>
      <c r="H48" s="12"/>
    </row>
    <row r="49" spans="6:8" ht="12.75">
      <c r="F49" s="17"/>
      <c r="G49" s="12"/>
      <c r="H49" s="12"/>
    </row>
    <row r="50" spans="6:8" ht="12.75">
      <c r="F50" s="17"/>
      <c r="G50" s="12"/>
      <c r="H50" s="12"/>
    </row>
    <row r="52" spans="2:8" ht="15.75">
      <c r="B52" s="111" t="s">
        <v>332</v>
      </c>
      <c r="C52" s="122"/>
      <c r="D52" s="122"/>
      <c r="E52" s="122"/>
      <c r="F52" s="122"/>
      <c r="G52" s="122"/>
      <c r="H52" s="122"/>
    </row>
    <row r="54" ht="12.75">
      <c r="E54" s="1" t="s">
        <v>333</v>
      </c>
    </row>
    <row r="55" ht="12.75">
      <c r="E55" s="1" t="s">
        <v>334</v>
      </c>
    </row>
    <row r="56" spans="2:8" ht="12.75">
      <c r="B56" s="1" t="s">
        <v>335</v>
      </c>
      <c r="E56" s="1">
        <v>7</v>
      </c>
      <c r="F56" s="17">
        <f>(1+D56)^E56</f>
        <v>1</v>
      </c>
      <c r="G56" s="12">
        <f>'[2]Yr1'!H67</f>
        <v>0</v>
      </c>
      <c r="H56" s="12">
        <f aca="true" t="shared" si="1" ref="H56:H62">F56*G56</f>
        <v>0</v>
      </c>
    </row>
    <row r="57" spans="1:8" ht="12.75">
      <c r="A57" s="1" t="s">
        <v>84</v>
      </c>
      <c r="E57" s="1">
        <v>6</v>
      </c>
      <c r="F57" s="17">
        <f>(1+D56)^E57</f>
        <v>1</v>
      </c>
      <c r="G57" s="12">
        <f>'[2]Yr2'!H48</f>
        <v>0</v>
      </c>
      <c r="H57" s="12">
        <f t="shared" si="1"/>
        <v>0</v>
      </c>
    </row>
    <row r="58" spans="5:8" ht="12.75">
      <c r="E58" s="1">
        <v>5</v>
      </c>
      <c r="F58" s="17">
        <f>(1+D56)^E58</f>
        <v>1</v>
      </c>
      <c r="G58" s="12">
        <f>'[2]Yr2'!H48</f>
        <v>0</v>
      </c>
      <c r="H58" s="12">
        <f t="shared" si="1"/>
        <v>0</v>
      </c>
    </row>
    <row r="59" spans="5:8" ht="12.75">
      <c r="E59" s="1">
        <v>4</v>
      </c>
      <c r="F59" s="17">
        <f>(1+D56)^E59</f>
        <v>1</v>
      </c>
      <c r="G59" s="12">
        <v>0</v>
      </c>
      <c r="H59" s="12">
        <f t="shared" si="1"/>
        <v>0</v>
      </c>
    </row>
    <row r="60" spans="5:8" ht="12.75">
      <c r="E60" s="1">
        <v>3</v>
      </c>
      <c r="F60" s="17">
        <f>(1+D56)^E60</f>
        <v>1</v>
      </c>
      <c r="G60" s="12">
        <f>+H36</f>
        <v>6172.854691666667</v>
      </c>
      <c r="H60" s="12">
        <f t="shared" si="1"/>
        <v>6172.854691666667</v>
      </c>
    </row>
    <row r="61" spans="5:8" ht="12.75">
      <c r="E61" s="1">
        <v>2</v>
      </c>
      <c r="F61" s="17">
        <f>(1+D56)^E61</f>
        <v>1</v>
      </c>
      <c r="G61" s="12">
        <f>+Yr2!H34</f>
        <v>4904.381116666667</v>
      </c>
      <c r="H61" s="12">
        <f t="shared" si="1"/>
        <v>4904.381116666667</v>
      </c>
    </row>
    <row r="62" spans="5:8" ht="12.75">
      <c r="E62" s="1">
        <v>1</v>
      </c>
      <c r="F62" s="17">
        <f>(1+D56)^E62</f>
        <v>1</v>
      </c>
      <c r="G62" s="12">
        <f>+Yr1!H36</f>
        <v>7272.8168789481515</v>
      </c>
      <c r="H62" s="12">
        <f t="shared" si="1"/>
        <v>7272.8168789481515</v>
      </c>
    </row>
    <row r="63" spans="2:8" ht="13.5" thickBot="1">
      <c r="B63" s="15" t="s">
        <v>336</v>
      </c>
      <c r="H63" s="110">
        <f>SUM(H56:H62)</f>
        <v>18350.052687281488</v>
      </c>
    </row>
    <row r="64" spans="2:8" ht="13.5" thickTop="1">
      <c r="B64" s="1" t="s">
        <v>337</v>
      </c>
      <c r="H64" s="73"/>
    </row>
    <row r="65" spans="2:6" ht="12.75">
      <c r="B65" s="1" t="s">
        <v>338</v>
      </c>
      <c r="F65" s="1">
        <v>50</v>
      </c>
    </row>
    <row r="66" spans="2:6" ht="12.75">
      <c r="B66" s="1" t="s">
        <v>339</v>
      </c>
      <c r="F66" s="1">
        <v>0.065</v>
      </c>
    </row>
    <row r="67" spans="2:8" ht="13.5" thickBot="1">
      <c r="B67" s="15" t="s">
        <v>340</v>
      </c>
      <c r="E67" s="1" t="s">
        <v>341</v>
      </c>
      <c r="H67" s="110">
        <f>PMT(F66,F65,-H63)</f>
        <v>1246.2241112714005</v>
      </c>
    </row>
    <row r="68" ht="13.5" thickTop="1">
      <c r="H68" s="73"/>
    </row>
    <row r="73" ht="12.75"/>
    <row r="74" ht="12.75"/>
  </sheetData>
  <sheetProtection/>
  <mergeCells count="4">
    <mergeCell ref="B4:H4"/>
    <mergeCell ref="B5:H5"/>
    <mergeCell ref="B41:H41"/>
    <mergeCell ref="B52:H52"/>
  </mergeCells>
  <printOptions/>
  <pageMargins left="0.75" right="0.75" top="1" bottom="1" header="0.5" footer="0.5"/>
  <pageSetup horizontalDpi="600" verticalDpi="600" orientation="portrait" r:id="rId2"/>
  <rowBreaks count="1" manualBreakCount="1">
    <brk id="5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2:K58"/>
  <sheetViews>
    <sheetView zoomScalePageLayoutView="0" workbookViewId="0" topLeftCell="A1">
      <selection activeCell="F53" sqref="F53"/>
    </sheetView>
  </sheetViews>
  <sheetFormatPr defaultColWidth="9.140625" defaultRowHeight="12.75"/>
  <cols>
    <col min="1" max="1" width="4.8515625" style="1" customWidth="1"/>
    <col min="2" max="2" width="14.00390625" style="1" customWidth="1"/>
    <col min="3" max="16384" width="9.140625" style="1" customWidth="1"/>
  </cols>
  <sheetData>
    <row r="2" ht="12.75">
      <c r="B2" s="86" t="s">
        <v>319</v>
      </c>
    </row>
    <row r="4" spans="3:8" ht="15.75">
      <c r="C4" s="124" t="s">
        <v>320</v>
      </c>
      <c r="D4" s="113"/>
      <c r="E4" s="113"/>
      <c r="F4" s="113"/>
      <c r="G4" s="113"/>
      <c r="H4" s="113"/>
    </row>
    <row r="7" spans="2:9" ht="12.75">
      <c r="B7" s="10" t="s">
        <v>165</v>
      </c>
      <c r="D7" s="26" t="s">
        <v>252</v>
      </c>
      <c r="E7" s="28" t="s">
        <v>211</v>
      </c>
      <c r="G7" s="28" t="s">
        <v>204</v>
      </c>
      <c r="I7" s="28" t="s">
        <v>98</v>
      </c>
    </row>
    <row r="8" spans="7:9" ht="12.75">
      <c r="G8" s="18"/>
      <c r="I8" s="18"/>
    </row>
    <row r="9" spans="2:9" ht="12.75">
      <c r="B9" s="46" t="s">
        <v>148</v>
      </c>
      <c r="D9" s="1" t="s">
        <v>104</v>
      </c>
      <c r="E9" s="1">
        <v>1</v>
      </c>
      <c r="G9" s="29">
        <v>0</v>
      </c>
      <c r="I9" s="29">
        <f>E9*G9</f>
        <v>0</v>
      </c>
    </row>
    <row r="10" spans="2:9" ht="12.75">
      <c r="B10" s="50" t="s">
        <v>277</v>
      </c>
      <c r="D10" s="50" t="s">
        <v>94</v>
      </c>
      <c r="E10" s="1">
        <v>1</v>
      </c>
      <c r="G10" s="29">
        <v>0</v>
      </c>
      <c r="I10" s="29">
        <f>E10*G10</f>
        <v>0</v>
      </c>
    </row>
    <row r="11" spans="2:9" ht="12.75">
      <c r="B11" s="50" t="s">
        <v>350</v>
      </c>
      <c r="D11" s="50" t="s">
        <v>94</v>
      </c>
      <c r="E11" s="1">
        <v>1</v>
      </c>
      <c r="G11" s="29">
        <v>0</v>
      </c>
      <c r="I11" s="29">
        <f>E11*G11</f>
        <v>0</v>
      </c>
    </row>
    <row r="12" spans="2:9" ht="13.5" thickBot="1">
      <c r="B12" s="46" t="s">
        <v>278</v>
      </c>
      <c r="C12" s="46"/>
      <c r="D12" s="46"/>
      <c r="E12" s="46"/>
      <c r="F12" s="46"/>
      <c r="G12" s="58">
        <v>0</v>
      </c>
      <c r="H12" s="46"/>
      <c r="I12" s="95">
        <f>SUM(I9:I11)</f>
        <v>0</v>
      </c>
    </row>
    <row r="13" spans="7:9" ht="13.5" thickTop="1">
      <c r="G13" s="29"/>
      <c r="I13" s="94"/>
    </row>
    <row r="14" spans="2:9" ht="12.75">
      <c r="B14" s="46" t="s">
        <v>155</v>
      </c>
      <c r="D14" s="1" t="s">
        <v>104</v>
      </c>
      <c r="E14" s="1">
        <v>1</v>
      </c>
      <c r="G14" s="29">
        <v>0</v>
      </c>
      <c r="I14" s="29">
        <v>0</v>
      </c>
    </row>
    <row r="15" spans="2:9" ht="12.75">
      <c r="B15" s="1" t="s">
        <v>154</v>
      </c>
      <c r="D15" s="1" t="s">
        <v>104</v>
      </c>
      <c r="E15" s="1">
        <v>1</v>
      </c>
      <c r="G15" s="29">
        <v>0</v>
      </c>
      <c r="I15" s="29"/>
    </row>
    <row r="16" spans="2:9" ht="12.75">
      <c r="B16" s="1" t="s">
        <v>154</v>
      </c>
      <c r="D16" s="1" t="s">
        <v>104</v>
      </c>
      <c r="E16" s="1">
        <v>1</v>
      </c>
      <c r="G16" s="29">
        <v>0</v>
      </c>
      <c r="I16" s="29">
        <f>E16*G16</f>
        <v>0</v>
      </c>
    </row>
    <row r="17" spans="2:9" ht="12.75">
      <c r="B17" s="1" t="s">
        <v>154</v>
      </c>
      <c r="D17" s="1" t="s">
        <v>104</v>
      </c>
      <c r="E17" s="1">
        <v>1</v>
      </c>
      <c r="G17" s="29">
        <v>0</v>
      </c>
      <c r="I17" s="29">
        <f>E17*G17</f>
        <v>0</v>
      </c>
    </row>
    <row r="18" spans="2:9" ht="12.75">
      <c r="B18" s="1" t="s">
        <v>154</v>
      </c>
      <c r="D18" s="1" t="s">
        <v>104</v>
      </c>
      <c r="E18" s="1">
        <v>1</v>
      </c>
      <c r="G18" s="29">
        <v>0</v>
      </c>
      <c r="I18" s="29">
        <f>E18*G18</f>
        <v>0</v>
      </c>
    </row>
    <row r="19" spans="2:9" ht="13.5" thickBot="1">
      <c r="B19" s="46" t="s">
        <v>231</v>
      </c>
      <c r="C19" s="46"/>
      <c r="D19" s="46"/>
      <c r="E19" s="46"/>
      <c r="F19" s="46"/>
      <c r="G19" s="58"/>
      <c r="H19" s="46"/>
      <c r="I19" s="95">
        <f>SUM(I14:I18)</f>
        <v>0</v>
      </c>
    </row>
    <row r="20" spans="7:9" ht="13.5" thickTop="1">
      <c r="G20" s="29"/>
      <c r="I20" s="94"/>
    </row>
    <row r="21" spans="2:9" ht="12.75">
      <c r="B21" s="46" t="s">
        <v>354</v>
      </c>
      <c r="D21" s="1" t="s">
        <v>104</v>
      </c>
      <c r="E21" s="1">
        <v>1</v>
      </c>
      <c r="G21" s="29">
        <v>0</v>
      </c>
      <c r="I21" s="29">
        <f aca="true" t="shared" si="0" ref="I21:I26">E21*G21</f>
        <v>0</v>
      </c>
    </row>
    <row r="22" spans="2:9" ht="12.75">
      <c r="B22" s="1" t="s">
        <v>141</v>
      </c>
      <c r="D22" s="1" t="s">
        <v>104</v>
      </c>
      <c r="E22" s="1">
        <v>1</v>
      </c>
      <c r="G22" s="29">
        <v>0</v>
      </c>
      <c r="I22" s="29">
        <f t="shared" si="0"/>
        <v>0</v>
      </c>
    </row>
    <row r="23" spans="2:9" ht="12.75">
      <c r="B23" s="1" t="s">
        <v>141</v>
      </c>
      <c r="D23" s="1" t="s">
        <v>104</v>
      </c>
      <c r="E23" s="1">
        <v>1</v>
      </c>
      <c r="G23" s="29">
        <v>0</v>
      </c>
      <c r="I23" s="29">
        <f t="shared" si="0"/>
        <v>0</v>
      </c>
    </row>
    <row r="24" spans="2:9" ht="12.75">
      <c r="B24" s="1" t="s">
        <v>141</v>
      </c>
      <c r="D24" s="1" t="s">
        <v>104</v>
      </c>
      <c r="E24" s="1">
        <v>1</v>
      </c>
      <c r="G24" s="29">
        <v>0</v>
      </c>
      <c r="I24" s="29">
        <f t="shared" si="0"/>
        <v>0</v>
      </c>
    </row>
    <row r="25" spans="2:9" ht="12.75">
      <c r="B25" s="1" t="s">
        <v>141</v>
      </c>
      <c r="D25" s="1" t="s">
        <v>104</v>
      </c>
      <c r="E25" s="1">
        <v>1</v>
      </c>
      <c r="G25" s="29">
        <v>0</v>
      </c>
      <c r="I25" s="29">
        <f t="shared" si="0"/>
        <v>0</v>
      </c>
    </row>
    <row r="26" spans="2:9" ht="12.75">
      <c r="B26" s="1" t="s">
        <v>141</v>
      </c>
      <c r="D26" s="1" t="s">
        <v>104</v>
      </c>
      <c r="E26" s="1">
        <v>1</v>
      </c>
      <c r="G26" s="29">
        <v>0</v>
      </c>
      <c r="I26" s="29">
        <f t="shared" si="0"/>
        <v>0</v>
      </c>
    </row>
    <row r="27" spans="2:9" ht="13.5" thickBot="1">
      <c r="B27" s="46" t="s">
        <v>231</v>
      </c>
      <c r="G27" s="29"/>
      <c r="I27" s="95">
        <f>SUM(I21:I26)</f>
        <v>0</v>
      </c>
    </row>
    <row r="28" spans="7:9" ht="13.5" thickTop="1">
      <c r="G28" s="29"/>
      <c r="I28" s="94"/>
    </row>
    <row r="29" spans="2:9" ht="12.75">
      <c r="B29" s="1" t="s">
        <v>190</v>
      </c>
      <c r="D29" s="1" t="s">
        <v>104</v>
      </c>
      <c r="E29" s="1">
        <v>1</v>
      </c>
      <c r="G29" s="29">
        <v>0</v>
      </c>
      <c r="I29" s="29">
        <f>E29*G29</f>
        <v>0</v>
      </c>
    </row>
    <row r="30" spans="2:9" ht="12.75">
      <c r="B30" s="1" t="s">
        <v>190</v>
      </c>
      <c r="D30" s="1" t="s">
        <v>104</v>
      </c>
      <c r="E30" s="1">
        <v>1</v>
      </c>
      <c r="G30" s="29">
        <v>0</v>
      </c>
      <c r="I30" s="29">
        <f>E30*G30</f>
        <v>0</v>
      </c>
    </row>
    <row r="31" spans="2:9" ht="12.75">
      <c r="B31" s="1" t="s">
        <v>190</v>
      </c>
      <c r="D31" s="1" t="s">
        <v>104</v>
      </c>
      <c r="E31" s="1">
        <v>1</v>
      </c>
      <c r="G31" s="29">
        <v>0</v>
      </c>
      <c r="I31" s="29">
        <f>E31*G31</f>
        <v>0</v>
      </c>
    </row>
    <row r="32" spans="2:9" ht="12.75">
      <c r="B32" s="1" t="s">
        <v>190</v>
      </c>
      <c r="D32" s="1" t="s">
        <v>104</v>
      </c>
      <c r="E32" s="1">
        <v>1</v>
      </c>
      <c r="G32" s="29">
        <v>0</v>
      </c>
      <c r="I32" s="29">
        <f>E32*G32</f>
        <v>0</v>
      </c>
    </row>
    <row r="33" spans="2:9" ht="12.75">
      <c r="B33" s="46" t="s">
        <v>278</v>
      </c>
      <c r="C33" s="46"/>
      <c r="D33" s="46"/>
      <c r="E33" s="46"/>
      <c r="F33" s="46"/>
      <c r="G33" s="58"/>
      <c r="H33" s="46"/>
      <c r="I33" s="58">
        <v>0</v>
      </c>
    </row>
    <row r="34" spans="2:9" ht="13.5" thickBot="1">
      <c r="B34" s="47" t="s">
        <v>279</v>
      </c>
      <c r="G34" s="29"/>
      <c r="I34" s="93">
        <f>I12+I19+I27+I33</f>
        <v>0</v>
      </c>
    </row>
    <row r="35" ht="13.5" thickTop="1">
      <c r="I35" s="92"/>
    </row>
    <row r="36" spans="1:9" ht="12.75">
      <c r="A36" s="1" t="s">
        <v>84</v>
      </c>
      <c r="I36" s="30"/>
    </row>
    <row r="37" ht="12.75">
      <c r="I37" s="30"/>
    </row>
    <row r="38" ht="12.75">
      <c r="I38" s="30"/>
    </row>
    <row r="39" spans="1:10" ht="12.75">
      <c r="A39" s="105"/>
      <c r="B39" s="105"/>
      <c r="C39" s="105"/>
      <c r="D39" s="105"/>
      <c r="E39" s="105"/>
      <c r="F39" s="105"/>
      <c r="G39" s="105"/>
      <c r="H39" s="105"/>
      <c r="I39" s="106"/>
      <c r="J39" s="105"/>
    </row>
    <row r="40" spans="9:11" ht="12.75">
      <c r="I40" s="30"/>
      <c r="K40" s="104"/>
    </row>
    <row r="41" spans="2:11" ht="12.75">
      <c r="B41" s="102"/>
      <c r="C41" s="102"/>
      <c r="D41" s="102"/>
      <c r="E41" s="102"/>
      <c r="F41" s="102"/>
      <c r="G41" s="102"/>
      <c r="H41" s="102"/>
      <c r="I41" s="102"/>
      <c r="J41" s="103"/>
      <c r="K41" s="104"/>
    </row>
    <row r="42" spans="2:11" ht="12.75">
      <c r="B42" s="123"/>
      <c r="C42" s="123"/>
      <c r="D42" s="123"/>
      <c r="E42" s="123"/>
      <c r="F42" s="123"/>
      <c r="G42" s="123"/>
      <c r="H42" s="123"/>
      <c r="I42" s="123"/>
      <c r="J42" s="123"/>
      <c r="K42" s="104"/>
    </row>
    <row r="43" spans="2:11" ht="12.75">
      <c r="B43" s="123"/>
      <c r="C43" s="123"/>
      <c r="D43" s="123"/>
      <c r="E43" s="123"/>
      <c r="F43" s="123"/>
      <c r="G43" s="123"/>
      <c r="H43" s="123"/>
      <c r="I43" s="123"/>
      <c r="J43" s="123"/>
      <c r="K43" s="104"/>
    </row>
    <row r="44" spans="9:11" ht="12.75">
      <c r="I44" s="30"/>
      <c r="K44" s="104"/>
    </row>
    <row r="45" spans="1:10" ht="12.75">
      <c r="A45" s="73"/>
      <c r="B45" s="73"/>
      <c r="C45" s="73"/>
      <c r="D45" s="73"/>
      <c r="E45" s="73"/>
      <c r="F45" s="73"/>
      <c r="G45" s="73"/>
      <c r="H45" s="73"/>
      <c r="I45" s="92"/>
      <c r="J45" s="73"/>
    </row>
    <row r="46" ht="12.75">
      <c r="I46" s="30"/>
    </row>
    <row r="47" ht="12.75">
      <c r="I47" s="30"/>
    </row>
    <row r="48" ht="12.75">
      <c r="I48" s="30"/>
    </row>
    <row r="49" ht="12.75">
      <c r="I49" s="30"/>
    </row>
    <row r="50" ht="12.75">
      <c r="I50" s="30"/>
    </row>
    <row r="51" ht="12.75">
      <c r="I51" s="30"/>
    </row>
    <row r="52" ht="12.75">
      <c r="I52" s="30"/>
    </row>
    <row r="53" ht="12.75">
      <c r="I53" s="30"/>
    </row>
    <row r="54" ht="12.75">
      <c r="I54" s="30"/>
    </row>
    <row r="55" ht="12.75">
      <c r="I55" s="30"/>
    </row>
    <row r="56" ht="12.75">
      <c r="I56" s="30"/>
    </row>
    <row r="57" ht="12.75">
      <c r="I57" s="30"/>
    </row>
    <row r="58" ht="12.75">
      <c r="I58" s="30"/>
    </row>
  </sheetData>
  <sheetProtection/>
  <mergeCells count="3">
    <mergeCell ref="C4:H4"/>
    <mergeCell ref="B42:J42"/>
    <mergeCell ref="B43:J43"/>
  </mergeCells>
  <printOptions/>
  <pageMargins left="0.75" right="0.75" top="1" bottom="1" header="0.5" footer="0.5"/>
  <pageSetup horizontalDpi="600" verticalDpi="600" orientation="portrait" r:id="rId2"/>
  <rowBreaks count="1" manualBreakCount="1">
    <brk id="3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2:L59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4.140625" style="1" customWidth="1"/>
    <col min="2" max="2" width="9.140625" style="1" customWidth="1"/>
    <col min="3" max="3" width="7.00390625" style="1" customWidth="1"/>
    <col min="4" max="4" width="6.57421875" style="1" customWidth="1"/>
    <col min="5" max="5" width="8.7109375" style="1" customWidth="1"/>
    <col min="6" max="6" width="8.00390625" style="1" customWidth="1"/>
    <col min="7" max="7" width="6.421875" style="1" customWidth="1"/>
    <col min="8" max="8" width="8.140625" style="1" customWidth="1"/>
    <col min="9" max="9" width="8.8515625" style="1" customWidth="1"/>
    <col min="10" max="10" width="8.421875" style="1" customWidth="1"/>
    <col min="11" max="11" width="7.57421875" style="1" customWidth="1"/>
    <col min="12" max="12" width="5.28125" style="1" customWidth="1"/>
    <col min="13" max="16384" width="9.140625" style="1" customWidth="1"/>
  </cols>
  <sheetData>
    <row r="2" spans="2:11" ht="12.75">
      <c r="B2" s="86" t="s">
        <v>319</v>
      </c>
      <c r="D2" s="8"/>
      <c r="E2" s="8"/>
      <c r="F2" s="8"/>
      <c r="G2" s="8"/>
      <c r="H2" s="8"/>
      <c r="I2" s="8"/>
      <c r="J2" s="8"/>
      <c r="K2" s="8"/>
    </row>
    <row r="3" spans="2:11" ht="12.75">
      <c r="B3" s="46" t="s">
        <v>317</v>
      </c>
      <c r="D3" s="8"/>
      <c r="E3" s="8"/>
      <c r="F3" s="8"/>
      <c r="G3" s="8"/>
      <c r="H3" s="8"/>
      <c r="I3" s="8"/>
      <c r="J3" s="8"/>
      <c r="K3" s="8"/>
    </row>
    <row r="4" spans="3:11" ht="15.75">
      <c r="C4" s="87"/>
      <c r="E4" s="10"/>
      <c r="F4" s="10"/>
      <c r="G4" s="10"/>
      <c r="H4" s="10"/>
      <c r="I4" s="10"/>
      <c r="J4" s="10"/>
      <c r="K4" s="10"/>
    </row>
    <row r="5" spans="4:11" ht="12.75">
      <c r="D5" s="8"/>
      <c r="E5" s="8"/>
      <c r="F5" s="8"/>
      <c r="G5" s="8"/>
      <c r="H5" s="8"/>
      <c r="I5" s="8"/>
      <c r="J5" s="8"/>
      <c r="K5" s="8"/>
    </row>
    <row r="6" spans="4:11" ht="12.75">
      <c r="D6" s="8" t="s">
        <v>126</v>
      </c>
      <c r="E6" s="8" t="s">
        <v>132</v>
      </c>
      <c r="F6" s="6" t="s">
        <v>132</v>
      </c>
      <c r="G6" s="8" t="s">
        <v>95</v>
      </c>
      <c r="H6" s="8" t="s">
        <v>185</v>
      </c>
      <c r="I6" s="8" t="s">
        <v>140</v>
      </c>
      <c r="J6" s="8" t="s">
        <v>176</v>
      </c>
      <c r="K6" s="8" t="s">
        <v>168</v>
      </c>
    </row>
    <row r="7" spans="4:11" ht="12.75">
      <c r="D7" s="8" t="s">
        <v>261</v>
      </c>
      <c r="E7" s="8" t="s">
        <v>221</v>
      </c>
      <c r="F7" s="6" t="s">
        <v>124</v>
      </c>
      <c r="G7" s="8" t="s">
        <v>195</v>
      </c>
      <c r="H7" s="8" t="s">
        <v>229</v>
      </c>
      <c r="I7" s="8" t="s">
        <v>254</v>
      </c>
      <c r="J7" s="8" t="s">
        <v>213</v>
      </c>
      <c r="K7" s="8" t="s">
        <v>254</v>
      </c>
    </row>
    <row r="8" spans="2:11" ht="12.75">
      <c r="B8" s="1" t="s">
        <v>60</v>
      </c>
      <c r="D8" s="8" t="s">
        <v>73</v>
      </c>
      <c r="E8" s="8" t="s">
        <v>76</v>
      </c>
      <c r="F8" s="6" t="s">
        <v>70</v>
      </c>
      <c r="G8" s="8" t="s">
        <v>150</v>
      </c>
      <c r="H8" s="8" t="s">
        <v>191</v>
      </c>
      <c r="I8" s="8" t="s">
        <v>74</v>
      </c>
      <c r="J8" s="8" t="s">
        <v>71</v>
      </c>
      <c r="K8" s="8" t="s">
        <v>75</v>
      </c>
    </row>
    <row r="9" spans="4:11" ht="12.75">
      <c r="D9" s="8"/>
      <c r="E9" s="8"/>
      <c r="F9" s="8"/>
      <c r="G9" s="8"/>
      <c r="H9" s="8"/>
      <c r="I9" s="8"/>
      <c r="J9" s="8"/>
      <c r="K9" s="8"/>
    </row>
    <row r="10" spans="2:11" ht="12.75">
      <c r="B10" s="15" t="s">
        <v>200</v>
      </c>
      <c r="D10" s="8"/>
      <c r="E10" s="8"/>
      <c r="F10" s="8"/>
      <c r="G10" s="8"/>
      <c r="H10" s="8"/>
      <c r="I10" s="8"/>
      <c r="J10" s="8"/>
      <c r="K10" s="8"/>
    </row>
    <row r="11" spans="2:11" ht="12.75">
      <c r="B11" s="1" t="s">
        <v>65</v>
      </c>
      <c r="D11" s="8"/>
      <c r="E11" s="8"/>
      <c r="F11" s="8"/>
      <c r="G11" s="8" t="s">
        <v>0</v>
      </c>
      <c r="H11" s="6" t="s">
        <v>0</v>
      </c>
      <c r="I11" s="8"/>
      <c r="J11" s="8" t="s">
        <v>0</v>
      </c>
      <c r="K11" s="8" t="s">
        <v>0</v>
      </c>
    </row>
    <row r="12" spans="2:11" ht="12.75">
      <c r="B12" s="1" t="s">
        <v>10</v>
      </c>
      <c r="D12" s="8">
        <v>20</v>
      </c>
      <c r="E12" s="8">
        <v>3</v>
      </c>
      <c r="F12" s="6">
        <v>70</v>
      </c>
      <c r="G12" s="8">
        <f>(D12*E12*(F12/100))/8.25</f>
        <v>5.090909090909091</v>
      </c>
      <c r="H12" s="6">
        <v>4</v>
      </c>
      <c r="I12" s="8">
        <f>(H12*(1/G12))*0.05*75</f>
        <v>2.946428571428571</v>
      </c>
      <c r="J12" s="8">
        <f>(H55+H46)*(1/G12*H12)</f>
        <v>0</v>
      </c>
      <c r="K12" s="8">
        <f>H12*(1/G12)*1.2</f>
        <v>0.9428571428571428</v>
      </c>
    </row>
    <row r="13" spans="2:11" ht="12.75">
      <c r="B13" s="1" t="s">
        <v>9</v>
      </c>
      <c r="D13" s="8">
        <v>40</v>
      </c>
      <c r="E13" s="8">
        <v>2.5</v>
      </c>
      <c r="F13" s="6">
        <v>65</v>
      </c>
      <c r="G13" s="8">
        <f>(D13*E13*(F13/100))/8.25</f>
        <v>7.878787878787879</v>
      </c>
      <c r="H13" s="6">
        <v>12</v>
      </c>
      <c r="I13" s="8">
        <f>(H13*(1/G13))*0.05*325</f>
        <v>24.75</v>
      </c>
      <c r="J13" s="8">
        <f>(H56+H47)*(1/G13*H13)</f>
        <v>0</v>
      </c>
      <c r="K13" s="8">
        <f>H13*(1/G13)*1.2</f>
        <v>1.8276923076923075</v>
      </c>
    </row>
    <row r="14" spans="2:11" ht="12.75">
      <c r="B14" s="1" t="s">
        <v>64</v>
      </c>
      <c r="D14" s="8">
        <v>15</v>
      </c>
      <c r="E14" s="8">
        <v>6</v>
      </c>
      <c r="F14" s="6">
        <v>95</v>
      </c>
      <c r="G14" s="8">
        <f>(D14*E14*(F14/100))/8.25</f>
        <v>10.363636363636363</v>
      </c>
      <c r="H14" s="6">
        <v>5</v>
      </c>
      <c r="I14" s="8">
        <f>(H14*(1/G14))*0.05*125</f>
        <v>3.0153508771929833</v>
      </c>
      <c r="J14" s="8">
        <f>(H56+H48)*(1/G14*H14)</f>
        <v>0</v>
      </c>
      <c r="K14" s="8">
        <f>H14*(1/G14)*1.2</f>
        <v>0.5789473684210527</v>
      </c>
    </row>
    <row r="16" spans="2:12" ht="12.75">
      <c r="B16" s="26" t="s">
        <v>246</v>
      </c>
      <c r="D16" s="8"/>
      <c r="F16" s="8"/>
      <c r="G16" s="8"/>
      <c r="H16" s="8"/>
      <c r="I16" s="10">
        <f>SUM(I11:I14)</f>
        <v>30.711779448621552</v>
      </c>
      <c r="J16" s="10">
        <f>SUM(J11:J14)</f>
        <v>0</v>
      </c>
      <c r="K16" s="10">
        <f>SUM(K11:K14)</f>
        <v>3.3494968189705028</v>
      </c>
      <c r="L16" s="26">
        <f>SUM(I16:K16)</f>
        <v>34.061276267592056</v>
      </c>
    </row>
    <row r="17" spans="2:11" ht="12.75">
      <c r="B17" s="17"/>
      <c r="D17" s="8"/>
      <c r="E17" s="8"/>
      <c r="F17" s="8"/>
      <c r="G17" s="8"/>
      <c r="H17" s="8"/>
      <c r="I17" s="8"/>
      <c r="J17" s="8"/>
      <c r="K17" s="8"/>
    </row>
    <row r="18" spans="2:11" ht="12.75">
      <c r="B18" s="26" t="s">
        <v>145</v>
      </c>
      <c r="D18" s="8"/>
      <c r="E18" s="8"/>
      <c r="F18" s="8"/>
      <c r="G18" s="8"/>
      <c r="H18" s="8"/>
      <c r="I18" s="8"/>
      <c r="J18" s="8"/>
      <c r="K18" s="8"/>
    </row>
    <row r="19" spans="2:11" ht="12.75">
      <c r="B19" s="54" t="s">
        <v>318</v>
      </c>
      <c r="D19" s="6">
        <v>40</v>
      </c>
      <c r="E19" s="8">
        <v>1</v>
      </c>
      <c r="F19" s="6">
        <v>90</v>
      </c>
      <c r="G19" s="8">
        <f>(D19*E19*(F19/100))/8.25</f>
        <v>4.363636363636363</v>
      </c>
      <c r="H19" s="6">
        <v>4</v>
      </c>
      <c r="I19" s="8">
        <f>(H19*(1/G19))*0.05*90</f>
        <v>4.125</v>
      </c>
      <c r="J19" s="8">
        <f>(H61+H57)*(1/G19*H19)</f>
        <v>0</v>
      </c>
      <c r="K19" s="8">
        <f>H19*(1/G19)*1.2</f>
        <v>1.1</v>
      </c>
    </row>
    <row r="20" spans="2:11" ht="12.75">
      <c r="B20" s="50" t="s">
        <v>250</v>
      </c>
      <c r="D20" s="7">
        <v>10</v>
      </c>
      <c r="E20" s="8">
        <v>3</v>
      </c>
      <c r="F20" s="7">
        <v>90</v>
      </c>
      <c r="G20" s="8">
        <f>(D20*E20*(F20/100))/8.25</f>
        <v>3.272727272727273</v>
      </c>
      <c r="H20" s="6">
        <v>3</v>
      </c>
      <c r="I20" s="8">
        <f>(H20*(1/G20))*0.05*75</f>
        <v>3.4374999999999996</v>
      </c>
      <c r="J20" s="8">
        <f>(H51+H55)*(1/G20*H20)</f>
        <v>0</v>
      </c>
      <c r="K20" s="8">
        <f>H20*(1/G20)*1.2</f>
        <v>1.0999999999999999</v>
      </c>
    </row>
    <row r="21" spans="2:11" ht="12.75">
      <c r="B21" s="50" t="s">
        <v>318</v>
      </c>
      <c r="D21" s="7">
        <v>10</v>
      </c>
      <c r="E21" s="8">
        <v>2</v>
      </c>
      <c r="F21" s="7">
        <v>80</v>
      </c>
      <c r="G21" s="8">
        <v>7</v>
      </c>
      <c r="H21" s="6">
        <v>3</v>
      </c>
      <c r="I21" s="8">
        <f>(H21*(1/G21))*0.05*125</f>
        <v>2.6785714285714284</v>
      </c>
      <c r="J21" s="8">
        <f>(H52+H56)*(1/G21*H21)</f>
        <v>0</v>
      </c>
      <c r="K21" s="8">
        <f>H21*(1/G21)*1.2</f>
        <v>0.5142857142857142</v>
      </c>
    </row>
    <row r="22" spans="2:11" ht="12.75">
      <c r="B22" s="1" t="s">
        <v>58</v>
      </c>
      <c r="H22" s="6"/>
      <c r="I22" s="8">
        <v>5</v>
      </c>
      <c r="J22" s="8">
        <v>0.5</v>
      </c>
      <c r="K22" s="8">
        <v>1</v>
      </c>
    </row>
    <row r="23" spans="2:12" ht="12.75">
      <c r="B23" s="26" t="s">
        <v>241</v>
      </c>
      <c r="I23" s="10">
        <f>SUM(I19:I22)</f>
        <v>15.241071428571429</v>
      </c>
      <c r="J23" s="10">
        <f>SUM(J19:J22)</f>
        <v>0.5</v>
      </c>
      <c r="K23" s="10">
        <f>SUM(K19:K22)</f>
        <v>3.7142857142857144</v>
      </c>
      <c r="L23" s="26">
        <f>SUM(I23:K23)</f>
        <v>19.455357142857142</v>
      </c>
    </row>
    <row r="26" ht="12.75"/>
    <row r="27" ht="12.75"/>
    <row r="28" ht="12.75"/>
    <row r="29" spans="2:10" ht="12.75">
      <c r="B29" s="107"/>
      <c r="C29" s="107"/>
      <c r="D29" s="107"/>
      <c r="E29" s="107"/>
      <c r="F29" s="107"/>
      <c r="G29" s="107"/>
      <c r="H29" s="107"/>
      <c r="I29" s="107"/>
      <c r="J29" s="103"/>
    </row>
    <row r="30" spans="2:10" ht="12.75">
      <c r="B30" s="123"/>
      <c r="C30" s="123"/>
      <c r="D30" s="123"/>
      <c r="E30" s="123"/>
      <c r="F30" s="123"/>
      <c r="G30" s="123"/>
      <c r="H30" s="123"/>
      <c r="I30" s="123"/>
      <c r="J30" s="123"/>
    </row>
    <row r="31" spans="2:10" ht="12.75">
      <c r="B31" s="123"/>
      <c r="C31" s="123"/>
      <c r="D31" s="123"/>
      <c r="E31" s="123"/>
      <c r="F31" s="123"/>
      <c r="G31" s="123"/>
      <c r="H31" s="123"/>
      <c r="I31" s="123"/>
      <c r="J31" s="123"/>
    </row>
    <row r="36" ht="12.75">
      <c r="A36" s="1" t="s">
        <v>84</v>
      </c>
    </row>
    <row r="43" spans="4:9" ht="12.75">
      <c r="D43" s="8"/>
      <c r="E43" s="8"/>
      <c r="F43" s="8"/>
      <c r="G43" s="8"/>
      <c r="H43" s="8"/>
      <c r="I43" s="8"/>
    </row>
    <row r="44" spans="4:9" ht="12.75">
      <c r="D44" s="8"/>
      <c r="E44" s="8"/>
      <c r="F44" s="8"/>
      <c r="G44" s="8"/>
      <c r="H44" s="8"/>
      <c r="I44" s="8"/>
    </row>
    <row r="45" spans="4:9" ht="12.75">
      <c r="D45" s="8"/>
      <c r="E45" s="12"/>
      <c r="F45" s="6"/>
      <c r="G45" s="8"/>
      <c r="H45" s="8"/>
      <c r="I45" s="8"/>
    </row>
    <row r="46" spans="4:9" ht="12.75">
      <c r="D46" s="8"/>
      <c r="E46" s="12"/>
      <c r="F46" s="6"/>
      <c r="G46" s="8"/>
      <c r="H46" s="8"/>
      <c r="I46" s="8"/>
    </row>
    <row r="47" spans="4:9" ht="12.75">
      <c r="D47" s="8"/>
      <c r="E47" s="6"/>
      <c r="F47" s="6"/>
      <c r="G47" s="8"/>
      <c r="H47" s="8"/>
      <c r="I47" s="8"/>
    </row>
    <row r="48" spans="4:9" ht="12.75">
      <c r="D48" s="8"/>
      <c r="E48" s="6"/>
      <c r="F48" s="6"/>
      <c r="G48" s="8"/>
      <c r="H48" s="8"/>
      <c r="I48" s="8"/>
    </row>
    <row r="49" spans="5:9" ht="12.75">
      <c r="E49" s="12"/>
      <c r="F49" s="6"/>
      <c r="G49" s="7"/>
      <c r="H49" s="8"/>
      <c r="I49" s="8"/>
    </row>
    <row r="50" spans="5:9" ht="12.75">
      <c r="E50" s="12"/>
      <c r="F50" s="7"/>
      <c r="G50" s="7"/>
      <c r="H50" s="8"/>
      <c r="I50" s="8"/>
    </row>
    <row r="51" spans="5:9" ht="12.75">
      <c r="E51" s="12"/>
      <c r="F51" s="7"/>
      <c r="G51" s="7"/>
      <c r="H51" s="8"/>
      <c r="I51" s="8"/>
    </row>
    <row r="52" spans="5:9" ht="12.75">
      <c r="E52" s="12"/>
      <c r="F52" s="7"/>
      <c r="G52" s="7"/>
      <c r="H52" s="8"/>
      <c r="I52" s="8"/>
    </row>
    <row r="53" spans="5:9" ht="12.75">
      <c r="E53" s="12"/>
      <c r="F53" s="7"/>
      <c r="G53" s="7"/>
      <c r="H53" s="8"/>
      <c r="I53" s="8"/>
    </row>
    <row r="54" spans="4:9" ht="12.75">
      <c r="D54" s="8"/>
      <c r="E54" s="6"/>
      <c r="F54" s="6"/>
      <c r="G54" s="8"/>
      <c r="H54" s="8"/>
      <c r="I54" s="8"/>
    </row>
    <row r="55" spans="4:9" ht="12.75">
      <c r="D55" s="8"/>
      <c r="E55" s="6"/>
      <c r="F55" s="6"/>
      <c r="G55" s="8"/>
      <c r="H55" s="8"/>
      <c r="I55" s="8"/>
    </row>
    <row r="56" spans="4:9" ht="12.75">
      <c r="D56" s="8"/>
      <c r="E56" s="6"/>
      <c r="F56" s="6"/>
      <c r="G56" s="8"/>
      <c r="H56" s="8"/>
      <c r="I56" s="8"/>
    </row>
    <row r="57" spans="5:9" ht="12.75">
      <c r="E57" s="6"/>
      <c r="F57" s="7"/>
      <c r="G57" s="8"/>
      <c r="H57" s="8"/>
      <c r="I57" s="8"/>
    </row>
    <row r="58" spans="5:6" ht="12.75">
      <c r="E58" s="12"/>
      <c r="F58" s="7"/>
    </row>
    <row r="59" ht="12.75">
      <c r="F59" s="7"/>
    </row>
  </sheetData>
  <sheetProtection/>
  <mergeCells count="2">
    <mergeCell ref="B30:J30"/>
    <mergeCell ref="B31:J31"/>
  </mergeCells>
  <printOptions/>
  <pageMargins left="0.75" right="0.75" top="1" bottom="1" header="0.5" footer="0.5"/>
  <pageSetup orientation="portrait" paperSize="9"/>
  <rowBreaks count="1" manualBreakCount="1">
    <brk id="3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2:K37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1.421875" style="1" customWidth="1"/>
    <col min="2" max="2" width="32.57421875" style="1" customWidth="1"/>
    <col min="3" max="3" width="6.7109375" style="1" customWidth="1"/>
    <col min="4" max="4" width="8.28125" style="1" customWidth="1"/>
    <col min="5" max="5" width="8.421875" style="1" customWidth="1"/>
    <col min="6" max="6" width="6.421875" style="1" customWidth="1"/>
    <col min="7" max="7" width="4.8515625" style="1" customWidth="1"/>
    <col min="8" max="8" width="9.140625" style="1" customWidth="1"/>
    <col min="9" max="9" width="9.7109375" style="1" customWidth="1"/>
    <col min="10" max="10" width="7.8515625" style="1" customWidth="1"/>
    <col min="11" max="11" width="6.8515625" style="17" customWidth="1"/>
    <col min="12" max="16384" width="9.140625" style="1" customWidth="1"/>
  </cols>
  <sheetData>
    <row r="2" spans="2:3" ht="15">
      <c r="B2" s="86" t="s">
        <v>319</v>
      </c>
      <c r="C2" s="70"/>
    </row>
    <row r="3" ht="15.75">
      <c r="D3" s="69"/>
    </row>
    <row r="4" spans="2:11" ht="15.75">
      <c r="B4" s="124" t="s">
        <v>369</v>
      </c>
      <c r="C4" s="121"/>
      <c r="D4" s="121"/>
      <c r="E4" s="121"/>
      <c r="F4" s="121"/>
      <c r="G4" s="121"/>
      <c r="H4" s="121"/>
      <c r="I4" s="121"/>
      <c r="J4" s="121"/>
      <c r="K4" s="121"/>
    </row>
    <row r="6" spans="2:5" ht="12.75">
      <c r="B6" s="1" t="s">
        <v>95</v>
      </c>
      <c r="C6" s="12">
        <v>5</v>
      </c>
      <c r="D6" s="47"/>
      <c r="E6" s="12" t="s">
        <v>0</v>
      </c>
    </row>
    <row r="7" spans="2:5" ht="12.75">
      <c r="B7" s="1" t="s">
        <v>157</v>
      </c>
      <c r="C7" s="31">
        <v>0.065</v>
      </c>
      <c r="D7" s="47"/>
      <c r="E7" s="12" t="s">
        <v>0</v>
      </c>
    </row>
    <row r="8" spans="4:11" ht="12.75">
      <c r="D8" s="47" t="s">
        <v>364</v>
      </c>
      <c r="E8" s="96" t="s">
        <v>207</v>
      </c>
      <c r="F8" s="47" t="s">
        <v>219</v>
      </c>
      <c r="G8" s="91" t="s">
        <v>266</v>
      </c>
      <c r="H8" s="97"/>
      <c r="I8" s="97"/>
      <c r="J8" s="97"/>
      <c r="K8" s="91"/>
    </row>
    <row r="9" spans="2:11" ht="12.75">
      <c r="B9" s="47" t="s">
        <v>59</v>
      </c>
      <c r="D9" s="47" t="s">
        <v>363</v>
      </c>
      <c r="E9" s="96" t="s">
        <v>204</v>
      </c>
      <c r="F9" s="47" t="s">
        <v>255</v>
      </c>
      <c r="G9" s="91" t="s">
        <v>173</v>
      </c>
      <c r="H9" s="91" t="s">
        <v>120</v>
      </c>
      <c r="I9" s="47" t="s">
        <v>156</v>
      </c>
      <c r="J9" s="91" t="s">
        <v>223</v>
      </c>
      <c r="K9" s="91" t="s">
        <v>130</v>
      </c>
    </row>
    <row r="10" spans="5:11" ht="12.75">
      <c r="E10" s="18"/>
      <c r="F10" s="18"/>
      <c r="G10" s="18"/>
      <c r="H10" s="18"/>
      <c r="I10" s="18"/>
      <c r="J10" s="18"/>
      <c r="K10" s="32"/>
    </row>
    <row r="11" spans="2:11" ht="12.75">
      <c r="B11" s="48" t="s">
        <v>283</v>
      </c>
      <c r="C11" s="50"/>
      <c r="D11" s="53">
        <v>0.33</v>
      </c>
      <c r="E11" s="56">
        <v>300</v>
      </c>
      <c r="F11" s="56">
        <f aca="true" t="shared" si="0" ref="F11:F17">E11*0.2</f>
        <v>60</v>
      </c>
      <c r="G11" s="56">
        <v>10</v>
      </c>
      <c r="H11" s="56">
        <f aca="true" t="shared" si="1" ref="H11:H16">(E11-F11)/G11*D11</f>
        <v>7.92</v>
      </c>
      <c r="I11" s="56">
        <f aca="true" t="shared" si="2" ref="I11:I16">(E11+F11)/2*C$7*D11</f>
        <v>3.8610000000000007</v>
      </c>
      <c r="J11" s="56">
        <f aca="true" t="shared" si="3" ref="J11:J16">(E11+F11)/2*0.014*D11</f>
        <v>0.8316</v>
      </c>
      <c r="K11" s="55">
        <f aca="true" t="shared" si="4" ref="K11:K16">(H11+I11+J11)/$C$6</f>
        <v>2.52252</v>
      </c>
    </row>
    <row r="12" spans="2:11" ht="12.75">
      <c r="B12" s="48" t="s">
        <v>282</v>
      </c>
      <c r="C12" s="50"/>
      <c r="D12" s="53">
        <v>0.33</v>
      </c>
      <c r="E12" s="56">
        <v>15000</v>
      </c>
      <c r="F12" s="56">
        <f t="shared" si="0"/>
        <v>3000</v>
      </c>
      <c r="G12" s="56">
        <v>10</v>
      </c>
      <c r="H12" s="56">
        <f t="shared" si="1"/>
        <v>396</v>
      </c>
      <c r="I12" s="56">
        <f t="shared" si="2"/>
        <v>193.05</v>
      </c>
      <c r="J12" s="56">
        <f t="shared" si="3"/>
        <v>41.580000000000005</v>
      </c>
      <c r="K12" s="55">
        <f t="shared" si="4"/>
        <v>126.126</v>
      </c>
    </row>
    <row r="13" spans="2:11" ht="12.75">
      <c r="B13" s="48" t="s">
        <v>280</v>
      </c>
      <c r="C13" s="50"/>
      <c r="D13" s="53">
        <v>0.33</v>
      </c>
      <c r="E13" s="56">
        <v>4000</v>
      </c>
      <c r="F13" s="56">
        <f t="shared" si="0"/>
        <v>800</v>
      </c>
      <c r="G13" s="56">
        <v>10</v>
      </c>
      <c r="H13" s="56">
        <f t="shared" si="1"/>
        <v>105.60000000000001</v>
      </c>
      <c r="I13" s="56">
        <f t="shared" si="2"/>
        <v>51.480000000000004</v>
      </c>
      <c r="J13" s="56">
        <f t="shared" si="3"/>
        <v>11.088000000000001</v>
      </c>
      <c r="K13" s="55">
        <f t="shared" si="4"/>
        <v>33.6336</v>
      </c>
    </row>
    <row r="14" spans="2:11" ht="12.75">
      <c r="B14" s="48" t="s">
        <v>123</v>
      </c>
      <c r="C14" s="50"/>
      <c r="D14" s="53">
        <v>0.33</v>
      </c>
      <c r="E14" s="56">
        <v>2000</v>
      </c>
      <c r="F14" s="56">
        <f t="shared" si="0"/>
        <v>400</v>
      </c>
      <c r="G14" s="56">
        <v>10</v>
      </c>
      <c r="H14" s="56">
        <f t="shared" si="1"/>
        <v>52.800000000000004</v>
      </c>
      <c r="I14" s="56">
        <f t="shared" si="2"/>
        <v>25.740000000000002</v>
      </c>
      <c r="J14" s="56">
        <f t="shared" si="3"/>
        <v>5.5440000000000005</v>
      </c>
      <c r="K14" s="55">
        <f t="shared" si="4"/>
        <v>16.8168</v>
      </c>
    </row>
    <row r="15" spans="2:11" ht="12.75">
      <c r="B15" s="49" t="s">
        <v>281</v>
      </c>
      <c r="C15" s="54"/>
      <c r="D15" s="53">
        <v>0.33</v>
      </c>
      <c r="E15" s="56">
        <v>24000</v>
      </c>
      <c r="F15" s="56">
        <f t="shared" si="0"/>
        <v>4800</v>
      </c>
      <c r="G15" s="56">
        <v>20</v>
      </c>
      <c r="H15" s="56">
        <f t="shared" si="1"/>
        <v>316.8</v>
      </c>
      <c r="I15" s="56">
        <f t="shared" si="2"/>
        <v>308.88</v>
      </c>
      <c r="J15" s="56">
        <f t="shared" si="3"/>
        <v>66.528</v>
      </c>
      <c r="K15" s="55">
        <f t="shared" si="4"/>
        <v>138.44160000000002</v>
      </c>
    </row>
    <row r="16" spans="2:11" ht="12.75">
      <c r="B16" s="49" t="s">
        <v>285</v>
      </c>
      <c r="C16" s="54"/>
      <c r="D16" s="53">
        <v>0.33</v>
      </c>
      <c r="E16" s="56">
        <v>24000</v>
      </c>
      <c r="F16" s="56">
        <f t="shared" si="0"/>
        <v>4800</v>
      </c>
      <c r="G16" s="56">
        <v>10</v>
      </c>
      <c r="H16" s="56">
        <f t="shared" si="1"/>
        <v>633.6</v>
      </c>
      <c r="I16" s="56">
        <f t="shared" si="2"/>
        <v>308.88</v>
      </c>
      <c r="J16" s="56">
        <f t="shared" si="3"/>
        <v>66.528</v>
      </c>
      <c r="K16" s="55">
        <f t="shared" si="4"/>
        <v>201.8016</v>
      </c>
    </row>
    <row r="17" spans="2:11" ht="12.75">
      <c r="B17" s="54" t="s">
        <v>284</v>
      </c>
      <c r="C17" s="17"/>
      <c r="D17" s="98">
        <v>0.33</v>
      </c>
      <c r="E17" s="59">
        <v>1000</v>
      </c>
      <c r="F17" s="59">
        <f t="shared" si="0"/>
        <v>200</v>
      </c>
      <c r="G17" s="60">
        <v>10</v>
      </c>
      <c r="H17" s="60">
        <f>(E17-F17)/G17*D17</f>
        <v>26.400000000000002</v>
      </c>
      <c r="I17" s="60">
        <f>(E17+F17)/2*C$7*D17</f>
        <v>12.870000000000001</v>
      </c>
      <c r="J17" s="60">
        <f>(E17+F17)/2*0.014*D17</f>
        <v>2.7720000000000002</v>
      </c>
      <c r="K17" s="60">
        <f>(H17+I17+J17)/$C$6</f>
        <v>8.4084</v>
      </c>
    </row>
    <row r="18" spans="2:11" ht="12.75">
      <c r="B18" s="17"/>
      <c r="C18" s="17"/>
      <c r="D18" s="7"/>
      <c r="E18" s="59"/>
      <c r="F18" s="59"/>
      <c r="G18" s="60"/>
      <c r="H18" s="60"/>
      <c r="I18" s="60"/>
      <c r="J18" s="60"/>
      <c r="K18" s="60"/>
    </row>
    <row r="19" spans="2:11" ht="13.5" thickBot="1">
      <c r="B19" s="26" t="s">
        <v>243</v>
      </c>
      <c r="D19" s="7"/>
      <c r="E19" s="77">
        <f>SUM(E11:E18)</f>
        <v>70300</v>
      </c>
      <c r="F19" s="78">
        <f>SUM(F11:F18)</f>
        <v>14060</v>
      </c>
      <c r="G19" s="61"/>
      <c r="H19" s="80">
        <f>SUM(H11:H18)</f>
        <v>1539.1200000000003</v>
      </c>
      <c r="I19" s="80">
        <f>SUM(I11:I18)</f>
        <v>904.761</v>
      </c>
      <c r="J19" s="80">
        <f>SUM(J11:J18)</f>
        <v>194.8716</v>
      </c>
      <c r="K19" s="80">
        <f>SUM(K11:K18)</f>
        <v>527.75052</v>
      </c>
    </row>
    <row r="20" spans="4:11" ht="13.5" thickTop="1">
      <c r="D20" s="7"/>
      <c r="E20" s="71"/>
      <c r="F20" s="71"/>
      <c r="G20" s="7"/>
      <c r="H20" s="71"/>
      <c r="I20" s="71"/>
      <c r="J20" s="71"/>
      <c r="K20" s="79"/>
    </row>
    <row r="21" spans="4:11" ht="12.75">
      <c r="D21" s="7"/>
      <c r="E21" s="7"/>
      <c r="F21" s="7"/>
      <c r="G21" s="7"/>
      <c r="H21" s="7"/>
      <c r="I21" s="6">
        <f>H19</f>
        <v>1539.1200000000003</v>
      </c>
      <c r="J21" s="7"/>
      <c r="K21" s="8"/>
    </row>
    <row r="22" spans="4:11" ht="12.75">
      <c r="D22" s="7"/>
      <c r="E22" s="7"/>
      <c r="F22" s="7"/>
      <c r="G22" s="7"/>
      <c r="H22" s="7"/>
      <c r="I22" s="6">
        <f>I19</f>
        <v>904.761</v>
      </c>
      <c r="J22" s="7"/>
      <c r="K22" s="8"/>
    </row>
    <row r="23" spans="4:11" ht="12.75">
      <c r="D23" s="7"/>
      <c r="E23" s="7"/>
      <c r="F23" s="7"/>
      <c r="G23" s="7"/>
      <c r="H23" s="7"/>
      <c r="I23" s="6">
        <f>J19</f>
        <v>194.8716</v>
      </c>
      <c r="J23" s="7"/>
      <c r="K23" s="8"/>
    </row>
    <row r="24" spans="4:11" ht="12.75">
      <c r="D24" s="7"/>
      <c r="E24" s="7"/>
      <c r="F24" s="7"/>
      <c r="G24" s="7"/>
      <c r="H24" s="7"/>
      <c r="I24" s="6"/>
      <c r="J24" s="7"/>
      <c r="K24" s="8"/>
    </row>
    <row r="25" spans="2:11" ht="12.75">
      <c r="B25" s="26" t="s">
        <v>240</v>
      </c>
      <c r="D25" s="7"/>
      <c r="E25" s="7"/>
      <c r="F25" s="7"/>
      <c r="G25" s="7"/>
      <c r="H25" s="7"/>
      <c r="I25" s="82">
        <f>SUM(I21:I24)</f>
        <v>2638.7526000000003</v>
      </c>
      <c r="J25" s="7"/>
      <c r="K25" s="8"/>
    </row>
    <row r="26" spans="2:11" ht="13.5" thickBot="1">
      <c r="B26" s="26" t="s">
        <v>136</v>
      </c>
      <c r="D26" s="7"/>
      <c r="E26" s="7"/>
      <c r="F26" s="7"/>
      <c r="G26" s="7"/>
      <c r="H26" s="7"/>
      <c r="I26" s="83">
        <f>I25/C6</f>
        <v>527.75052</v>
      </c>
      <c r="J26" s="7"/>
      <c r="K26" s="8"/>
    </row>
    <row r="27" spans="4:11" ht="13.5" thickTop="1">
      <c r="D27" s="7"/>
      <c r="E27" s="7"/>
      <c r="F27" s="7"/>
      <c r="G27" s="7"/>
      <c r="H27" s="7"/>
      <c r="I27" s="71"/>
      <c r="J27" s="7"/>
      <c r="K27" s="8"/>
    </row>
    <row r="28" spans="4:11" ht="12.75">
      <c r="D28" s="7"/>
      <c r="E28" s="7"/>
      <c r="F28" s="7"/>
      <c r="G28" s="7"/>
      <c r="H28" s="7"/>
      <c r="I28" s="7"/>
      <c r="J28" s="7"/>
      <c r="K28" s="8"/>
    </row>
    <row r="29" spans="2:11" ht="12.75">
      <c r="B29" s="1" t="s">
        <v>78</v>
      </c>
      <c r="D29" s="7"/>
      <c r="E29" s="7"/>
      <c r="F29" s="7"/>
      <c r="G29" s="7"/>
      <c r="H29" s="7"/>
      <c r="I29" s="7"/>
      <c r="J29" s="7"/>
      <c r="K29" s="8"/>
    </row>
    <row r="30" spans="4:11" ht="12.75">
      <c r="D30" s="7"/>
      <c r="E30" s="7"/>
      <c r="F30" s="7"/>
      <c r="G30" s="7"/>
      <c r="H30" s="7"/>
      <c r="I30" s="7"/>
      <c r="J30" s="7"/>
      <c r="K30" s="8"/>
    </row>
    <row r="31" spans="1:11" ht="12.75">
      <c r="A31" s="1" t="s">
        <v>84</v>
      </c>
      <c r="D31" s="7"/>
      <c r="E31" s="7"/>
      <c r="F31" s="7"/>
      <c r="G31" s="7"/>
      <c r="H31" s="7"/>
      <c r="I31" s="7"/>
      <c r="J31" s="7"/>
      <c r="K31" s="8"/>
    </row>
    <row r="32" spans="4:11" ht="12.75">
      <c r="D32" s="7"/>
      <c r="E32" s="7"/>
      <c r="F32" s="7"/>
      <c r="G32" s="7"/>
      <c r="H32" s="7"/>
      <c r="I32" s="7"/>
      <c r="J32" s="7"/>
      <c r="K32" s="8"/>
    </row>
    <row r="33" spans="4:11" ht="12.75">
      <c r="D33" s="7"/>
      <c r="E33" s="7"/>
      <c r="F33" s="7"/>
      <c r="G33" s="7"/>
      <c r="H33" s="7"/>
      <c r="I33" s="7"/>
      <c r="J33" s="7"/>
      <c r="K33" s="8"/>
    </row>
    <row r="34" spans="4:11" ht="12.75">
      <c r="D34" s="7"/>
      <c r="E34" s="7"/>
      <c r="F34" s="7"/>
      <c r="G34" s="7"/>
      <c r="H34" s="7"/>
      <c r="I34" s="7"/>
      <c r="J34" s="7"/>
      <c r="K34" s="8"/>
    </row>
    <row r="35" spans="2:11" ht="12.75">
      <c r="B35" s="102"/>
      <c r="C35" s="102"/>
      <c r="D35" s="102"/>
      <c r="E35" s="102"/>
      <c r="F35" s="102"/>
      <c r="G35" s="102"/>
      <c r="H35" s="102"/>
      <c r="I35" s="102"/>
      <c r="J35" s="103"/>
      <c r="K35" s="8"/>
    </row>
    <row r="36" spans="2:11" ht="12.75">
      <c r="B36" s="123"/>
      <c r="C36" s="123"/>
      <c r="D36" s="123"/>
      <c r="E36" s="123"/>
      <c r="F36" s="123"/>
      <c r="G36" s="123"/>
      <c r="H36" s="123"/>
      <c r="I36" s="123"/>
      <c r="J36" s="123"/>
      <c r="K36" s="8"/>
    </row>
    <row r="37" spans="2:11" ht="12.75">
      <c r="B37" s="123"/>
      <c r="C37" s="123"/>
      <c r="D37" s="123"/>
      <c r="E37" s="123"/>
      <c r="F37" s="123"/>
      <c r="G37" s="123"/>
      <c r="H37" s="123"/>
      <c r="I37" s="123"/>
      <c r="J37" s="123"/>
      <c r="K37" s="8"/>
    </row>
  </sheetData>
  <sheetProtection/>
  <mergeCells count="3">
    <mergeCell ref="B4:K4"/>
    <mergeCell ref="B36:J36"/>
    <mergeCell ref="B37:J37"/>
  </mergeCells>
  <printOptions/>
  <pageMargins left="0.75" right="0.75" top="1" bottom="1" header="0.5" footer="0.5"/>
  <pageSetup horizontalDpi="600" verticalDpi="600" orientation="portrait" r:id="rId2"/>
  <rowBreaks count="1" manualBreakCount="1">
    <brk id="31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M56"/>
  <sheetViews>
    <sheetView zoomScalePageLayoutView="0" workbookViewId="0" topLeftCell="A19">
      <selection activeCell="L12" sqref="L12"/>
    </sheetView>
  </sheetViews>
  <sheetFormatPr defaultColWidth="9.140625" defaultRowHeight="12.75"/>
  <cols>
    <col min="1" max="1" width="1.8515625" style="1" customWidth="1"/>
    <col min="2" max="4" width="9.140625" style="1" customWidth="1"/>
    <col min="5" max="5" width="10.28125" style="1" customWidth="1"/>
    <col min="6" max="7" width="9.140625" style="1" customWidth="1"/>
    <col min="8" max="8" width="9.28125" style="1" customWidth="1"/>
    <col min="9" max="9" width="9.8515625" style="1" customWidth="1"/>
    <col min="10" max="10" width="7.57421875" style="1" customWidth="1"/>
    <col min="11" max="16384" width="9.140625" style="1" customWidth="1"/>
  </cols>
  <sheetData>
    <row r="2" ht="12.75">
      <c r="C2" s="86" t="s">
        <v>319</v>
      </c>
    </row>
    <row r="3" spans="1:5" ht="15.75">
      <c r="A3" s="17"/>
      <c r="E3" s="69"/>
    </row>
    <row r="4" spans="1:8" ht="15.75">
      <c r="A4" s="17"/>
      <c r="C4" s="114" t="s">
        <v>330</v>
      </c>
      <c r="D4" s="112"/>
      <c r="E4" s="112"/>
      <c r="F4" s="112"/>
      <c r="G4" s="112"/>
      <c r="H4" s="112"/>
    </row>
    <row r="5" ht="12.75">
      <c r="A5" s="17"/>
    </row>
    <row r="6" spans="1:8" ht="12.75">
      <c r="A6" s="17"/>
      <c r="C6" s="125"/>
      <c r="D6" s="126"/>
      <c r="E6" s="126"/>
      <c r="F6" s="126"/>
      <c r="G6" s="126"/>
      <c r="H6" s="126"/>
    </row>
    <row r="7" spans="1:8" ht="12.75">
      <c r="A7" s="17"/>
      <c r="C7" s="113"/>
      <c r="D7" s="112"/>
      <c r="E7" s="112"/>
      <c r="F7" s="112"/>
      <c r="G7" s="112"/>
      <c r="H7" s="112"/>
    </row>
    <row r="8" ht="12.75">
      <c r="A8" s="17"/>
    </row>
    <row r="9" spans="1:13" ht="14.25">
      <c r="A9" s="17"/>
      <c r="C9" s="127"/>
      <c r="D9" s="128"/>
      <c r="E9" s="128"/>
      <c r="F9" s="128"/>
      <c r="G9" s="128"/>
      <c r="H9" s="128"/>
      <c r="M9" s="68"/>
    </row>
    <row r="10" ht="12.75">
      <c r="A10" s="17"/>
    </row>
    <row r="11" spans="1:7" ht="12.75">
      <c r="A11" s="17"/>
      <c r="B11" s="1" t="s">
        <v>105</v>
      </c>
      <c r="D11" s="1">
        <v>5</v>
      </c>
      <c r="F11" s="27">
        <v>5</v>
      </c>
      <c r="G11" s="17" t="s">
        <v>96</v>
      </c>
    </row>
    <row r="12" spans="1:6" ht="12.75">
      <c r="A12" s="17"/>
      <c r="B12" s="1" t="s">
        <v>220</v>
      </c>
      <c r="D12" s="15">
        <v>40</v>
      </c>
      <c r="E12" s="50" t="s">
        <v>365</v>
      </c>
      <c r="F12" s="15">
        <v>40</v>
      </c>
    </row>
    <row r="13" spans="1:7" ht="12.75">
      <c r="A13" s="17"/>
      <c r="B13" s="1" t="s">
        <v>159</v>
      </c>
      <c r="G13" s="33">
        <v>0.065</v>
      </c>
    </row>
    <row r="14" spans="1:7" ht="12.75">
      <c r="A14" s="17"/>
      <c r="B14" s="1" t="s">
        <v>224</v>
      </c>
      <c r="G14" s="1">
        <v>0.015</v>
      </c>
    </row>
    <row r="15" spans="1:7" ht="12.75">
      <c r="A15" s="17"/>
      <c r="B15" s="1" t="s">
        <v>122</v>
      </c>
      <c r="G15" s="1">
        <v>120</v>
      </c>
    </row>
    <row r="16" ht="12.75">
      <c r="A16" s="17"/>
    </row>
    <row r="17" ht="12.75">
      <c r="A17" s="17"/>
    </row>
    <row r="18" spans="1:2" ht="12.75">
      <c r="A18" s="17"/>
      <c r="B18" s="15" t="s">
        <v>162</v>
      </c>
    </row>
    <row r="19" ht="12.75">
      <c r="A19" s="17"/>
    </row>
    <row r="20" spans="1:9" ht="12.75">
      <c r="A20" s="17"/>
      <c r="E20" s="64" t="s">
        <v>183</v>
      </c>
      <c r="F20" s="64" t="s">
        <v>267</v>
      </c>
      <c r="G20" s="64" t="s">
        <v>121</v>
      </c>
      <c r="H20" s="47" t="s">
        <v>158</v>
      </c>
      <c r="I20" s="47" t="s">
        <v>222</v>
      </c>
    </row>
    <row r="21" spans="1:9" ht="12.75">
      <c r="A21" s="17"/>
      <c r="B21" s="1" t="s">
        <v>198</v>
      </c>
      <c r="E21" s="6">
        <v>10300</v>
      </c>
      <c r="F21" s="6">
        <v>20</v>
      </c>
      <c r="G21" s="6">
        <f aca="true" t="shared" si="0" ref="G21:G27">E21/F21</f>
        <v>515</v>
      </c>
      <c r="H21" s="6">
        <f>(E21/2)*G13</f>
        <v>334.75</v>
      </c>
      <c r="I21" s="6">
        <f>(E21/2)*G14</f>
        <v>77.25</v>
      </c>
    </row>
    <row r="22" spans="1:9" ht="12.75">
      <c r="A22" s="17"/>
      <c r="B22" s="1" t="s">
        <v>269</v>
      </c>
      <c r="E22" s="6">
        <f>95*F11</f>
        <v>475</v>
      </c>
      <c r="F22" s="6">
        <v>10</v>
      </c>
      <c r="G22" s="6">
        <f t="shared" si="0"/>
        <v>47.5</v>
      </c>
      <c r="H22" s="6">
        <f>(E22/2)*G13</f>
        <v>15.4375</v>
      </c>
      <c r="I22" s="6">
        <f>(E22/2)*G14</f>
        <v>3.5625</v>
      </c>
    </row>
    <row r="23" spans="1:9" ht="12.75">
      <c r="A23" s="17"/>
      <c r="B23" s="1" t="s">
        <v>270</v>
      </c>
      <c r="E23" s="6">
        <f>IF(F11*2&lt;40,4*3*G15,IF(F11*2&lt;175,6*3*G15,IF(F11*2&lt;=600,8*3*G15,12*3*G15)))</f>
        <v>1440</v>
      </c>
      <c r="F23" s="6">
        <v>25</v>
      </c>
      <c r="G23" s="6">
        <f t="shared" si="0"/>
        <v>57.6</v>
      </c>
      <c r="H23" s="6">
        <f>(E23/2)*G13</f>
        <v>46.800000000000004</v>
      </c>
      <c r="I23" s="6">
        <f>(E23/2)*G14</f>
        <v>10.799999999999999</v>
      </c>
    </row>
    <row r="24" spans="1:9" ht="12.75">
      <c r="A24" s="17"/>
      <c r="B24" s="1" t="s">
        <v>271</v>
      </c>
      <c r="E24" s="6">
        <f>IF(G37=10,1800,IF(G37=20,3500,IF(G37=40,6000,11000)))</f>
        <v>11000</v>
      </c>
      <c r="F24" s="6">
        <v>15</v>
      </c>
      <c r="G24" s="6">
        <f t="shared" si="0"/>
        <v>733.3333333333334</v>
      </c>
      <c r="H24" s="6">
        <f>(E24/2)*G13</f>
        <v>357.5</v>
      </c>
      <c r="I24" s="6">
        <f>(E24/2)*G14</f>
        <v>82.5</v>
      </c>
    </row>
    <row r="25" spans="1:9" ht="12.75">
      <c r="A25" s="17"/>
      <c r="B25" s="1" t="s">
        <v>272</v>
      </c>
      <c r="E25" s="6">
        <f>26*F11</f>
        <v>130</v>
      </c>
      <c r="F25" s="6">
        <v>10</v>
      </c>
      <c r="G25" s="6">
        <f t="shared" si="0"/>
        <v>13</v>
      </c>
      <c r="H25" s="6">
        <f>(E25/2)*G13</f>
        <v>4.2250000000000005</v>
      </c>
      <c r="I25" s="6">
        <f>(E25/2)*G14</f>
        <v>0.975</v>
      </c>
    </row>
    <row r="26" spans="1:9" ht="12.75">
      <c r="A26" s="17"/>
      <c r="B26" s="1" t="s">
        <v>273</v>
      </c>
      <c r="E26" s="6">
        <f>SUM(E21:E25)*0.03</f>
        <v>700.35</v>
      </c>
      <c r="F26" s="6">
        <v>20</v>
      </c>
      <c r="G26" s="6">
        <f t="shared" si="0"/>
        <v>35.0175</v>
      </c>
      <c r="H26" s="6">
        <f>(E26/2)*G13</f>
        <v>22.761375</v>
      </c>
      <c r="I26" s="6">
        <f>(E26/2)*G14</f>
        <v>5.252625</v>
      </c>
    </row>
    <row r="27" spans="1:9" ht="12.75">
      <c r="A27" s="17"/>
      <c r="B27" s="1" t="s">
        <v>274</v>
      </c>
      <c r="E27" s="6">
        <v>40000</v>
      </c>
      <c r="F27" s="6">
        <v>20</v>
      </c>
      <c r="G27" s="6">
        <f t="shared" si="0"/>
        <v>2000</v>
      </c>
      <c r="H27" s="6">
        <f>(E27/2)*G13</f>
        <v>1300</v>
      </c>
      <c r="I27" s="6">
        <f>(E27/2)*G14</f>
        <v>300</v>
      </c>
    </row>
    <row r="28" spans="1:9" ht="13.5" thickBot="1">
      <c r="A28" s="17"/>
      <c r="B28" s="15" t="s">
        <v>244</v>
      </c>
      <c r="E28" s="81">
        <f>SUM(E21:E27)</f>
        <v>64045.35</v>
      </c>
      <c r="F28" s="84"/>
      <c r="G28" s="85">
        <f>SUM(G21:G27)</f>
        <v>3401.4508333333333</v>
      </c>
      <c r="H28" s="85">
        <f>SUM(H21:H27)</f>
        <v>2081.473875</v>
      </c>
      <c r="I28" s="85">
        <f>SUM(I21:I27)</f>
        <v>480.340125</v>
      </c>
    </row>
    <row r="29" spans="1:9" ht="13.5" thickTop="1">
      <c r="A29" s="17"/>
      <c r="E29" s="71"/>
      <c r="F29" s="71"/>
      <c r="G29" s="71"/>
      <c r="H29" s="71"/>
      <c r="I29" s="71"/>
    </row>
    <row r="30" spans="1:9" ht="13.5" thickBot="1">
      <c r="A30" s="17"/>
      <c r="B30" s="15" t="s">
        <v>234</v>
      </c>
      <c r="E30" s="7"/>
      <c r="F30" s="7"/>
      <c r="G30" s="7"/>
      <c r="H30" s="7"/>
      <c r="I30" s="81">
        <f>G28+H28+I28</f>
        <v>5963.264833333334</v>
      </c>
    </row>
    <row r="31" spans="1:9" ht="13.5" thickTop="1">
      <c r="A31" s="17"/>
      <c r="E31" s="7"/>
      <c r="F31" s="7"/>
      <c r="G31" s="7"/>
      <c r="H31" s="7"/>
      <c r="I31" s="71"/>
    </row>
    <row r="32" spans="1:9" ht="13.5" thickBot="1">
      <c r="A32" s="17"/>
      <c r="B32" s="15" t="s">
        <v>101</v>
      </c>
      <c r="E32" s="7"/>
      <c r="F32" s="7"/>
      <c r="G32" s="7"/>
      <c r="H32" s="7"/>
      <c r="I32" s="74">
        <f>I30/F11</f>
        <v>1192.6529666666668</v>
      </c>
    </row>
    <row r="33" spans="1:9" ht="13.5" thickTop="1">
      <c r="A33" s="17"/>
      <c r="E33" s="7"/>
      <c r="F33" s="7"/>
      <c r="G33" s="7"/>
      <c r="H33" s="7"/>
      <c r="I33" s="71"/>
    </row>
    <row r="34" spans="1:9" ht="12.75">
      <c r="A34" s="17"/>
      <c r="E34" s="7"/>
      <c r="F34" s="7"/>
      <c r="G34" s="7"/>
      <c r="H34" s="7"/>
      <c r="I34" s="7"/>
    </row>
    <row r="35" spans="1:9" ht="12.75">
      <c r="A35" s="17"/>
      <c r="B35" s="15" t="s">
        <v>187</v>
      </c>
      <c r="E35" s="7"/>
      <c r="F35" s="7"/>
      <c r="G35" s="7"/>
      <c r="H35" s="7"/>
      <c r="I35" s="7"/>
    </row>
    <row r="36" spans="1:9" ht="12.75">
      <c r="A36" s="17"/>
      <c r="E36" s="7"/>
      <c r="F36" s="7"/>
      <c r="G36" s="7"/>
      <c r="H36" s="7"/>
      <c r="I36" s="7"/>
    </row>
    <row r="37" spans="1:9" ht="12.75">
      <c r="A37" s="17"/>
      <c r="B37" s="1" t="s">
        <v>181</v>
      </c>
      <c r="E37" s="7"/>
      <c r="F37" s="7"/>
      <c r="G37" s="6">
        <v>7.5</v>
      </c>
      <c r="H37" s="7"/>
      <c r="I37" s="7"/>
    </row>
    <row r="38" spans="1:9" ht="12.75">
      <c r="A38" s="17"/>
      <c r="B38" s="1" t="s">
        <v>214</v>
      </c>
      <c r="E38" s="7"/>
      <c r="F38" s="7"/>
      <c r="G38" s="6">
        <f>(E28-E26-E27)*0.005+25+(E22*0.12)</f>
        <v>198.72500000000002</v>
      </c>
      <c r="H38" s="7"/>
      <c r="I38" s="7"/>
    </row>
    <row r="39" spans="1:9" ht="12.75">
      <c r="A39" s="17"/>
      <c r="B39" s="1" t="s">
        <v>102</v>
      </c>
      <c r="E39" s="7"/>
      <c r="F39" s="7"/>
      <c r="G39" s="6">
        <v>1820</v>
      </c>
      <c r="H39" s="7"/>
      <c r="I39" s="7"/>
    </row>
    <row r="40" spans="1:9" ht="12.75">
      <c r="A40" s="17"/>
      <c r="B40" s="1" t="s">
        <v>125</v>
      </c>
      <c r="E40" s="7"/>
      <c r="F40" s="7"/>
      <c r="G40" s="6"/>
      <c r="H40" s="7"/>
      <c r="I40" s="7"/>
    </row>
    <row r="41" spans="1:9" ht="12.75">
      <c r="A41" s="17"/>
      <c r="B41" s="1" t="s">
        <v>14</v>
      </c>
      <c r="E41" s="7"/>
      <c r="F41" s="7"/>
      <c r="G41" s="6">
        <f>G37*12</f>
        <v>90</v>
      </c>
      <c r="H41" s="7"/>
      <c r="I41" s="7"/>
    </row>
    <row r="42" spans="1:9" ht="12.75">
      <c r="A42" s="17"/>
      <c r="B42" s="1" t="s">
        <v>35</v>
      </c>
      <c r="E42" s="7"/>
      <c r="F42" s="7"/>
      <c r="G42" s="8">
        <v>0.08</v>
      </c>
      <c r="H42" s="7"/>
      <c r="I42" s="7"/>
    </row>
    <row r="43" spans="1:9" ht="12.75">
      <c r="A43" s="17"/>
      <c r="B43" s="1" t="s">
        <v>99</v>
      </c>
      <c r="E43" s="7"/>
      <c r="F43" s="7"/>
      <c r="G43" s="6">
        <f>(G37*0.746*G42*G39)+G41</f>
        <v>904.632</v>
      </c>
      <c r="H43" s="7"/>
      <c r="I43" s="7"/>
    </row>
    <row r="44" spans="1:9" ht="12.75">
      <c r="A44" s="17"/>
      <c r="B44" s="1" t="s">
        <v>100</v>
      </c>
      <c r="E44" s="7"/>
      <c r="F44" s="7"/>
      <c r="G44" s="7"/>
      <c r="H44" s="7"/>
      <c r="I44" s="8">
        <f>G43/F11</f>
        <v>180.9264</v>
      </c>
    </row>
    <row r="45" spans="1:9" ht="13.5" thickBot="1">
      <c r="A45" s="17"/>
      <c r="B45" s="15" t="s">
        <v>186</v>
      </c>
      <c r="E45" s="7"/>
      <c r="F45" s="7"/>
      <c r="G45" s="7"/>
      <c r="H45" s="7"/>
      <c r="I45" s="74">
        <f>(G38+G43)/F11</f>
        <v>220.6714</v>
      </c>
    </row>
    <row r="46" spans="1:9" ht="13.5" thickTop="1">
      <c r="A46" s="17"/>
      <c r="E46" s="7"/>
      <c r="F46" s="7"/>
      <c r="G46" s="7"/>
      <c r="H46" s="7"/>
      <c r="I46" s="71"/>
    </row>
    <row r="47" spans="1:9" ht="12.75">
      <c r="A47" s="17"/>
      <c r="E47" s="7"/>
      <c r="F47" s="7"/>
      <c r="G47" s="7"/>
      <c r="H47" s="7"/>
      <c r="I47" s="7"/>
    </row>
    <row r="48" spans="1:9" ht="13.5" thickBot="1">
      <c r="A48" s="17"/>
      <c r="B48" s="15" t="s">
        <v>233</v>
      </c>
      <c r="E48" s="7"/>
      <c r="F48" s="7"/>
      <c r="G48" s="7"/>
      <c r="H48" s="7"/>
      <c r="I48" s="74">
        <f>I32+I45</f>
        <v>1413.3243666666667</v>
      </c>
    </row>
    <row r="49" spans="1:9" ht="13.5" thickTop="1">
      <c r="A49" s="17"/>
      <c r="E49" s="7"/>
      <c r="F49" s="7"/>
      <c r="G49" s="7"/>
      <c r="H49" s="7"/>
      <c r="I49" s="71"/>
    </row>
    <row r="50" spans="1:9" ht="12.75">
      <c r="A50" s="17"/>
      <c r="E50" s="7"/>
      <c r="F50" s="7"/>
      <c r="G50" s="7"/>
      <c r="H50" s="7"/>
      <c r="I50" s="7"/>
    </row>
    <row r="51" spans="1:9" ht="12.75">
      <c r="A51" s="17"/>
      <c r="E51" s="7"/>
      <c r="F51" s="7"/>
      <c r="G51" s="7"/>
      <c r="H51" s="7"/>
      <c r="I51" s="7"/>
    </row>
    <row r="52" spans="1:10" ht="12.75">
      <c r="A52" s="17"/>
      <c r="B52" s="102"/>
      <c r="C52" s="102"/>
      <c r="D52" s="102"/>
      <c r="E52" s="102"/>
      <c r="F52" s="102"/>
      <c r="G52" s="102"/>
      <c r="H52" s="102"/>
      <c r="I52" s="102"/>
      <c r="J52" s="103"/>
    </row>
    <row r="53" spans="1:10" ht="12.75">
      <c r="A53" s="17"/>
      <c r="B53" s="123"/>
      <c r="C53" s="123"/>
      <c r="D53" s="123"/>
      <c r="E53" s="123"/>
      <c r="F53" s="123"/>
      <c r="G53" s="123"/>
      <c r="H53" s="123"/>
      <c r="I53" s="123"/>
      <c r="J53" s="123"/>
    </row>
    <row r="54" spans="1:10" ht="12.75">
      <c r="A54" s="17"/>
      <c r="B54" s="123"/>
      <c r="C54" s="123"/>
      <c r="D54" s="123"/>
      <c r="E54" s="123"/>
      <c r="F54" s="123"/>
      <c r="G54" s="123"/>
      <c r="H54" s="123"/>
      <c r="I54" s="123"/>
      <c r="J54" s="123"/>
    </row>
    <row r="55" spans="1:9" ht="12.75">
      <c r="A55" s="17"/>
      <c r="E55" s="7"/>
      <c r="F55" s="7"/>
      <c r="G55" s="7"/>
      <c r="H55" s="7"/>
      <c r="I55" s="7"/>
    </row>
    <row r="56" spans="1:9" ht="12.75">
      <c r="A56" s="17"/>
      <c r="E56" s="7"/>
      <c r="F56" s="7"/>
      <c r="G56" s="7"/>
      <c r="H56" s="7"/>
      <c r="I56" s="7"/>
    </row>
  </sheetData>
  <sheetProtection/>
  <mergeCells count="6">
    <mergeCell ref="C4:H4"/>
    <mergeCell ref="C6:H6"/>
    <mergeCell ref="C7:H7"/>
    <mergeCell ref="C9:H9"/>
    <mergeCell ref="B53:J53"/>
    <mergeCell ref="B54:J54"/>
  </mergeCells>
  <printOptions/>
  <pageMargins left="0.75" right="0.75" top="1" bottom="1" header="0.5" footer="0.5"/>
  <pageSetup horizontalDpi="600" verticalDpi="600" orientation="portrait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Fonsah</dc:creator>
  <cp:keywords/>
  <dc:description/>
  <cp:lastModifiedBy>Windows User</cp:lastModifiedBy>
  <cp:lastPrinted>2020-03-19T12:55:48Z</cp:lastPrinted>
  <dcterms:created xsi:type="dcterms:W3CDTF">2017-01-27T13:31:33Z</dcterms:created>
  <dcterms:modified xsi:type="dcterms:W3CDTF">2020-03-19T12:55:59Z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0x010100F8CF221911E6094A9806396E4589B962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