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ngxuan.Liu\Dropbox\UGA\Anukul Bhattarai\Irrigation Budgets\Budget\2020.09.16\"/>
    </mc:Choice>
  </mc:AlternateContent>
  <bookViews>
    <workbookView xWindow="0" yWindow="0" windowWidth="23040" windowHeight="9190"/>
  </bookViews>
  <sheets>
    <sheet name="8 Towers Electric" sheetId="1" r:id="rId1"/>
    <sheet name="Cost Factors" sheetId="3" r:id="rId2"/>
    <sheet name="Sheet2" sheetId="2" state="hidden" r:id="rId3"/>
    <sheet name="Sheet1" sheetId="4" state="hidden" r:id="rId4"/>
  </sheets>
  <externalReferences>
    <externalReference r:id="rId5"/>
    <externalReference r:id="rId6"/>
  </externalReferences>
  <definedNames>
    <definedName name="Crop">Sheet1!$A$1:$A$4</definedName>
    <definedName name="Irrigation">#REF!</definedName>
    <definedName name="_xlnm.Print_Area" localSheetId="0">'8 Towers Electric'!$B$1:$H$64</definedName>
    <definedName name="Sched">[1]Sheet2!$B$1:$B$3</definedName>
    <definedName name="Sched3">Sheet2!$B$1:$B$3</definedName>
    <definedName name="SMS">[2]Sheet2!$B$1:$B$3</definedName>
  </definedNames>
  <calcPr calcId="162913" concurrentManualCount="7"/>
</workbook>
</file>

<file path=xl/calcChain.xml><?xml version="1.0" encoding="utf-8"?>
<calcChain xmlns="http://schemas.openxmlformats.org/spreadsheetml/2006/main">
  <c r="D45" i="1" l="1"/>
  <c r="G9" i="1"/>
  <c r="F45" i="1" l="1"/>
  <c r="B21" i="1" l="1"/>
  <c r="B20" i="1"/>
  <c r="F20" i="1" l="1"/>
  <c r="B33" i="1" l="1"/>
  <c r="E21" i="1"/>
  <c r="D20" i="1"/>
  <c r="E20" i="1"/>
  <c r="G20" i="1" s="1"/>
  <c r="F21" i="1"/>
  <c r="C21" i="1"/>
  <c r="C20" i="1"/>
  <c r="D21" i="1"/>
  <c r="B30" i="1"/>
  <c r="G21" i="1" l="1"/>
  <c r="H21" i="1"/>
  <c r="H20" i="1"/>
  <c r="F33" i="1" l="1"/>
  <c r="E33" i="1"/>
  <c r="G45" i="1"/>
  <c r="H45" i="1" s="1"/>
  <c r="F41" i="1" l="1"/>
  <c r="G41" i="1" l="1"/>
  <c r="D44" i="1"/>
  <c r="F44" i="1" s="1"/>
  <c r="H41" i="1" l="1"/>
  <c r="G14" i="1"/>
  <c r="E15" i="1"/>
  <c r="G15" i="1" s="1"/>
  <c r="G16" i="1"/>
  <c r="H16" i="1" s="1"/>
  <c r="G17" i="1"/>
  <c r="G18" i="1"/>
  <c r="G19" i="1"/>
  <c r="B32" i="1"/>
  <c r="B28" i="1"/>
  <c r="B29" i="1"/>
  <c r="E27" i="1" l="1"/>
  <c r="D27" i="1"/>
  <c r="F27" i="1"/>
  <c r="F39" i="1"/>
  <c r="F46" i="1" s="1"/>
  <c r="F29" i="1"/>
  <c r="E29" i="1"/>
  <c r="D29" i="1"/>
  <c r="F30" i="1"/>
  <c r="E30" i="1"/>
  <c r="D30" i="1"/>
  <c r="F31" i="1"/>
  <c r="D31" i="1"/>
  <c r="E31" i="1"/>
  <c r="F28" i="1"/>
  <c r="D28" i="1"/>
  <c r="E28" i="1"/>
  <c r="D32" i="1"/>
  <c r="D33" i="1"/>
  <c r="G33" i="1" s="1"/>
  <c r="H33" i="1" s="1"/>
  <c r="E32" i="1"/>
  <c r="F32" i="1"/>
  <c r="G44" i="1"/>
  <c r="H17" i="1"/>
  <c r="H18" i="1"/>
  <c r="H14" i="1"/>
  <c r="H15" i="1"/>
  <c r="H19" i="1"/>
  <c r="G39" i="1" l="1"/>
  <c r="G28" i="1"/>
  <c r="H28" i="1" s="1"/>
  <c r="G31" i="1"/>
  <c r="H31" i="1" s="1"/>
  <c r="G29" i="1"/>
  <c r="H29" i="1" s="1"/>
  <c r="G27" i="1"/>
  <c r="H27" i="1" s="1"/>
  <c r="G30" i="1"/>
  <c r="H30" i="1" s="1"/>
  <c r="G32" i="1"/>
  <c r="H32" i="1" s="1"/>
  <c r="G22" i="1"/>
  <c r="H44" i="1"/>
  <c r="H22" i="1"/>
  <c r="H39" i="1" l="1"/>
  <c r="H46" i="1" s="1"/>
  <c r="G46" i="1"/>
  <c r="H34" i="1"/>
  <c r="G49" i="1" s="1"/>
  <c r="F50" i="1"/>
  <c r="G34" i="1" l="1"/>
  <c r="F49" i="1" s="1"/>
  <c r="F51" i="1" s="1"/>
  <c r="H50" i="1"/>
  <c r="G50" i="1"/>
  <c r="G51" i="1" s="1"/>
</calcChain>
</file>

<file path=xl/sharedStrings.xml><?xml version="1.0" encoding="utf-8"?>
<sst xmlns="http://schemas.openxmlformats.org/spreadsheetml/2006/main" count="75" uniqueCount="62">
  <si>
    <t>Total Operating Costs</t>
  </si>
  <si>
    <t>Cost Per Hour</t>
  </si>
  <si>
    <t>Hours</t>
  </si>
  <si>
    <t>Per Acre Inch</t>
  </si>
  <si>
    <t>Horse Power</t>
  </si>
  <si>
    <t>Operating Costs</t>
  </si>
  <si>
    <t>Total Ownership Costs</t>
  </si>
  <si>
    <t>Ownership Costs</t>
  </si>
  <si>
    <t>Well</t>
  </si>
  <si>
    <t>Power Unit</t>
  </si>
  <si>
    <t>Pump</t>
  </si>
  <si>
    <t xml:space="preserve">Installation </t>
  </si>
  <si>
    <t>Pivot System</t>
  </si>
  <si>
    <t>Pipe and Fittings</t>
  </si>
  <si>
    <t>Investment Cost</t>
  </si>
  <si>
    <t>Cost/Unit</t>
  </si>
  <si>
    <t>Quantity</t>
  </si>
  <si>
    <t>Investment Costs</t>
  </si>
  <si>
    <t>Acre Inch Applied (Inch)</t>
  </si>
  <si>
    <t>Hours for Full Circle (Hours)</t>
  </si>
  <si>
    <t>Acreage Covered (Acres)</t>
  </si>
  <si>
    <t>Cost Factor</t>
  </si>
  <si>
    <t>Salvage Value</t>
  </si>
  <si>
    <t>Useful Life</t>
  </si>
  <si>
    <t xml:space="preserve">Ownership Costs </t>
  </si>
  <si>
    <t>Per acre</t>
  </si>
  <si>
    <t xml:space="preserve">Investment Costs </t>
  </si>
  <si>
    <t>Per Acre</t>
  </si>
  <si>
    <t>Corn</t>
  </si>
  <si>
    <t>Cotton</t>
  </si>
  <si>
    <t>Crop Type</t>
  </si>
  <si>
    <t>Cost Per Acre Inch</t>
  </si>
  <si>
    <t>Annual Costs</t>
  </si>
  <si>
    <t>Peanut</t>
  </si>
  <si>
    <t>Checkbook</t>
  </si>
  <si>
    <t>SMS Plus</t>
  </si>
  <si>
    <t>App Based</t>
  </si>
  <si>
    <t>Base Station</t>
  </si>
  <si>
    <t>No. of Towers per Pivot</t>
  </si>
  <si>
    <t>Pipe and Fittings (Feet)</t>
  </si>
  <si>
    <t>Soil Moisture Sensors</t>
  </si>
  <si>
    <t>Total Investment Costs</t>
  </si>
  <si>
    <t>Georgia, 2020</t>
  </si>
  <si>
    <t xml:space="preserve"> Per Acre</t>
  </si>
  <si>
    <t>Cost Per Acre</t>
  </si>
  <si>
    <r>
      <t>Well</t>
    </r>
    <r>
      <rPr>
        <b/>
        <vertAlign val="superscript"/>
        <sz val="11"/>
        <color theme="1"/>
        <rFont val="Calibri"/>
        <family val="2"/>
        <scheme val="minor"/>
      </rPr>
      <t>2</t>
    </r>
  </si>
  <si>
    <r>
      <rPr>
        <vertAlign val="superscript"/>
        <sz val="9"/>
        <color theme="1"/>
        <rFont val="Calibri"/>
        <family val="2"/>
        <scheme val="minor"/>
      </rPr>
      <t>1</t>
    </r>
    <r>
      <rPr>
        <sz val="9"/>
        <color theme="1"/>
        <rFont val="Calibri"/>
        <family val="2"/>
        <scheme val="minor"/>
      </rPr>
      <t xml:space="preserve"> Three types of irrigation scheduling methods, including calendar-based checkbook method (Checkbook), soil moisture sensor-based method (SMS plus), and cellphone app-based method (App based). SMS plus method includes the cost of soil moisture sensors and a base station. The base station receives and analyzes the field data collected by soil moisture sensors. The acre inch of water applied depends upon the type of irrigation scheduling method used and the crop planted. </t>
    </r>
  </si>
  <si>
    <t>Developed by Anukul Bhattarai, Amanda Smith, Yangxuan Liu, Wesley Porter, Calvin Perry, and Cale Cloud. Funding support provided by the Georgia Cotton Commission. Thanks to County Extension Agents, UGA Cotton Team, UGA H2O Task Force, and industry representatives for providing data, input, and review/suggestions.</t>
  </si>
  <si>
    <t>Total Annual Costs</t>
  </si>
  <si>
    <r>
      <rPr>
        <vertAlign val="superscript"/>
        <sz val="9"/>
        <color theme="1"/>
        <rFont val="Calibri"/>
        <family val="2"/>
        <scheme val="minor"/>
      </rPr>
      <t>2</t>
    </r>
    <r>
      <rPr>
        <sz val="9"/>
        <color theme="1"/>
        <rFont val="Calibri"/>
        <family val="2"/>
        <scheme val="minor"/>
      </rPr>
      <t xml:space="preserve"> The cost of the well depends on the depth and size of the well. Certain regions in Georgia require deeper depth of the well to pump water from the Claiborne Aquifer (700 + feet) instead of the Floridan Aquifer (60-600 feet). The assumption in this budget for the well is an 12-inch 500 feet open hole well with 300 feet casing. The pumping capacity is 1000 gallons per min.</t>
    </r>
  </si>
  <si>
    <t>160 Acres Electric Powered Center Pivot Irrigation Budget</t>
  </si>
  <si>
    <t>Cost Per kWh</t>
  </si>
  <si>
    <t>Labor</t>
  </si>
  <si>
    <t>Management</t>
  </si>
  <si>
    <t>Pump (Electricity)</t>
  </si>
  <si>
    <t>Repairs and Maintenance</t>
  </si>
  <si>
    <t>Depreciation</t>
  </si>
  <si>
    <t>Intermediate Interest</t>
  </si>
  <si>
    <t>Tax &amp; Insurance</t>
  </si>
  <si>
    <t xml:space="preserve">A base station can control and process the soil moisture data from multiple pivots on a farm simulatenous. Thus, the investment cost for the base station is adjusted with the number of </t>
  </si>
  <si>
    <t xml:space="preserve">pivots on the farm. We assume that a farm has two 160 acres center pivots in our irrigation budgets. </t>
  </si>
  <si>
    <r>
      <t>Irrigation Scheduling Method</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</si>
</sst>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1"/>
      <color theme="1"/>
      <name val="Calibri"/>
      <family val="2"/>
      <scheme val="minor"/>
    </font>
    <font>
      <b/>
      <vertAlign val="superscript"/>
      <sz val="11"/>
      <color theme="1"/>
      <name val="Calibri"/>
      <family val="2"/>
      <scheme val="minor"/>
    </font>
    <font>
      <b/>
      <sz val="11"/>
      <color theme="3" tint="-0.249977111117893"/>
      <name val="Calibri"/>
      <family val="2"/>
      <scheme val="minor"/>
    </font>
    <font>
      <i/>
      <sz val="9"/>
      <color theme="1"/>
      <name val="Calibri"/>
      <family val="2"/>
      <scheme val="minor"/>
    </font>
    <font>
      <sz val="9"/>
      <color theme="1"/>
      <name val="Calibri"/>
      <family val="2"/>
      <scheme val="minor"/>
    </font>
    <font>
      <vertAlign val="superscript"/>
      <sz val="9"/>
      <color theme="1"/>
      <name val="Calibri"/>
      <family val="2"/>
      <scheme val="minor"/>
    </font>
  </fonts>
  <fills count="2">
    <fill>
      <patternFill patternType="none"/>
    </fill>
    <fill>
      <patternFill patternType="gray125"/>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s>
  <cellStyleXfs count="1">
    <xf numFmtId="0" fontId="0" fillId="0" borderId="0"/>
  </cellStyleXfs>
  <cellXfs count="108">
    <xf numFmtId="0" fontId="0" fillId="0" borderId="0" xfId="0"/>
    <xf numFmtId="164" fontId="0" fillId="0" borderId="0" xfId="0" applyNumberFormat="1" applyBorder="1" applyAlignment="1">
      <alignment horizontal="center"/>
    </xf>
    <xf numFmtId="0" fontId="2" fillId="0" borderId="0" xfId="0" applyFont="1" applyBorder="1" applyAlignment="1">
      <alignment horizontal="center"/>
    </xf>
    <xf numFmtId="0" fontId="1" fillId="0" borderId="0" xfId="0" applyFont="1"/>
    <xf numFmtId="0" fontId="0" fillId="0" borderId="0" xfId="0" applyBorder="1"/>
    <xf numFmtId="0" fontId="1" fillId="0" borderId="0" xfId="0" applyFont="1" applyFill="1" applyBorder="1"/>
    <xf numFmtId="0" fontId="0" fillId="0" borderId="0" xfId="0" applyNumberFormat="1" applyFont="1" applyBorder="1" applyAlignment="1">
      <alignment horizontal="center"/>
    </xf>
    <xf numFmtId="0" fontId="2" fillId="0" borderId="0" xfId="0" applyFont="1"/>
    <xf numFmtId="10" fontId="0" fillId="0" borderId="0" xfId="0" applyNumberFormat="1" applyAlignment="1">
      <alignment horizontal="center"/>
    </xf>
    <xf numFmtId="0" fontId="1" fillId="0" borderId="0" xfId="0" applyFont="1" applyAlignment="1">
      <alignment horizontal="center"/>
    </xf>
    <xf numFmtId="164" fontId="3" fillId="0" borderId="0" xfId="0" applyNumberFormat="1" applyFont="1" applyAlignment="1">
      <alignment horizontal="center"/>
    </xf>
    <xf numFmtId="0" fontId="1"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Font="1" applyBorder="1"/>
    <xf numFmtId="164" fontId="1" fillId="0" borderId="0" xfId="0" applyNumberFormat="1" applyFont="1" applyBorder="1" applyAlignment="1">
      <alignment horizontal="center"/>
    </xf>
    <xf numFmtId="0" fontId="3" fillId="0" borderId="0" xfId="0" applyFont="1" applyFill="1" applyBorder="1"/>
    <xf numFmtId="0" fontId="3" fillId="0" borderId="0" xfId="0" applyNumberFormat="1" applyFont="1" applyFill="1" applyBorder="1" applyAlignment="1">
      <alignment horizontal="center"/>
    </xf>
    <xf numFmtId="0" fontId="0" fillId="0" borderId="0" xfId="0" applyAlignment="1">
      <alignment vertical="center" wrapText="1"/>
    </xf>
    <xf numFmtId="0" fontId="1" fillId="0" borderId="0" xfId="0" applyFont="1" applyBorder="1"/>
    <xf numFmtId="0" fontId="0" fillId="0" borderId="0" xfId="0" applyFont="1"/>
    <xf numFmtId="0" fontId="6" fillId="0" borderId="0" xfId="0" applyFont="1" applyAlignment="1"/>
    <xf numFmtId="0" fontId="4" fillId="0" borderId="0" xfId="0" applyFont="1" applyBorder="1" applyAlignment="1"/>
    <xf numFmtId="0" fontId="4" fillId="0" borderId="0" xfId="0" applyFont="1" applyBorder="1"/>
    <xf numFmtId="0" fontId="0" fillId="0" borderId="0" xfId="0" applyFont="1" applyBorder="1"/>
    <xf numFmtId="0" fontId="0" fillId="0" borderId="4" xfId="0" applyFont="1" applyBorder="1"/>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0" fillId="0" borderId="8" xfId="0" applyFont="1" applyBorder="1"/>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6" xfId="0" applyFont="1" applyBorder="1"/>
    <xf numFmtId="0" fontId="0" fillId="0" borderId="0" xfId="0" applyFont="1" applyBorder="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Border="1" applyAlignment="1">
      <alignment horizontal="center"/>
    </xf>
    <xf numFmtId="164" fontId="0" fillId="0" borderId="7" xfId="0" applyNumberFormat="1" applyFont="1" applyBorder="1" applyAlignment="1">
      <alignment horizontal="center"/>
    </xf>
    <xf numFmtId="0" fontId="4" fillId="0" borderId="8" xfId="0" applyFont="1" applyBorder="1"/>
    <xf numFmtId="0" fontId="0" fillId="0" borderId="1" xfId="0" applyNumberFormat="1" applyFont="1" applyBorder="1" applyAlignment="1">
      <alignment horizontal="center"/>
    </xf>
    <xf numFmtId="0" fontId="4" fillId="0" borderId="10" xfId="0" applyFont="1" applyFill="1" applyBorder="1" applyAlignment="1"/>
    <xf numFmtId="0" fontId="4" fillId="0" borderId="2" xfId="0" applyFont="1" applyFill="1" applyBorder="1" applyAlignment="1"/>
    <xf numFmtId="0" fontId="4" fillId="0" borderId="2" xfId="0" applyFont="1" applyFill="1" applyBorder="1"/>
    <xf numFmtId="0" fontId="0" fillId="0" borderId="2" xfId="0" applyFont="1" applyBorder="1"/>
    <xf numFmtId="164" fontId="4" fillId="0" borderId="2" xfId="0" applyNumberFormat="1" applyFont="1" applyBorder="1" applyAlignment="1">
      <alignment horizontal="center"/>
    </xf>
    <xf numFmtId="164" fontId="4" fillId="0" borderId="11" xfId="0" applyNumberFormat="1" applyFont="1" applyBorder="1" applyAlignment="1">
      <alignment horizontal="center"/>
    </xf>
    <xf numFmtId="0" fontId="4" fillId="0" borderId="0" xfId="0" applyFont="1" applyFill="1" applyBorder="1"/>
    <xf numFmtId="0" fontId="4" fillId="0" borderId="1" xfId="0" applyFont="1" applyFill="1" applyBorder="1"/>
    <xf numFmtId="0" fontId="0" fillId="0" borderId="1" xfId="0" applyFont="1" applyBorder="1"/>
    <xf numFmtId="0" fontId="4" fillId="0" borderId="4" xfId="0" applyFont="1" applyFill="1" applyBorder="1"/>
    <xf numFmtId="0" fontId="0" fillId="0" borderId="3" xfId="0" applyFont="1" applyBorder="1"/>
    <xf numFmtId="0" fontId="4" fillId="0" borderId="3" xfId="0" applyFont="1" applyBorder="1" applyAlignment="1">
      <alignment horizontal="center"/>
    </xf>
    <xf numFmtId="0" fontId="4" fillId="0" borderId="3" xfId="0" applyNumberFormat="1" applyFont="1" applyFill="1" applyBorder="1" applyAlignment="1">
      <alignment horizontal="center"/>
    </xf>
    <xf numFmtId="0" fontId="4" fillId="0" borderId="5" xfId="0" applyFont="1" applyBorder="1" applyAlignment="1">
      <alignment horizontal="center"/>
    </xf>
    <xf numFmtId="0" fontId="4" fillId="0" borderId="8" xfId="0" applyFont="1" applyFill="1" applyBorder="1"/>
    <xf numFmtId="0" fontId="0" fillId="0" borderId="1" xfId="0" applyFont="1" applyBorder="1" applyAlignment="1">
      <alignment horizontal="center"/>
    </xf>
    <xf numFmtId="10" fontId="4" fillId="0" borderId="1" xfId="0" applyNumberFormat="1" applyFont="1" applyBorder="1" applyAlignment="1">
      <alignment horizontal="center"/>
    </xf>
    <xf numFmtId="0" fontId="4" fillId="0" borderId="1" xfId="0" applyNumberFormat="1" applyFont="1" applyBorder="1" applyAlignment="1">
      <alignment horizontal="center"/>
    </xf>
    <xf numFmtId="0" fontId="4" fillId="0" borderId="9" xfId="0" applyFont="1" applyBorder="1" applyAlignment="1">
      <alignment horizontal="center"/>
    </xf>
    <xf numFmtId="164" fontId="0" fillId="0" borderId="5" xfId="0" applyNumberFormat="1" applyFont="1" applyBorder="1" applyAlignment="1">
      <alignment horizontal="center"/>
    </xf>
    <xf numFmtId="0" fontId="4" fillId="0" borderId="6" xfId="0" applyFont="1" applyFill="1" applyBorder="1"/>
    <xf numFmtId="0" fontId="4" fillId="0" borderId="10" xfId="0" applyFont="1" applyFill="1" applyBorder="1" applyAlignment="1">
      <alignment horizontal="left"/>
    </xf>
    <xf numFmtId="0" fontId="4" fillId="0" borderId="2" xfId="0" applyFont="1" applyFill="1" applyBorder="1" applyAlignment="1">
      <alignment horizontal="center"/>
    </xf>
    <xf numFmtId="0" fontId="0" fillId="0" borderId="1" xfId="0" applyFont="1" applyFill="1" applyBorder="1"/>
    <xf numFmtId="0" fontId="0" fillId="0" borderId="0" xfId="0" applyFont="1" applyFill="1" applyBorder="1"/>
    <xf numFmtId="0" fontId="4" fillId="0" borderId="4" xfId="0" applyFont="1" applyBorder="1"/>
    <xf numFmtId="0" fontId="4" fillId="0" borderId="3" xfId="0" applyNumberFormat="1" applyFont="1" applyBorder="1" applyAlignment="1">
      <alignment horizontal="center"/>
    </xf>
    <xf numFmtId="0" fontId="4" fillId="0" borderId="5" xfId="0" applyNumberFormat="1" applyFont="1" applyBorder="1" applyAlignment="1">
      <alignment horizontal="center"/>
    </xf>
    <xf numFmtId="1" fontId="4" fillId="0" borderId="1" xfId="0" applyNumberFormat="1" applyFont="1" applyBorder="1" applyAlignment="1">
      <alignment horizontal="center"/>
    </xf>
    <xf numFmtId="164" fontId="4" fillId="0" borderId="1" xfId="0" applyNumberFormat="1" applyFont="1" applyBorder="1" applyAlignment="1">
      <alignment horizontal="center"/>
    </xf>
    <xf numFmtId="0" fontId="4" fillId="0" borderId="9" xfId="0" applyNumberFormat="1" applyFont="1" applyBorder="1" applyAlignment="1">
      <alignment horizontal="center"/>
    </xf>
    <xf numFmtId="2" fontId="0" fillId="0" borderId="1" xfId="0" applyNumberFormat="1" applyFont="1" applyBorder="1" applyAlignment="1">
      <alignment horizontal="center"/>
    </xf>
    <xf numFmtId="164" fontId="0" fillId="0" borderId="1" xfId="0" applyNumberFormat="1" applyFont="1" applyFill="1" applyBorder="1" applyAlignment="1">
      <alignment horizontal="center"/>
    </xf>
    <xf numFmtId="164" fontId="0" fillId="0" borderId="1" xfId="0" applyNumberFormat="1" applyFont="1" applyBorder="1" applyAlignment="1">
      <alignment horizontal="center"/>
    </xf>
    <xf numFmtId="0" fontId="4" fillId="0" borderId="10" xfId="0" applyFont="1" applyFill="1" applyBorder="1"/>
    <xf numFmtId="164" fontId="4" fillId="0" borderId="0" xfId="0" applyNumberFormat="1" applyFont="1" applyBorder="1" applyAlignment="1">
      <alignment horizontal="center"/>
    </xf>
    <xf numFmtId="0" fontId="0" fillId="0" borderId="10" xfId="0" applyFont="1" applyBorder="1"/>
    <xf numFmtId="0" fontId="4" fillId="0" borderId="2" xfId="0" applyFont="1" applyBorder="1" applyAlignment="1">
      <alignment horizontal="center" wrapText="1"/>
    </xf>
    <xf numFmtId="0" fontId="7" fillId="0" borderId="0" xfId="0" applyFont="1" applyBorder="1" applyAlignment="1">
      <alignment horizontal="left" vertical="top" wrapText="1"/>
    </xf>
    <xf numFmtId="2" fontId="0" fillId="0" borderId="0" xfId="0" applyNumberFormat="1"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wrapText="1"/>
    </xf>
    <xf numFmtId="0" fontId="4" fillId="0" borderId="10" xfId="0" applyFont="1" applyBorder="1"/>
    <xf numFmtId="164" fontId="0" fillId="0" borderId="11" xfId="0" applyNumberFormat="1" applyFont="1" applyBorder="1"/>
    <xf numFmtId="164" fontId="4" fillId="0" borderId="11" xfId="0" applyNumberFormat="1" applyFont="1" applyBorder="1"/>
    <xf numFmtId="0" fontId="0" fillId="0" borderId="11" xfId="0" applyFont="1" applyBorder="1"/>
    <xf numFmtId="0" fontId="4" fillId="0" borderId="0" xfId="0" applyFont="1" applyBorder="1" applyAlignment="1">
      <alignment horizontal="center"/>
    </xf>
    <xf numFmtId="0" fontId="4" fillId="0" borderId="0" xfId="0" applyNumberFormat="1" applyFont="1" applyBorder="1" applyAlignment="1">
      <alignment horizontal="center"/>
    </xf>
    <xf numFmtId="0" fontId="4" fillId="0" borderId="7" xfId="0" applyNumberFormat="1" applyFont="1" applyBorder="1" applyAlignment="1">
      <alignment horizontal="center"/>
    </xf>
    <xf numFmtId="1" fontId="4" fillId="0" borderId="0" xfId="0" applyNumberFormat="1" applyFont="1" applyBorder="1" applyAlignment="1">
      <alignment horizontal="center"/>
    </xf>
    <xf numFmtId="0" fontId="4" fillId="0" borderId="0" xfId="0" applyFont="1" applyAlignment="1">
      <alignment horizontal="center"/>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4" fillId="0" borderId="8"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left"/>
    </xf>
    <xf numFmtId="0" fontId="4" fillId="0" borderId="3" xfId="0" applyFont="1" applyBorder="1" applyAlignment="1">
      <alignment horizontal="left"/>
    </xf>
    <xf numFmtId="0" fontId="4" fillId="0" borderId="6" xfId="0" applyFont="1" applyBorder="1" applyAlignment="1">
      <alignment horizontal="left"/>
    </xf>
    <xf numFmtId="0" fontId="4" fillId="0" borderId="0" xfId="0" applyFont="1" applyBorder="1" applyAlignment="1">
      <alignment horizontal="left"/>
    </xf>
    <xf numFmtId="0" fontId="8" fillId="0" borderId="0" xfId="0" applyFont="1" applyAlignment="1">
      <alignment horizontal="left" vertical="center" wrapText="1"/>
    </xf>
    <xf numFmtId="0" fontId="8" fillId="0" borderId="0" xfId="0" applyFont="1" applyBorder="1" applyAlignment="1">
      <alignment horizontal="left" vertical="top" wrapText="1"/>
    </xf>
    <xf numFmtId="0" fontId="8" fillId="0" borderId="0" xfId="0" applyFont="1" applyAlignment="1">
      <alignment horizontal="left" vertical="center"/>
    </xf>
    <xf numFmtId="0" fontId="4" fillId="0" borderId="6" xfId="0" applyFont="1" applyBorder="1" applyAlignment="1"/>
    <xf numFmtId="0" fontId="4" fillId="0" borderId="0"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ngxuan.Liu/AppData/Local/Microsoft/Windows/INetCache/Content.Outlook/I6G90FHO/5%20Towers%20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ngxuan.Liu/Dropbox/UGA/Yangxuan%20Liu/Irrigation/Irrigation%20Budgets/Budget/2020.05.19/irrigation%20budget%20outline%20for%205%20towers%20diesel%20op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Electric"/>
      <sheetName val="Cost Factor for Electric"/>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Diesel"/>
      <sheetName val="Cost Factor for Diesel"/>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tabSelected="1" workbookViewId="0">
      <selection activeCell="B9" sqref="B9:F9"/>
    </sheetView>
  </sheetViews>
  <sheetFormatPr defaultRowHeight="14.5" x14ac:dyDescent="0.35"/>
  <cols>
    <col min="1" max="1" width="1.1796875" customWidth="1"/>
    <col min="2" max="2" width="29.08984375" customWidth="1"/>
    <col min="3" max="3" width="12.81640625" customWidth="1"/>
    <col min="4" max="4" width="14.81640625" customWidth="1"/>
    <col min="5" max="5" width="19.81640625" customWidth="1"/>
    <col min="6" max="6" width="17.453125" customWidth="1"/>
    <col min="7" max="7" width="17.81640625" customWidth="1"/>
    <col min="8" max="8" width="20.08984375" customWidth="1"/>
    <col min="9" max="9" width="28.453125" customWidth="1"/>
    <col min="10" max="10" width="15.6328125" customWidth="1"/>
    <col min="11" max="11" width="22.08984375" customWidth="1"/>
    <col min="12" max="12" width="12.6328125" customWidth="1"/>
  </cols>
  <sheetData>
    <row r="1" spans="2:12" x14ac:dyDescent="0.35">
      <c r="B1" s="88" t="s">
        <v>50</v>
      </c>
      <c r="C1" s="88"/>
      <c r="D1" s="88"/>
      <c r="E1" s="88"/>
      <c r="F1" s="88"/>
      <c r="G1" s="88"/>
      <c r="H1" s="88"/>
    </row>
    <row r="2" spans="2:12" x14ac:dyDescent="0.35">
      <c r="B2" s="88" t="s">
        <v>42</v>
      </c>
      <c r="C2" s="88"/>
      <c r="D2" s="88"/>
      <c r="E2" s="88"/>
      <c r="F2" s="88"/>
      <c r="G2" s="88"/>
      <c r="H2" s="88"/>
    </row>
    <row r="3" spans="2:12" ht="15" thickBot="1" x14ac:dyDescent="0.4">
      <c r="B3" s="19"/>
      <c r="C3" s="19"/>
      <c r="D3" s="19"/>
      <c r="E3" s="19"/>
      <c r="F3" s="19"/>
      <c r="G3" s="19"/>
      <c r="H3" s="19"/>
    </row>
    <row r="4" spans="2:12" ht="15.5" x14ac:dyDescent="0.35">
      <c r="B4" s="99" t="s">
        <v>38</v>
      </c>
      <c r="C4" s="100"/>
      <c r="D4" s="100"/>
      <c r="E4" s="100"/>
      <c r="F4" s="100"/>
      <c r="G4" s="93">
        <v>8</v>
      </c>
      <c r="H4" s="94"/>
      <c r="I4" s="7"/>
      <c r="J4" s="7"/>
    </row>
    <row r="5" spans="2:12" ht="15.5" x14ac:dyDescent="0.35">
      <c r="B5" s="101" t="s">
        <v>20</v>
      </c>
      <c r="C5" s="102"/>
      <c r="D5" s="102"/>
      <c r="E5" s="102"/>
      <c r="F5" s="102"/>
      <c r="G5" s="95">
        <v>160</v>
      </c>
      <c r="H5" s="96"/>
      <c r="I5" s="7"/>
      <c r="J5" s="7"/>
    </row>
    <row r="6" spans="2:12" ht="15.5" x14ac:dyDescent="0.35">
      <c r="B6" s="101" t="s">
        <v>19</v>
      </c>
      <c r="C6" s="102"/>
      <c r="D6" s="102"/>
      <c r="E6" s="102"/>
      <c r="F6" s="102"/>
      <c r="G6" s="95">
        <v>73</v>
      </c>
      <c r="H6" s="96"/>
      <c r="I6" s="7"/>
      <c r="J6" s="7"/>
    </row>
    <row r="7" spans="2:12" ht="15.5" x14ac:dyDescent="0.35">
      <c r="B7" s="106" t="s">
        <v>30</v>
      </c>
      <c r="C7" s="107"/>
      <c r="D7" s="107"/>
      <c r="E7" s="107"/>
      <c r="F7" s="107"/>
      <c r="G7" s="95" t="s">
        <v>28</v>
      </c>
      <c r="H7" s="96"/>
      <c r="I7" s="7"/>
      <c r="J7" s="7"/>
    </row>
    <row r="8" spans="2:12" ht="16.5" x14ac:dyDescent="0.35">
      <c r="B8" s="101" t="s">
        <v>61</v>
      </c>
      <c r="C8" s="102"/>
      <c r="D8" s="102"/>
      <c r="E8" s="102"/>
      <c r="F8" s="102"/>
      <c r="G8" s="95" t="s">
        <v>35</v>
      </c>
      <c r="H8" s="96"/>
      <c r="I8" s="7"/>
      <c r="J8" s="7"/>
    </row>
    <row r="9" spans="2:12" ht="16" thickBot="1" x14ac:dyDescent="0.4">
      <c r="B9" s="91" t="s">
        <v>18</v>
      </c>
      <c r="C9" s="92"/>
      <c r="D9" s="92"/>
      <c r="E9" s="92"/>
      <c r="F9" s="92"/>
      <c r="G9" s="97" t="str">
        <f>IF(G7="Corn",IF(G8="SMS Plus","10",IF(AND(G8="App Based"),"10","12")),IF(G7="Cotton",IF(G8="SMS Plus","4",IF(AND(G8="App Based"),"5","10")),IF(G7="Peanut",IF(G8="SMS Plus","6",IF(AND(G8="App Based"),"7","13")))))</f>
        <v>10</v>
      </c>
      <c r="H9" s="98"/>
      <c r="J9" s="7"/>
    </row>
    <row r="10" spans="2:12" x14ac:dyDescent="0.35">
      <c r="B10" s="20"/>
      <c r="C10" s="19"/>
      <c r="D10" s="19"/>
      <c r="E10" s="19"/>
      <c r="F10" s="19"/>
      <c r="G10" s="19"/>
      <c r="H10" s="19"/>
    </row>
    <row r="11" spans="2:12" ht="19" thickBot="1" x14ac:dyDescent="0.5">
      <c r="B11" s="21" t="s">
        <v>17</v>
      </c>
      <c r="C11" s="21"/>
      <c r="D11" s="21"/>
      <c r="E11" s="21"/>
      <c r="F11" s="22"/>
      <c r="G11" s="23"/>
      <c r="H11" s="23"/>
      <c r="I11" s="13"/>
      <c r="J11" s="13"/>
      <c r="K11" s="13"/>
      <c r="L11" s="4"/>
    </row>
    <row r="12" spans="2:12" ht="15.75" customHeight="1" x14ac:dyDescent="0.45">
      <c r="B12" s="24"/>
      <c r="C12" s="25" t="s">
        <v>23</v>
      </c>
      <c r="D12" s="25" t="s">
        <v>22</v>
      </c>
      <c r="E12" s="25" t="s">
        <v>16</v>
      </c>
      <c r="F12" s="25" t="s">
        <v>15</v>
      </c>
      <c r="G12" s="25" t="s">
        <v>14</v>
      </c>
      <c r="H12" s="26" t="s">
        <v>26</v>
      </c>
      <c r="I12" s="4"/>
      <c r="J12" s="11"/>
      <c r="K12" s="4"/>
      <c r="L12" s="2"/>
    </row>
    <row r="13" spans="2:12" ht="15.75" customHeight="1" thickBot="1" x14ac:dyDescent="0.5">
      <c r="B13" s="27"/>
      <c r="C13" s="28"/>
      <c r="D13" s="28"/>
      <c r="E13" s="28"/>
      <c r="F13" s="28"/>
      <c r="G13" s="28"/>
      <c r="H13" s="29" t="s">
        <v>27</v>
      </c>
      <c r="I13" s="4"/>
      <c r="J13" s="11"/>
      <c r="K13" s="4"/>
      <c r="L13" s="2"/>
    </row>
    <row r="14" spans="2:12" ht="18.5" x14ac:dyDescent="0.45">
      <c r="B14" s="30" t="s">
        <v>39</v>
      </c>
      <c r="C14" s="31">
        <v>20</v>
      </c>
      <c r="D14" s="31">
        <v>0</v>
      </c>
      <c r="E14" s="32">
        <v>500</v>
      </c>
      <c r="F14" s="33">
        <v>7.75</v>
      </c>
      <c r="G14" s="34">
        <f t="shared" ref="G14:G19" si="0">E14*F14</f>
        <v>3875</v>
      </c>
      <c r="H14" s="35">
        <f t="shared" ref="H14:H19" si="1">G14/$G$5</f>
        <v>24.21875</v>
      </c>
      <c r="J14" s="10"/>
      <c r="L14" s="6"/>
    </row>
    <row r="15" spans="2:12" ht="18.5" x14ac:dyDescent="0.45">
      <c r="B15" s="30" t="s">
        <v>12</v>
      </c>
      <c r="C15" s="6">
        <v>20</v>
      </c>
      <c r="D15" s="6">
        <v>0</v>
      </c>
      <c r="E15" s="31">
        <f>G4</f>
        <v>8</v>
      </c>
      <c r="F15" s="34">
        <v>12000</v>
      </c>
      <c r="G15" s="34">
        <f t="shared" si="0"/>
        <v>96000</v>
      </c>
      <c r="H15" s="35">
        <f t="shared" si="1"/>
        <v>600</v>
      </c>
      <c r="J15" s="10"/>
      <c r="L15" s="6"/>
    </row>
    <row r="16" spans="2:12" ht="18.5" x14ac:dyDescent="0.45">
      <c r="B16" s="30" t="s">
        <v>11</v>
      </c>
      <c r="C16" s="6"/>
      <c r="D16" s="6"/>
      <c r="E16" s="31">
        <v>1</v>
      </c>
      <c r="F16" s="34">
        <v>9500</v>
      </c>
      <c r="G16" s="34">
        <f t="shared" si="0"/>
        <v>9500</v>
      </c>
      <c r="H16" s="35">
        <f t="shared" si="1"/>
        <v>59.375</v>
      </c>
      <c r="J16" s="10"/>
      <c r="L16" s="6"/>
    </row>
    <row r="17" spans="2:12" ht="18.5" x14ac:dyDescent="0.45">
      <c r="B17" s="30" t="s">
        <v>10</v>
      </c>
      <c r="C17" s="6">
        <v>15</v>
      </c>
      <c r="D17" s="6">
        <v>0</v>
      </c>
      <c r="E17" s="31">
        <v>1</v>
      </c>
      <c r="F17" s="34">
        <v>33000</v>
      </c>
      <c r="G17" s="34">
        <f t="shared" si="0"/>
        <v>33000</v>
      </c>
      <c r="H17" s="35">
        <f t="shared" si="1"/>
        <v>206.25</v>
      </c>
      <c r="J17" s="10"/>
      <c r="L17" s="6"/>
    </row>
    <row r="18" spans="2:12" ht="18.5" x14ac:dyDescent="0.45">
      <c r="B18" s="30" t="s">
        <v>9</v>
      </c>
      <c r="C18" s="6">
        <v>15</v>
      </c>
      <c r="D18" s="6">
        <v>0</v>
      </c>
      <c r="E18" s="31">
        <v>1</v>
      </c>
      <c r="F18" s="34">
        <v>17000</v>
      </c>
      <c r="G18" s="34">
        <f t="shared" si="0"/>
        <v>17000</v>
      </c>
      <c r="H18" s="35">
        <f t="shared" si="1"/>
        <v>106.25</v>
      </c>
      <c r="J18" s="10"/>
      <c r="L18" s="6"/>
    </row>
    <row r="19" spans="2:12" ht="18.5" x14ac:dyDescent="0.45">
      <c r="B19" s="30" t="s">
        <v>45</v>
      </c>
      <c r="C19" s="6">
        <v>20</v>
      </c>
      <c r="D19" s="6">
        <v>0</v>
      </c>
      <c r="E19" s="31">
        <v>1</v>
      </c>
      <c r="F19" s="34">
        <v>53000</v>
      </c>
      <c r="G19" s="34">
        <f t="shared" si="0"/>
        <v>53000</v>
      </c>
      <c r="H19" s="35">
        <f t="shared" si="1"/>
        <v>331.25</v>
      </c>
      <c r="J19" s="10"/>
      <c r="L19" s="6"/>
    </row>
    <row r="20" spans="2:12" ht="18.5" x14ac:dyDescent="0.45">
      <c r="B20" s="30" t="str">
        <f>IF(G8="SMS Plus","Soil Moisture Sensors",IF(AND(G8="Checkbook"),"",""))</f>
        <v>Soil Moisture Sensors</v>
      </c>
      <c r="C20" s="6">
        <f>IF($B$20="Soil Moisture Sensors",(6)," ")</f>
        <v>6</v>
      </c>
      <c r="D20" s="6">
        <f>IF($B$20="Soil Moisture Sensors",(0)," ")</f>
        <v>0</v>
      </c>
      <c r="E20" s="6">
        <f>IF($B$20="Soil Moisture Sensors",(1)," ")</f>
        <v>1</v>
      </c>
      <c r="F20" s="34">
        <f>IF($B$20="Soil Moisture Sensors",600," ")</f>
        <v>600</v>
      </c>
      <c r="G20" s="34">
        <f>IF($B$20="Soil Moisture Sensors",(E20*F20),"")</f>
        <v>600</v>
      </c>
      <c r="H20" s="35">
        <f>IF($B$20="Soil Moisture Sensors",(G20/$G$5),"")</f>
        <v>3.75</v>
      </c>
      <c r="J20" s="12"/>
      <c r="L20" s="6"/>
    </row>
    <row r="21" spans="2:12" ht="19" thickBot="1" x14ac:dyDescent="0.5">
      <c r="B21" s="36" t="str">
        <f>IF(G8="SMS Plus","Base Station",IF(AND(G8="Checkbook"),"",""))</f>
        <v>Base Station</v>
      </c>
      <c r="C21" s="37">
        <f>IF($B$21="Base Station",(6)," ")</f>
        <v>6</v>
      </c>
      <c r="D21" s="37">
        <f>IF($B$21="Base Station",(0)," ")</f>
        <v>0</v>
      </c>
      <c r="E21" s="37">
        <f>IF($B$21="Base Station",(1)," ")</f>
        <v>1</v>
      </c>
      <c r="F21" s="34">
        <f>IF($B$21="Base Station",(2000)," ")</f>
        <v>2000</v>
      </c>
      <c r="G21" s="34">
        <f>IF($B$21="Base Station",(E21*F21/2),"")</f>
        <v>1000</v>
      </c>
      <c r="H21" s="35">
        <f>IF($B$21="Base Station",(G21/$G$5),"")</f>
        <v>6.25</v>
      </c>
      <c r="J21" s="12"/>
      <c r="L21" s="6"/>
    </row>
    <row r="22" spans="2:12" ht="19" thickBot="1" x14ac:dyDescent="0.5">
      <c r="B22" s="38" t="s">
        <v>41</v>
      </c>
      <c r="C22" s="39"/>
      <c r="D22" s="40"/>
      <c r="E22" s="41"/>
      <c r="F22" s="41"/>
      <c r="G22" s="42">
        <f>SUM(G14:G21)</f>
        <v>213975</v>
      </c>
      <c r="H22" s="43">
        <f>SUM(H14:H21)</f>
        <v>1337.34375</v>
      </c>
      <c r="J22" s="14"/>
    </row>
    <row r="23" spans="2:12" x14ac:dyDescent="0.35">
      <c r="B23" s="44"/>
      <c r="C23" s="44"/>
      <c r="D23" s="44"/>
      <c r="E23" s="23"/>
      <c r="F23" s="23"/>
      <c r="G23" s="23"/>
      <c r="H23" s="23"/>
      <c r="I23" s="1"/>
      <c r="J23" s="1"/>
    </row>
    <row r="24" spans="2:12" ht="19" thickBot="1" x14ac:dyDescent="0.5">
      <c r="B24" s="45" t="s">
        <v>7</v>
      </c>
      <c r="C24" s="45"/>
      <c r="D24" s="45"/>
      <c r="E24" s="46"/>
      <c r="F24" s="46"/>
      <c r="G24" s="46"/>
      <c r="H24" s="23"/>
      <c r="I24" s="12"/>
      <c r="J24" s="12"/>
    </row>
    <row r="25" spans="2:12" ht="16.5" x14ac:dyDescent="0.35">
      <c r="B25" s="47"/>
      <c r="C25" s="48"/>
      <c r="D25" s="49" t="s">
        <v>56</v>
      </c>
      <c r="E25" s="49" t="s">
        <v>57</v>
      </c>
      <c r="F25" s="49" t="s">
        <v>58</v>
      </c>
      <c r="G25" s="50" t="s">
        <v>7</v>
      </c>
      <c r="H25" s="51" t="s">
        <v>24</v>
      </c>
      <c r="I25" s="4"/>
      <c r="J25" s="4"/>
    </row>
    <row r="26" spans="2:12" ht="15" thickBot="1" x14ac:dyDescent="0.4">
      <c r="B26" s="52"/>
      <c r="C26" s="46"/>
      <c r="D26" s="53"/>
      <c r="E26" s="54">
        <v>0.08</v>
      </c>
      <c r="F26" s="54">
        <v>2.5000000000000001E-2</v>
      </c>
      <c r="G26" s="55"/>
      <c r="H26" s="56" t="s">
        <v>25</v>
      </c>
      <c r="I26" s="4"/>
      <c r="J26" s="4"/>
    </row>
    <row r="27" spans="2:12" x14ac:dyDescent="0.35">
      <c r="B27" s="30" t="s">
        <v>13</v>
      </c>
      <c r="C27" s="23"/>
      <c r="D27" s="34">
        <f>(G14-D14)/C14</f>
        <v>193.75</v>
      </c>
      <c r="E27" s="34">
        <f>(((G14+D14)/2))*$E$26</f>
        <v>155</v>
      </c>
      <c r="F27" s="34">
        <f>(((G14+D14)/2))*$F$26</f>
        <v>48.4375</v>
      </c>
      <c r="G27" s="34">
        <f>SUM(D27:F27)</f>
        <v>397.1875</v>
      </c>
      <c r="H27" s="57">
        <f t="shared" ref="H27:H31" si="2">G27/$G$5</f>
        <v>2.482421875</v>
      </c>
      <c r="I27" s="4"/>
      <c r="J27" s="4"/>
    </row>
    <row r="28" spans="2:12" x14ac:dyDescent="0.35">
      <c r="B28" s="58" t="str">
        <f>B15</f>
        <v>Pivot System</v>
      </c>
      <c r="C28" s="23"/>
      <c r="D28" s="34">
        <f>(G15-D15)/C15</f>
        <v>4800</v>
      </c>
      <c r="E28" s="34">
        <f>(((G15+D15)/2))*$E$26</f>
        <v>3840</v>
      </c>
      <c r="F28" s="34">
        <f>(((G15+D15)/2))*$F$26</f>
        <v>1200</v>
      </c>
      <c r="G28" s="34">
        <f t="shared" ref="G28:G30" si="3">SUM(D28:F28)</f>
        <v>9840</v>
      </c>
      <c r="H28" s="35">
        <f t="shared" si="2"/>
        <v>61.5</v>
      </c>
      <c r="I28" s="4"/>
      <c r="J28" s="4"/>
      <c r="K28" s="4"/>
      <c r="L28" s="4"/>
    </row>
    <row r="29" spans="2:12" x14ac:dyDescent="0.35">
      <c r="B29" s="58" t="str">
        <f>B17</f>
        <v>Pump</v>
      </c>
      <c r="C29" s="23"/>
      <c r="D29" s="34">
        <f>(G17-D17)/C17</f>
        <v>2200</v>
      </c>
      <c r="E29" s="34">
        <f>((G17+D17)/2)*$E$26</f>
        <v>1320</v>
      </c>
      <c r="F29" s="34">
        <f>(((G17+D17)/2))*$F$26</f>
        <v>412.5</v>
      </c>
      <c r="G29" s="34">
        <f t="shared" si="3"/>
        <v>3932.5</v>
      </c>
      <c r="H29" s="35">
        <f t="shared" si="2"/>
        <v>24.578125</v>
      </c>
      <c r="I29" s="4"/>
      <c r="J29" s="4"/>
      <c r="K29" s="4"/>
      <c r="L29" s="4"/>
    </row>
    <row r="30" spans="2:12" x14ac:dyDescent="0.35">
      <c r="B30" s="58" t="str">
        <f>B18</f>
        <v>Power Unit</v>
      </c>
      <c r="C30" s="23"/>
      <c r="D30" s="34">
        <f>(G18-D18)/C18</f>
        <v>1133.3333333333333</v>
      </c>
      <c r="E30" s="34">
        <f>((G18+D18)/2)*$E$26</f>
        <v>680</v>
      </c>
      <c r="F30" s="34">
        <f>(((G18+D18)/2))*$F$26</f>
        <v>212.5</v>
      </c>
      <c r="G30" s="34">
        <f t="shared" si="3"/>
        <v>2025.8333333333333</v>
      </c>
      <c r="H30" s="35">
        <f t="shared" si="2"/>
        <v>12.661458333333332</v>
      </c>
      <c r="I30" s="4"/>
      <c r="J30" s="4"/>
      <c r="K30" s="4"/>
      <c r="L30" s="4"/>
    </row>
    <row r="31" spans="2:12" x14ac:dyDescent="0.35">
      <c r="B31" s="58" t="s">
        <v>8</v>
      </c>
      <c r="C31" s="23"/>
      <c r="D31" s="34">
        <f t="shared" ref="D31" si="4">(G19-D19)/C19</f>
        <v>2650</v>
      </c>
      <c r="E31" s="34">
        <f>((G19+D19)/2)*$E$26</f>
        <v>2120</v>
      </c>
      <c r="F31" s="34">
        <f>(((G19+D19)/2))*$F$26</f>
        <v>662.5</v>
      </c>
      <c r="G31" s="34">
        <f>SUM(D31:F31)</f>
        <v>5432.5</v>
      </c>
      <c r="H31" s="35">
        <f t="shared" si="2"/>
        <v>33.953125</v>
      </c>
      <c r="I31" s="4"/>
      <c r="J31" s="4"/>
      <c r="K31" s="4"/>
      <c r="L31" s="4"/>
    </row>
    <row r="32" spans="2:12" x14ac:dyDescent="0.35">
      <c r="B32" s="58" t="str">
        <f>B20</f>
        <v>Soil Moisture Sensors</v>
      </c>
      <c r="C32" s="23"/>
      <c r="D32" s="34">
        <f>IF($B$32="Soil Moisture Sensors",((G20-D20)/C20)," ")</f>
        <v>100</v>
      </c>
      <c r="E32" s="34">
        <f>IF($B$32="Soil Moisture Sensors",((G20+D20)/2)*$E$26," ")</f>
        <v>24</v>
      </c>
      <c r="F32" s="34">
        <f>IF($B$32="Soil Moisture Sensors",(((G20+D20)/2))*$F$26," ")</f>
        <v>7.5</v>
      </c>
      <c r="G32" s="34">
        <f>IF($B$20="Soil Moisture Sensors",SUM(D32:F32)," ")</f>
        <v>131.5</v>
      </c>
      <c r="H32" s="35">
        <f>IF($B$20="Soil Moisture Sensors",G32/$G$5," ")</f>
        <v>0.82187500000000002</v>
      </c>
      <c r="I32" s="4"/>
      <c r="J32" s="4"/>
      <c r="K32" s="4"/>
      <c r="L32" s="4"/>
    </row>
    <row r="33" spans="2:12" ht="15" thickBot="1" x14ac:dyDescent="0.4">
      <c r="B33" s="52" t="str">
        <f>B21</f>
        <v>Base Station</v>
      </c>
      <c r="C33" s="46"/>
      <c r="D33" s="34">
        <f>IF($B$32="Soil Moisture Sensors",((G21-D21)/C21)," ")</f>
        <v>166.66666666666666</v>
      </c>
      <c r="E33" s="34">
        <f>IF($B$33="Base Station",((G21+D21)/2)*$E$26," ")</f>
        <v>40</v>
      </c>
      <c r="F33" s="34">
        <f>IF($B$33="Base Station",(((G21+D21)/2))*$F$26," ")</f>
        <v>12.5</v>
      </c>
      <c r="G33" s="34">
        <f>IF($B$33="Base Station",SUM(D33:F33)," ")</f>
        <v>219.16666666666666</v>
      </c>
      <c r="H33" s="35">
        <f>IF($B$33="Base Station",G33/$G$5," ")</f>
        <v>1.3697916666666665</v>
      </c>
      <c r="I33" s="4"/>
      <c r="J33" s="4"/>
      <c r="K33" s="4"/>
      <c r="L33" s="4"/>
    </row>
    <row r="34" spans="2:12" ht="15" thickBot="1" x14ac:dyDescent="0.4">
      <c r="B34" s="59" t="s">
        <v>6</v>
      </c>
      <c r="C34" s="41"/>
      <c r="D34" s="41"/>
      <c r="E34" s="41"/>
      <c r="F34" s="60"/>
      <c r="G34" s="42">
        <f>SUM(G27:G33)</f>
        <v>21978.687500000004</v>
      </c>
      <c r="H34" s="43">
        <f>SUM(H27:H33)</f>
        <v>137.36679687499998</v>
      </c>
      <c r="I34" s="4"/>
      <c r="J34" s="4"/>
      <c r="K34" s="4"/>
      <c r="L34" s="4"/>
    </row>
    <row r="35" spans="2:12" ht="18.5" x14ac:dyDescent="0.45">
      <c r="B35" s="44"/>
      <c r="C35" s="44"/>
      <c r="D35" s="44"/>
      <c r="E35" s="23"/>
      <c r="F35" s="23"/>
      <c r="G35" s="23"/>
      <c r="H35" s="23"/>
      <c r="I35" s="12"/>
      <c r="J35" s="12"/>
      <c r="K35" s="12"/>
      <c r="L35" s="12"/>
    </row>
    <row r="36" spans="2:12" ht="19" thickBot="1" x14ac:dyDescent="0.5">
      <c r="B36" s="45" t="s">
        <v>5</v>
      </c>
      <c r="C36" s="45"/>
      <c r="D36" s="45"/>
      <c r="E36" s="61"/>
      <c r="F36" s="61"/>
      <c r="G36" s="61"/>
      <c r="H36" s="62"/>
      <c r="I36" s="15"/>
      <c r="J36" s="15"/>
      <c r="K36" s="15"/>
      <c r="L36" s="16"/>
    </row>
    <row r="37" spans="2:12" x14ac:dyDescent="0.35">
      <c r="B37" s="63"/>
      <c r="C37" s="48"/>
      <c r="F37" s="64" t="s">
        <v>5</v>
      </c>
      <c r="G37" s="64" t="s">
        <v>5</v>
      </c>
      <c r="H37" s="65" t="s">
        <v>5</v>
      </c>
      <c r="I37" s="4"/>
      <c r="J37" s="4"/>
      <c r="K37" s="4"/>
      <c r="L37" s="4"/>
    </row>
    <row r="38" spans="2:12" ht="15" thickBot="1" x14ac:dyDescent="0.4">
      <c r="B38" s="36"/>
      <c r="C38" s="46"/>
      <c r="D38" s="66"/>
      <c r="E38" s="67"/>
      <c r="F38" s="67"/>
      <c r="G38" s="55" t="s">
        <v>43</v>
      </c>
      <c r="H38" s="68" t="s">
        <v>3</v>
      </c>
    </row>
    <row r="39" spans="2:12" ht="16.5" x14ac:dyDescent="0.35">
      <c r="B39" s="30" t="s">
        <v>55</v>
      </c>
      <c r="C39" s="23"/>
      <c r="D39" s="23"/>
      <c r="E39" s="34"/>
      <c r="F39" s="34">
        <f>IF(G8="SMS Plus", G14*'Cost Factors'!C3+G15*'Cost Factors'!C4+G17*'Cost Factors'!C5+G18*'Cost Factors'!C6+G19*'Cost Factors'!C7+G20*'Cost Factors'!C8+G21*'Cost Factors'!C9, G14*'Cost Factors'!C3+G15*'Cost Factors'!C4+G17*'Cost Factors'!C5+G18*'Cost Factors'!C6+G19*'Cost Factors'!C7)</f>
        <v>1225</v>
      </c>
      <c r="G39" s="34">
        <f>F39/$G$5</f>
        <v>7.65625</v>
      </c>
      <c r="H39" s="35">
        <f>G39/$G$9</f>
        <v>0.765625</v>
      </c>
    </row>
    <row r="40" spans="2:12" x14ac:dyDescent="0.35">
      <c r="B40" s="30"/>
      <c r="C40" s="23"/>
      <c r="D40" s="87" t="s">
        <v>4</v>
      </c>
      <c r="E40" s="73" t="s">
        <v>51</v>
      </c>
      <c r="F40" s="73"/>
      <c r="G40" s="85"/>
      <c r="H40" s="86"/>
    </row>
    <row r="41" spans="2:12" x14ac:dyDescent="0.35">
      <c r="B41" s="30" t="s">
        <v>54</v>
      </c>
      <c r="C41" s="23"/>
      <c r="D41" s="31">
        <v>60</v>
      </c>
      <c r="E41" s="33">
        <v>0.1326</v>
      </c>
      <c r="F41" s="34">
        <f>D41*E41*$G$6*$G$9*0.746</f>
        <v>4332.6784800000005</v>
      </c>
      <c r="G41" s="34">
        <f>F41/$G$5</f>
        <v>27.079240500000004</v>
      </c>
      <c r="H41" s="35">
        <f>G41/$G$9</f>
        <v>2.7079240500000004</v>
      </c>
    </row>
    <row r="42" spans="2:12" x14ac:dyDescent="0.35">
      <c r="B42" s="30"/>
      <c r="C42" s="23"/>
      <c r="D42" s="31"/>
      <c r="E42" s="33"/>
      <c r="F42" s="34"/>
      <c r="G42" s="34"/>
      <c r="H42" s="35"/>
    </row>
    <row r="43" spans="2:12" x14ac:dyDescent="0.35">
      <c r="B43" s="30"/>
      <c r="C43" s="23"/>
      <c r="D43" s="84" t="s">
        <v>2</v>
      </c>
      <c r="E43" s="84" t="s">
        <v>1</v>
      </c>
      <c r="F43" s="34"/>
      <c r="G43" s="34"/>
      <c r="H43" s="35"/>
    </row>
    <row r="44" spans="2:12" x14ac:dyDescent="0.35">
      <c r="B44" s="30" t="s">
        <v>52</v>
      </c>
      <c r="C44" s="23"/>
      <c r="D44" s="77">
        <f>17/60</f>
        <v>0.28333333333333333</v>
      </c>
      <c r="E44" s="33">
        <v>13.25</v>
      </c>
      <c r="F44" s="34">
        <f>D44*E44*$G$5*$G$9</f>
        <v>6006.6666666666661</v>
      </c>
      <c r="G44" s="34">
        <f>F44/$G$5</f>
        <v>37.541666666666664</v>
      </c>
      <c r="H44" s="35">
        <f>G44/$G$9</f>
        <v>3.7541666666666664</v>
      </c>
    </row>
    <row r="45" spans="2:12" ht="15" thickBot="1" x14ac:dyDescent="0.4">
      <c r="B45" s="36" t="s">
        <v>53</v>
      </c>
      <c r="C45" s="46"/>
      <c r="D45" s="69">
        <f>IF(G8="SMS Plus",IF(AND(G7="Cotton"),(18.75),IF(AND(G7="Peanut"),(17.5),IF(AND(G7="Corn"),(15)))),IF(AND(G8="Checkbook"),IF(AND(G7="Cotton"),(12.5),IF(AND(G7="Peanut"),(11.67),IF(AND(G7="Corn"),(10)))),IF(AND(G8="App Based"),IF(AND(G7="Cotton"),(12.5),IF(AND(G7="Peanut"),(11.67),IF(AND(G7="Corn"),(10)))))))</f>
        <v>15</v>
      </c>
      <c r="E45" s="70">
        <v>34.21</v>
      </c>
      <c r="F45" s="71">
        <f>D45*E45</f>
        <v>513.15</v>
      </c>
      <c r="G45" s="71">
        <f>F45/$G$5</f>
        <v>3.2071874999999999</v>
      </c>
      <c r="H45" s="35">
        <f>G45/$G$9</f>
        <v>0.32071875</v>
      </c>
    </row>
    <row r="46" spans="2:12" ht="15" thickBot="1" x14ac:dyDescent="0.4">
      <c r="B46" s="72" t="s">
        <v>0</v>
      </c>
      <c r="C46" s="41"/>
      <c r="D46" s="41"/>
      <c r="E46" s="41"/>
      <c r="F46" s="42">
        <f>SUM(F39:F45)</f>
        <v>12077.495146666666</v>
      </c>
      <c r="G46" s="42">
        <f>SUM(G39:G45)</f>
        <v>75.484344666666672</v>
      </c>
      <c r="H46" s="43">
        <f>SUM(H39:H45)</f>
        <v>7.5484344666666674</v>
      </c>
    </row>
    <row r="47" spans="2:12" ht="15" thickBot="1" x14ac:dyDescent="0.4">
      <c r="B47" s="44"/>
      <c r="C47" s="23"/>
      <c r="D47" s="23"/>
      <c r="E47" s="23"/>
      <c r="F47" s="73"/>
      <c r="G47" s="73"/>
      <c r="H47" s="73"/>
    </row>
    <row r="48" spans="2:12" ht="15" thickBot="1" x14ac:dyDescent="0.4">
      <c r="B48" s="74"/>
      <c r="C48" s="41"/>
      <c r="D48" s="41"/>
      <c r="E48" s="41"/>
      <c r="F48" s="78" t="s">
        <v>32</v>
      </c>
      <c r="G48" s="75" t="s">
        <v>44</v>
      </c>
      <c r="H48" s="79" t="s">
        <v>31</v>
      </c>
    </row>
    <row r="49" spans="2:12" ht="15" thickBot="1" x14ac:dyDescent="0.4">
      <c r="B49" s="80" t="s">
        <v>6</v>
      </c>
      <c r="C49" s="41"/>
      <c r="D49" s="41"/>
      <c r="E49" s="41"/>
      <c r="F49" s="42">
        <f>G34</f>
        <v>21978.687500000004</v>
      </c>
      <c r="G49" s="42">
        <f>H34</f>
        <v>137.36679687499998</v>
      </c>
      <c r="H49" s="81"/>
    </row>
    <row r="50" spans="2:12" ht="15" thickBot="1" x14ac:dyDescent="0.4">
      <c r="B50" s="80" t="s">
        <v>0</v>
      </c>
      <c r="C50" s="41"/>
      <c r="D50" s="41"/>
      <c r="E50" s="41"/>
      <c r="F50" s="42">
        <f>F46</f>
        <v>12077.495146666666</v>
      </c>
      <c r="G50" s="42">
        <f>G46</f>
        <v>75.484344666666672</v>
      </c>
      <c r="H50" s="82">
        <f>H46</f>
        <v>7.5484344666666674</v>
      </c>
    </row>
    <row r="51" spans="2:12" ht="15" thickBot="1" x14ac:dyDescent="0.4">
      <c r="B51" s="72" t="s">
        <v>48</v>
      </c>
      <c r="C51" s="41"/>
      <c r="D51" s="41"/>
      <c r="E51" s="41"/>
      <c r="F51" s="42">
        <f>SUM(F49:F50)</f>
        <v>34056.182646666668</v>
      </c>
      <c r="G51" s="42">
        <f>SUM(G49:G50)</f>
        <v>212.85114154166666</v>
      </c>
      <c r="H51" s="83"/>
    </row>
    <row r="53" spans="2:12" ht="14.5" customHeight="1" x14ac:dyDescent="0.35">
      <c r="B53" s="89" t="s">
        <v>47</v>
      </c>
      <c r="C53" s="89"/>
      <c r="D53" s="89"/>
      <c r="E53" s="89"/>
      <c r="F53" s="89"/>
      <c r="G53" s="89"/>
      <c r="H53" s="89"/>
    </row>
    <row r="54" spans="2:12" x14ac:dyDescent="0.35">
      <c r="B54" s="90"/>
      <c r="C54" s="90"/>
      <c r="D54" s="90"/>
      <c r="E54" s="90"/>
      <c r="F54" s="90"/>
      <c r="G54" s="90"/>
      <c r="H54" s="90"/>
    </row>
    <row r="55" spans="2:12" x14ac:dyDescent="0.35">
      <c r="B55" s="76"/>
      <c r="C55" s="76"/>
      <c r="D55" s="76"/>
      <c r="E55" s="76"/>
      <c r="F55" s="76"/>
      <c r="G55" s="76"/>
      <c r="H55" s="76"/>
    </row>
    <row r="56" spans="2:12" x14ac:dyDescent="0.35">
      <c r="B56" s="104" t="s">
        <v>46</v>
      </c>
      <c r="C56" s="104"/>
      <c r="D56" s="104"/>
      <c r="E56" s="104"/>
      <c r="F56" s="104"/>
      <c r="G56" s="104"/>
      <c r="H56" s="104"/>
    </row>
    <row r="57" spans="2:12" x14ac:dyDescent="0.35">
      <c r="B57" s="104"/>
      <c r="C57" s="104"/>
      <c r="D57" s="104"/>
      <c r="E57" s="104"/>
      <c r="F57" s="104"/>
      <c r="G57" s="104"/>
      <c r="H57" s="104"/>
    </row>
    <row r="58" spans="2:12" ht="9" customHeight="1" x14ac:dyDescent="0.35">
      <c r="B58" s="104"/>
      <c r="C58" s="104"/>
      <c r="D58" s="104"/>
      <c r="E58" s="104"/>
      <c r="F58" s="104"/>
      <c r="G58" s="104"/>
      <c r="H58" s="104"/>
    </row>
    <row r="59" spans="2:12" ht="14.5" customHeight="1" x14ac:dyDescent="0.35">
      <c r="B59" s="104" t="s">
        <v>49</v>
      </c>
      <c r="C59" s="104"/>
      <c r="D59" s="104"/>
      <c r="E59" s="104"/>
      <c r="F59" s="104"/>
      <c r="G59" s="104"/>
      <c r="H59" s="104"/>
    </row>
    <row r="60" spans="2:12" x14ac:dyDescent="0.35">
      <c r="B60" s="104"/>
      <c r="C60" s="104"/>
      <c r="D60" s="104"/>
      <c r="E60" s="104"/>
      <c r="F60" s="104"/>
      <c r="G60" s="104"/>
      <c r="H60" s="104"/>
    </row>
    <row r="61" spans="2:12" x14ac:dyDescent="0.35">
      <c r="B61" s="103" t="s">
        <v>59</v>
      </c>
      <c r="C61" s="103"/>
      <c r="D61" s="103"/>
      <c r="E61" s="103"/>
      <c r="F61" s="103"/>
      <c r="G61" s="103"/>
      <c r="H61" s="103"/>
      <c r="I61" s="17"/>
      <c r="J61" s="17"/>
      <c r="K61" s="17"/>
      <c r="L61" s="17"/>
    </row>
    <row r="62" spans="2:12" x14ac:dyDescent="0.35">
      <c r="B62" s="105" t="s">
        <v>60</v>
      </c>
      <c r="C62" s="105"/>
      <c r="D62" s="105"/>
      <c r="E62" s="105"/>
      <c r="F62" s="105"/>
      <c r="G62" s="105"/>
      <c r="H62" s="105"/>
    </row>
    <row r="63" spans="2:12" x14ac:dyDescent="0.35">
      <c r="B63" s="105"/>
      <c r="C63" s="105"/>
      <c r="D63" s="105"/>
      <c r="E63" s="105"/>
      <c r="F63" s="105"/>
      <c r="G63" s="105"/>
      <c r="H63" s="105"/>
    </row>
    <row r="64" spans="2:12" x14ac:dyDescent="0.35">
      <c r="B64" s="103"/>
      <c r="C64" s="103"/>
      <c r="D64" s="103"/>
      <c r="E64" s="103"/>
      <c r="F64" s="103"/>
      <c r="G64" s="103"/>
      <c r="H64" s="103"/>
      <c r="I64" s="17"/>
      <c r="J64" s="17"/>
      <c r="K64" s="17"/>
      <c r="L64" s="17"/>
    </row>
  </sheetData>
  <mergeCells count="21">
    <mergeCell ref="B64:H64"/>
    <mergeCell ref="B59:H60"/>
    <mergeCell ref="B6:F6"/>
    <mergeCell ref="B8:F8"/>
    <mergeCell ref="B61:H61"/>
    <mergeCell ref="B62:H62"/>
    <mergeCell ref="B63:H63"/>
    <mergeCell ref="B7:F7"/>
    <mergeCell ref="G7:H7"/>
    <mergeCell ref="B56:H58"/>
    <mergeCell ref="B1:H1"/>
    <mergeCell ref="B53:H54"/>
    <mergeCell ref="B2:H2"/>
    <mergeCell ref="B9:F9"/>
    <mergeCell ref="G4:H4"/>
    <mergeCell ref="G5:H5"/>
    <mergeCell ref="G6:H6"/>
    <mergeCell ref="G8:H8"/>
    <mergeCell ref="G9:H9"/>
    <mergeCell ref="B4:F4"/>
    <mergeCell ref="B5:F5"/>
  </mergeCells>
  <dataValidations count="2">
    <dataValidation type="list" allowBlank="1" showInputMessage="1" showErrorMessage="1" sqref="G8">
      <formula1>Sched3</formula1>
    </dataValidation>
    <dataValidation type="list" allowBlank="1" showInputMessage="1" showErrorMessage="1" sqref="G7:H7">
      <formula1>Crop</formula1>
    </dataValidation>
  </dataValidations>
  <pageMargins left="0.7" right="0.7" top="0.75" bottom="0.75" header="0.3" footer="0.3"/>
  <pageSetup scale="68" orientation="portrait" horizontalDpi="300" verticalDpi="300" r:id="rId1"/>
  <headerFooter>
    <oddFooter>&amp;LAg and Applied Economics, 05/2020&amp;R&amp;G</oddFooter>
  </headerFooter>
  <ignoredErrors>
    <ignoredError sqref="E32:H32"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O13" sqref="O13"/>
    </sheetView>
  </sheetViews>
  <sheetFormatPr defaultRowHeight="14.5" x14ac:dyDescent="0.35"/>
  <cols>
    <col min="2" max="2" width="23.90625" bestFit="1" customWidth="1"/>
    <col min="3" max="3" width="14" customWidth="1"/>
  </cols>
  <sheetData>
    <row r="2" spans="2:3" ht="18.5" x14ac:dyDescent="0.45">
      <c r="C2" s="9" t="s">
        <v>21</v>
      </c>
    </row>
    <row r="3" spans="2:3" ht="18.5" x14ac:dyDescent="0.45">
      <c r="B3" s="3" t="s">
        <v>13</v>
      </c>
      <c r="C3" s="8">
        <v>0</v>
      </c>
    </row>
    <row r="4" spans="2:3" ht="18.5" x14ac:dyDescent="0.45">
      <c r="B4" s="3" t="s">
        <v>12</v>
      </c>
      <c r="C4" s="8">
        <v>5.0000000000000001E-3</v>
      </c>
    </row>
    <row r="5" spans="2:3" ht="18.5" x14ac:dyDescent="0.45">
      <c r="B5" s="3" t="s">
        <v>10</v>
      </c>
      <c r="C5" s="8">
        <v>0.02</v>
      </c>
    </row>
    <row r="6" spans="2:3" ht="18.5" x14ac:dyDescent="0.45">
      <c r="B6" s="3" t="s">
        <v>9</v>
      </c>
      <c r="C6" s="8">
        <v>5.0000000000000001E-3</v>
      </c>
    </row>
    <row r="7" spans="2:3" ht="18.5" x14ac:dyDescent="0.45">
      <c r="B7" s="3" t="s">
        <v>8</v>
      </c>
      <c r="C7" s="8">
        <v>0</v>
      </c>
    </row>
    <row r="8" spans="2:3" ht="18.5" x14ac:dyDescent="0.45">
      <c r="B8" s="18" t="s">
        <v>40</v>
      </c>
      <c r="C8" s="8">
        <v>0</v>
      </c>
    </row>
    <row r="9" spans="2:3" ht="18.5" x14ac:dyDescent="0.45">
      <c r="B9" s="5" t="s">
        <v>37</v>
      </c>
      <c r="C9" s="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H21" sqref="H21"/>
    </sheetView>
  </sheetViews>
  <sheetFormatPr defaultRowHeight="14.5" x14ac:dyDescent="0.35"/>
  <sheetData>
    <row r="1" spans="2:2" x14ac:dyDescent="0.35">
      <c r="B1" t="s">
        <v>34</v>
      </c>
    </row>
    <row r="2" spans="2:2" x14ac:dyDescent="0.35">
      <c r="B2" t="s">
        <v>35</v>
      </c>
    </row>
    <row r="3" spans="2:2" x14ac:dyDescent="0.35">
      <c r="B3" t="s">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defaultRowHeight="14.5" x14ac:dyDescent="0.35"/>
  <sheetData>
    <row r="1" spans="1:1" x14ac:dyDescent="0.35">
      <c r="A1" t="s">
        <v>28</v>
      </c>
    </row>
    <row r="2" spans="1:1" x14ac:dyDescent="0.35">
      <c r="A2" t="s">
        <v>29</v>
      </c>
    </row>
    <row r="3" spans="1:1" x14ac:dyDescent="0.35">
      <c r="A3" t="s">
        <v>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4674968E4EDC49BC762519B2C12477" ma:contentTypeVersion="10" ma:contentTypeDescription="Create a new document." ma:contentTypeScope="" ma:versionID="d5a7965ac965213258b7c23e1ac05852">
  <xsd:schema xmlns:xsd="http://www.w3.org/2001/XMLSchema" xmlns:xs="http://www.w3.org/2001/XMLSchema" xmlns:p="http://schemas.microsoft.com/office/2006/metadata/properties" xmlns:ns1="http://schemas.microsoft.com/sharepoint/v3" xmlns:ns3="ffb9740e-ff0d-4b6c-906c-ebebdc67e7cf" xmlns:ns4="e9af2f2d-498b-4454-9578-1ad3184f4ea3" targetNamespace="http://schemas.microsoft.com/office/2006/metadata/properties" ma:root="true" ma:fieldsID="abf26ed0efe6334dfbdfaccfea354963" ns1:_="" ns3:_="" ns4:_="">
    <xsd:import namespace="http://schemas.microsoft.com/sharepoint/v3"/>
    <xsd:import namespace="ffb9740e-ff0d-4b6c-906c-ebebdc67e7cf"/>
    <xsd:import namespace="e9af2f2d-498b-4454-9578-1ad3184f4ea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b9740e-ff0d-4b6c-906c-ebebdc67e7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f2f2d-498b-4454-9578-1ad3184f4ea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3C5B1A2-0497-4A4C-9DB9-ACD580AD0EC2}">
  <ds:schemaRefs>
    <ds:schemaRef ds:uri="http://schemas.microsoft.com/sharepoint/v3/contenttype/forms"/>
  </ds:schemaRefs>
</ds:datastoreItem>
</file>

<file path=customXml/itemProps2.xml><?xml version="1.0" encoding="utf-8"?>
<ds:datastoreItem xmlns:ds="http://schemas.openxmlformats.org/officeDocument/2006/customXml" ds:itemID="{9DDDF442-39CC-45D9-AAD7-AE6A00116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b9740e-ff0d-4b6c-906c-ebebdc67e7cf"/>
    <ds:schemaRef ds:uri="e9af2f2d-498b-4454-9578-1ad3184f4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C2A2B-FCAD-4190-8815-D299F8A5FDF1}">
  <ds:schemaRefs>
    <ds:schemaRef ds:uri="e9af2f2d-498b-4454-9578-1ad3184f4ea3"/>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fb9740e-ff0d-4b6c-906c-ebebdc67e7cf"/>
    <ds:schemaRef ds:uri="http://schemas.microsoft.com/sharepoint/v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8 Towers Electric</vt:lpstr>
      <vt:lpstr>Cost Factors</vt:lpstr>
      <vt:lpstr>Sheet2</vt:lpstr>
      <vt:lpstr>Sheet1</vt:lpstr>
      <vt:lpstr>Crop</vt:lpstr>
      <vt:lpstr>'8 Towers Electric'!Print_Area</vt:lpstr>
      <vt:lpstr>Sched3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ankul bhattari</dc:creator>
  <cp:lastModifiedBy>Yangxuan Liu</cp:lastModifiedBy>
  <cp:lastPrinted>2020-04-23T19:37:52Z</cp:lastPrinted>
  <dcterms:created xsi:type="dcterms:W3CDTF">2019-07-05T18:46:17Z</dcterms:created>
  <dcterms:modified xsi:type="dcterms:W3CDTF">2020-10-02T02:52:55Z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0x010100B14674968E4EDC49BC762519B2C12477</vt:lpwstr>
  </property>
</Properties>
</file>