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mith/Desktop/2022 M&amp;B/"/>
    </mc:Choice>
  </mc:AlternateContent>
  <xr:revisionPtr revIDLastSave="0" documentId="13_ncr:1_{CB5B474E-2B3A-7C47-82DF-9F5BACA72CEF}" xr6:coauthVersionLast="47" xr6:coauthVersionMax="47" xr10:uidLastSave="{00000000-0000-0000-0000-000000000000}"/>
  <bookViews>
    <workbookView xWindow="6020" yWindow="500" windowWidth="26760" windowHeight="2110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2" l="1"/>
  <c r="J21" i="2"/>
  <c r="T20" i="2"/>
  <c r="J20" i="2"/>
  <c r="T16" i="2"/>
  <c r="J16" i="2"/>
  <c r="T14" i="2"/>
  <c r="J14" i="2"/>
  <c r="T15" i="1"/>
  <c r="J15" i="1"/>
  <c r="J35" i="1" l="1"/>
  <c r="J20" i="1"/>
  <c r="J19" i="1"/>
  <c r="T19" i="1" s="1"/>
  <c r="T13" i="1"/>
  <c r="J13" i="1"/>
  <c r="J21" i="1"/>
  <c r="L20" i="2"/>
  <c r="L16" i="2"/>
  <c r="B36" i="2"/>
  <c r="B21" i="2"/>
  <c r="B20" i="2"/>
  <c r="B16" i="2"/>
  <c r="L14" i="2"/>
  <c r="B14" i="2"/>
  <c r="L15" i="1"/>
  <c r="L13" i="1"/>
  <c r="B13" i="1"/>
  <c r="L28" i="2"/>
  <c r="B28" i="2"/>
  <c r="L27" i="1"/>
  <c r="B27" i="1"/>
  <c r="B35" i="1"/>
  <c r="B20" i="1"/>
  <c r="B15" i="1"/>
  <c r="P16" i="2" l="1"/>
  <c r="F36" i="2"/>
  <c r="F22" i="2"/>
  <c r="F21" i="2"/>
  <c r="F16" i="2"/>
  <c r="P14" i="2"/>
  <c r="F14" i="2"/>
  <c r="P19" i="1"/>
  <c r="P15" i="1"/>
  <c r="P13" i="1"/>
  <c r="F35" i="1"/>
  <c r="F20" i="1"/>
  <c r="F19" i="1"/>
  <c r="F15" i="1"/>
  <c r="F13" i="1"/>
  <c r="H36" i="2"/>
  <c r="H21" i="2"/>
  <c r="R20" i="2"/>
  <c r="H20" i="2"/>
  <c r="H19" i="1"/>
  <c r="R19" i="1"/>
  <c r="H35" i="1"/>
  <c r="H20" i="1"/>
  <c r="F21" i="1"/>
  <c r="H16" i="2"/>
  <c r="R16" i="2"/>
  <c r="R15" i="1"/>
  <c r="H15" i="1"/>
  <c r="R14" i="2"/>
  <c r="H14" i="2"/>
  <c r="H13" i="1"/>
  <c r="R13" i="1"/>
  <c r="R11" i="1"/>
  <c r="R11" i="2"/>
  <c r="X35" i="1" l="1"/>
  <c r="V35" i="1"/>
  <c r="X19" i="1"/>
  <c r="V19" i="1"/>
  <c r="X20" i="1"/>
  <c r="V20" i="1"/>
  <c r="X15" i="1"/>
  <c r="V15" i="1"/>
  <c r="X13" i="1"/>
  <c r="V13" i="1"/>
  <c r="T23" i="2" l="1"/>
  <c r="R23" i="2"/>
  <c r="P23" i="2"/>
  <c r="N23" i="2"/>
  <c r="L23" i="2"/>
  <c r="N16" i="2"/>
  <c r="T20" i="1"/>
  <c r="R20" i="1"/>
  <c r="R26" i="1" s="1"/>
  <c r="P20" i="1"/>
  <c r="N20" i="1"/>
  <c r="L20" i="1"/>
  <c r="T35" i="1"/>
  <c r="R35" i="1"/>
  <c r="P35" i="1"/>
  <c r="N35" i="1"/>
  <c r="L35" i="1"/>
  <c r="T21" i="2"/>
  <c r="R21" i="2"/>
  <c r="P21" i="2"/>
  <c r="N21" i="2"/>
  <c r="L21" i="2"/>
  <c r="T36" i="2"/>
  <c r="R36" i="2"/>
  <c r="P36" i="2"/>
  <c r="N36" i="2"/>
  <c r="D36" i="2"/>
  <c r="D27" i="2"/>
  <c r="J22" i="2"/>
  <c r="H22" i="2"/>
  <c r="D22" i="2"/>
  <c r="B22" i="2"/>
  <c r="D21" i="2"/>
  <c r="D16" i="2"/>
  <c r="N14" i="2"/>
  <c r="D14" i="2"/>
  <c r="H21" i="1"/>
  <c r="B21" i="1"/>
  <c r="D21" i="1"/>
  <c r="D26" i="1"/>
  <c r="D20" i="1"/>
  <c r="D15" i="1"/>
  <c r="D13" i="1"/>
  <c r="D35" i="1"/>
  <c r="H26" i="1"/>
  <c r="X26" i="1"/>
  <c r="V26" i="1"/>
  <c r="N26" i="1"/>
  <c r="N15" i="1"/>
  <c r="N13" i="1"/>
  <c r="N11" i="2"/>
  <c r="N27" i="2" l="1"/>
  <c r="B23" i="17"/>
  <c r="L26" i="1"/>
  <c r="B26" i="1"/>
  <c r="N19" i="1"/>
  <c r="D19" i="1"/>
  <c r="R27" i="2"/>
  <c r="H11" i="2"/>
  <c r="H27" i="2" s="1"/>
  <c r="T26" i="1"/>
  <c r="J23" i="2"/>
  <c r="J26" i="1"/>
  <c r="P22" i="1"/>
  <c r="P26" i="1"/>
  <c r="F11" i="2"/>
  <c r="F26" i="1"/>
  <c r="L36" i="2" l="1"/>
  <c r="A23" i="17" l="1"/>
  <c r="A12" i="17"/>
  <c r="F8" i="2"/>
  <c r="B19" i="1" l="1"/>
  <c r="L19" i="1"/>
  <c r="B12" i="1"/>
  <c r="J8" i="2" l="1"/>
  <c r="H8" i="2"/>
  <c r="H24" i="2" l="1"/>
  <c r="D48" i="2" l="1"/>
  <c r="N24" i="2" l="1"/>
  <c r="P24" i="2"/>
  <c r="D24" i="2"/>
  <c r="F24" i="2"/>
  <c r="D4" i="9"/>
  <c r="T24" i="2"/>
  <c r="L24" i="2"/>
  <c r="J24" i="2"/>
  <c r="B24" i="2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R9" i="1" s="1"/>
  <c r="P28" i="1"/>
  <c r="P8" i="1"/>
  <c r="P9" i="1" s="1"/>
  <c r="N7" i="1"/>
  <c r="N28" i="1" s="1"/>
  <c r="L12" i="1"/>
  <c r="L8" i="1"/>
  <c r="L9" i="1" s="1"/>
  <c r="J28" i="1"/>
  <c r="F28" i="1"/>
  <c r="D7" i="1"/>
  <c r="B269" i="11" s="1"/>
  <c r="D10" i="18"/>
  <c r="D11" i="18" s="1"/>
  <c r="D12" i="18" s="1"/>
  <c r="A10" i="18"/>
  <c r="A11" i="18" s="1"/>
  <c r="A12" i="18" s="1"/>
  <c r="E10" i="18"/>
  <c r="E11" i="18" s="1"/>
  <c r="E12" i="18" s="1"/>
  <c r="C10" i="18"/>
  <c r="C11" i="18" s="1"/>
  <c r="C12" i="18" s="1"/>
  <c r="B10" i="18"/>
  <c r="B11" i="18" s="1"/>
  <c r="B12" i="18" s="1"/>
  <c r="D3" i="18"/>
  <c r="D4" i="18" s="1"/>
  <c r="D5" i="18" s="1"/>
  <c r="A3" i="18"/>
  <c r="A4" i="18" s="1"/>
  <c r="A5" i="18" s="1"/>
  <c r="E3" i="18"/>
  <c r="E4" i="18" s="1"/>
  <c r="E5" i="18" s="1"/>
  <c r="C3" i="18"/>
  <c r="C4" i="18" s="1"/>
  <c r="C5" i="18" s="1"/>
  <c r="B3" i="18"/>
  <c r="B4" i="18" s="1"/>
  <c r="B5" i="18" s="1"/>
  <c r="J37" i="2"/>
  <c r="A3" i="2"/>
  <c r="B3" i="9"/>
  <c r="K13" i="9" s="1"/>
  <c r="I13" i="9" s="1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 s="1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 s="1"/>
  <c r="A36" i="3" s="1"/>
  <c r="D3" i="9"/>
  <c r="D13" i="9" s="1"/>
  <c r="E3" i="9"/>
  <c r="D33" i="9" s="1"/>
  <c r="F3" i="9"/>
  <c r="D2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E3" i="3"/>
  <c r="D33" i="3" s="1"/>
  <c r="F33" i="3" s="1"/>
  <c r="D3" i="3"/>
  <c r="D13" i="3" s="1"/>
  <c r="B3" i="3"/>
  <c r="K13" i="3" s="1"/>
  <c r="I13" i="3" s="1"/>
  <c r="B2" i="3"/>
  <c r="C2" i="3"/>
  <c r="D2" i="3"/>
  <c r="E2" i="3"/>
  <c r="F2" i="3"/>
  <c r="G2" i="3"/>
  <c r="V9" i="1"/>
  <c r="H9" i="1"/>
  <c r="B9" i="1"/>
  <c r="F9" i="1"/>
  <c r="B270" i="16"/>
  <c r="B134" i="11"/>
  <c r="F4" i="7"/>
  <c r="A26" i="7" s="1"/>
  <c r="J9" i="1"/>
  <c r="B371" i="11"/>
  <c r="B202" i="11"/>
  <c r="F9" i="2"/>
  <c r="C25" i="10"/>
  <c r="B32" i="11"/>
  <c r="B133" i="11" l="1"/>
  <c r="B269" i="16"/>
  <c r="B201" i="11"/>
  <c r="C4" i="10"/>
  <c r="C3" i="9"/>
  <c r="K23" i="9" s="1"/>
  <c r="I23" i="9" s="1"/>
  <c r="D28" i="1"/>
  <c r="B167" i="11"/>
  <c r="B371" i="16"/>
  <c r="C3" i="7"/>
  <c r="K23" i="7" s="1"/>
  <c r="L23" i="7" s="1"/>
  <c r="B31" i="11"/>
  <c r="B133" i="16"/>
  <c r="N20" i="2"/>
  <c r="D20" i="2"/>
  <c r="B27" i="2"/>
  <c r="T27" i="2"/>
  <c r="L27" i="2"/>
  <c r="J27" i="2"/>
  <c r="F27" i="2"/>
  <c r="P27" i="2"/>
  <c r="C46" i="10"/>
  <c r="B31" i="16"/>
  <c r="B201" i="16"/>
  <c r="B167" i="16"/>
  <c r="B168" i="16"/>
  <c r="X30" i="1"/>
  <c r="E4" i="3"/>
  <c r="E5" i="3" s="1"/>
  <c r="E5" i="7"/>
  <c r="B76" i="10"/>
  <c r="B75" i="10" s="1"/>
  <c r="B74" i="10" s="1"/>
  <c r="B73" i="10" s="1"/>
  <c r="B72" i="10" s="1"/>
  <c r="B71" i="10" s="1"/>
  <c r="B70" i="10" s="1"/>
  <c r="B5" i="7"/>
  <c r="F33" i="9"/>
  <c r="E33" i="9"/>
  <c r="I13" i="7"/>
  <c r="L13" i="7"/>
  <c r="L30" i="1"/>
  <c r="D29" i="1"/>
  <c r="T55" i="10"/>
  <c r="T54" i="10" s="1"/>
  <c r="T53" i="10" s="1"/>
  <c r="T52" i="10" s="1"/>
  <c r="T51" i="10" s="1"/>
  <c r="T50" i="10" s="1"/>
  <c r="T49" i="10" s="1"/>
  <c r="B4" i="8"/>
  <c r="B5" i="8" s="1"/>
  <c r="D5" i="7"/>
  <c r="G4" i="3"/>
  <c r="G5" i="3" s="1"/>
  <c r="L13" i="3"/>
  <c r="M13" i="7"/>
  <c r="R9" i="2"/>
  <c r="F4" i="9"/>
  <c r="F5" i="9" s="1"/>
  <c r="L13" i="9"/>
  <c r="B36" i="10"/>
  <c r="B37" i="10" s="1"/>
  <c r="B38" i="10" s="1"/>
  <c r="B39" i="10" s="1"/>
  <c r="B40" i="10" s="1"/>
  <c r="D4" i="8"/>
  <c r="D5" i="8" s="1"/>
  <c r="N13" i="10"/>
  <c r="N12" i="10" s="1"/>
  <c r="N11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T15" i="10"/>
  <c r="T16" i="10" s="1"/>
  <c r="T17" i="10" s="1"/>
  <c r="T76" i="10"/>
  <c r="T75" i="10" s="1"/>
  <c r="T74" i="10" s="1"/>
  <c r="T73" i="10" s="1"/>
  <c r="J13" i="3"/>
  <c r="J13" i="9"/>
  <c r="J13" i="7"/>
  <c r="E5" i="8"/>
  <c r="N55" i="10"/>
  <c r="N54" i="10" s="1"/>
  <c r="N53" i="10" s="1"/>
  <c r="E5" i="9"/>
  <c r="D5" i="9"/>
  <c r="B4" i="3"/>
  <c r="B5" i="3" s="1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T32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C33" i="3"/>
  <c r="G5" i="7"/>
  <c r="B30" i="1"/>
  <c r="B3" i="10" s="1"/>
  <c r="F30" i="1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T38" i="10"/>
  <c r="P20" i="2"/>
  <c r="J30" i="1"/>
  <c r="V30" i="1"/>
  <c r="F20" i="2"/>
  <c r="D30" i="2"/>
  <c r="B28" i="17"/>
  <c r="R30" i="1"/>
  <c r="I23" i="7" l="1"/>
  <c r="J23" i="7"/>
  <c r="M23" i="7"/>
  <c r="M23" i="9"/>
  <c r="L23" i="9"/>
  <c r="D30" i="1"/>
  <c r="C3" i="10" s="1"/>
  <c r="C18" i="10" s="1"/>
  <c r="J23" i="9"/>
  <c r="P31" i="2"/>
  <c r="J31" i="2"/>
  <c r="B31" i="2"/>
  <c r="D31" i="2"/>
  <c r="F31" i="2"/>
  <c r="T31" i="2"/>
  <c r="R31" i="2"/>
  <c r="L31" i="2"/>
  <c r="H31" i="2"/>
  <c r="B6" i="3"/>
  <c r="I16" i="3" s="1"/>
  <c r="L33" i="1"/>
  <c r="L31" i="1"/>
  <c r="B24" i="10"/>
  <c r="L32" i="1"/>
  <c r="L38" i="1"/>
  <c r="L39" i="1" s="1"/>
  <c r="L41" i="1" s="1"/>
  <c r="L45" i="1" s="1"/>
  <c r="A37" i="3"/>
  <c r="A37" i="8"/>
  <c r="L23" i="8"/>
  <c r="M23" i="8"/>
  <c r="I23" i="8"/>
  <c r="E6" i="7"/>
  <c r="B38" i="7" s="1"/>
  <c r="E3" i="10"/>
  <c r="H32" i="1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H18" i="9"/>
  <c r="H18" i="8"/>
  <c r="B6" i="7"/>
  <c r="I16" i="7" s="1"/>
  <c r="H31" i="1"/>
  <c r="H33" i="1"/>
  <c r="A28" i="9"/>
  <c r="A28" i="8"/>
  <c r="A28" i="3"/>
  <c r="H17" i="8"/>
  <c r="H17" i="3"/>
  <c r="H17" i="9"/>
  <c r="H14" i="3"/>
  <c r="H14" i="9"/>
  <c r="H14" i="8"/>
  <c r="A27" i="3"/>
  <c r="A27" i="9"/>
  <c r="A27" i="8"/>
  <c r="H15" i="9"/>
  <c r="H15" i="8"/>
  <c r="H15" i="3"/>
  <c r="B38" i="1"/>
  <c r="B39" i="1" s="1"/>
  <c r="B41" i="1" s="1"/>
  <c r="B45" i="1" s="1"/>
  <c r="B31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10"/>
  <c r="B41" i="10"/>
  <c r="B11" i="10"/>
  <c r="P33" i="1"/>
  <c r="P31" i="1"/>
  <c r="P38" i="1"/>
  <c r="P39" i="1" s="1"/>
  <c r="P41" i="1" s="1"/>
  <c r="P32" i="1"/>
  <c r="D24" i="10"/>
  <c r="D6" i="3"/>
  <c r="D16" i="3" s="1"/>
  <c r="A15" i="3"/>
  <c r="A15" i="9"/>
  <c r="A15" i="8"/>
  <c r="T61" i="10"/>
  <c r="B19" i="10"/>
  <c r="N10" i="10"/>
  <c r="H45" i="1"/>
  <c r="H42" i="1"/>
  <c r="H44" i="1"/>
  <c r="D9" i="2"/>
  <c r="C4" i="9"/>
  <c r="C5" i="9" s="1"/>
  <c r="T31" i="10"/>
  <c r="F32" i="1"/>
  <c r="F33" i="1"/>
  <c r="D6" i="7"/>
  <c r="B15" i="7" s="1"/>
  <c r="F31" i="1"/>
  <c r="F38" i="1"/>
  <c r="F39" i="1" s="1"/>
  <c r="F41" i="1" s="1"/>
  <c r="D3" i="10"/>
  <c r="N52" i="10"/>
  <c r="N8" i="2"/>
  <c r="N8" i="1"/>
  <c r="N31" i="2"/>
  <c r="T39" i="10"/>
  <c r="N29" i="10"/>
  <c r="A14" i="9"/>
  <c r="A14" i="8"/>
  <c r="A14" i="3"/>
  <c r="A18" i="3"/>
  <c r="A18" i="8"/>
  <c r="A18" i="9"/>
  <c r="D9" i="1"/>
  <c r="H77" i="10"/>
  <c r="H14" i="10"/>
  <c r="C4" i="7"/>
  <c r="H56" i="10"/>
  <c r="H35" i="10"/>
  <c r="T18" i="10"/>
  <c r="T72" i="10"/>
  <c r="C17" i="10" l="1"/>
  <c r="D38" i="1"/>
  <c r="D39" i="1" s="1"/>
  <c r="D41" i="1" s="1"/>
  <c r="D45" i="1" s="1"/>
  <c r="C6" i="7"/>
  <c r="C12" i="10"/>
  <c r="C13" i="10"/>
  <c r="R12" i="10"/>
  <c r="C15" i="10"/>
  <c r="D32" i="1"/>
  <c r="C14" i="10"/>
  <c r="D33" i="1"/>
  <c r="C16" i="10"/>
  <c r="J16" i="3"/>
  <c r="K16" i="3"/>
  <c r="J18" i="3"/>
  <c r="M16" i="3"/>
  <c r="K14" i="3"/>
  <c r="J37" i="3"/>
  <c r="L15" i="3"/>
  <c r="I14" i="3"/>
  <c r="L16" i="3"/>
  <c r="M18" i="3"/>
  <c r="D37" i="7"/>
  <c r="B34" i="7"/>
  <c r="K17" i="3"/>
  <c r="F38" i="7"/>
  <c r="C38" i="7"/>
  <c r="L42" i="1"/>
  <c r="E16" i="10"/>
  <c r="R9" i="10"/>
  <c r="L44" i="1"/>
  <c r="E32" i="10"/>
  <c r="L30" i="10"/>
  <c r="R11" i="10"/>
  <c r="E14" i="10"/>
  <c r="E15" i="10"/>
  <c r="R8" i="10"/>
  <c r="Q14" i="10"/>
  <c r="R17" i="10"/>
  <c r="R7" i="10"/>
  <c r="E17" i="10"/>
  <c r="R14" i="10"/>
  <c r="I18" i="3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E36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H34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Q35" i="10"/>
  <c r="S35" i="10"/>
  <c r="Q37" i="10"/>
  <c r="S34" i="10"/>
  <c r="S37" i="10"/>
  <c r="S36" i="10"/>
  <c r="Q36" i="10"/>
  <c r="Q34" i="10"/>
  <c r="E38" i="10"/>
  <c r="Q33" i="10"/>
  <c r="E33" i="10"/>
  <c r="E39" i="10"/>
  <c r="S33" i="10"/>
  <c r="K36" i="7"/>
  <c r="K35" i="7"/>
  <c r="K38" i="7"/>
  <c r="K37" i="7"/>
  <c r="K34" i="7"/>
  <c r="T40" i="10"/>
  <c r="Q39" i="10"/>
  <c r="S39" i="10"/>
  <c r="B30" i="10"/>
  <c r="D31" i="10"/>
  <c r="E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17" i="10"/>
  <c r="N28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E41" i="10"/>
  <c r="D41" i="10"/>
  <c r="T19" i="10"/>
  <c r="R18" i="10"/>
  <c r="Q18" i="10"/>
  <c r="S18" i="10"/>
  <c r="E18" i="7"/>
  <c r="H78" i="10"/>
  <c r="H76" i="10"/>
  <c r="D18" i="7"/>
  <c r="Q38" i="10"/>
  <c r="E15" i="7"/>
  <c r="L41" i="10"/>
  <c r="O36" i="10"/>
  <c r="L36" i="10"/>
  <c r="O42" i="10"/>
  <c r="O31" i="10"/>
  <c r="L42" i="10"/>
  <c r="L40" i="10"/>
  <c r="O39" i="10"/>
  <c r="O34" i="10"/>
  <c r="O40" i="10"/>
  <c r="L38" i="10"/>
  <c r="O35" i="10"/>
  <c r="L39" i="10"/>
  <c r="L34" i="10"/>
  <c r="O41" i="10"/>
  <c r="L35" i="10"/>
  <c r="O37" i="10"/>
  <c r="L33" i="10"/>
  <c r="L37" i="10"/>
  <c r="O38" i="10"/>
  <c r="L32" i="10"/>
  <c r="D39" i="10"/>
  <c r="O32" i="10"/>
  <c r="O33" i="10"/>
  <c r="L31" i="10"/>
  <c r="D38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D42" i="1" l="1"/>
  <c r="D44" i="1"/>
  <c r="R39" i="10"/>
  <c r="C37" i="10"/>
  <c r="M29" i="10"/>
  <c r="C38" i="10"/>
  <c r="M33" i="10"/>
  <c r="M31" i="10"/>
  <c r="M35" i="10"/>
  <c r="R34" i="10"/>
  <c r="M41" i="10"/>
  <c r="C34" i="10"/>
  <c r="M37" i="10"/>
  <c r="C31" i="10"/>
  <c r="C35" i="10"/>
  <c r="M32" i="10"/>
  <c r="M36" i="10"/>
  <c r="M34" i="10"/>
  <c r="C41" i="10"/>
  <c r="R37" i="10"/>
  <c r="R36" i="10"/>
  <c r="I35" i="10"/>
  <c r="R31" i="10"/>
  <c r="M38" i="10"/>
  <c r="M40" i="10"/>
  <c r="M39" i="10"/>
  <c r="G35" i="10"/>
  <c r="R38" i="10"/>
  <c r="C33" i="10"/>
  <c r="M42" i="10"/>
  <c r="C39" i="10"/>
  <c r="R33" i="10"/>
  <c r="R35" i="10"/>
  <c r="J35" i="10"/>
  <c r="C36" i="10"/>
  <c r="C32" i="10"/>
  <c r="R32" i="10"/>
  <c r="M30" i="10"/>
  <c r="G56" i="10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<sst xmlns="http://schemas.openxmlformats.org/spreadsheetml/2006/main" count="793" uniqueCount="196">
  <si>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</si>
  <si>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</si>
  <si>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</si>
  <si>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</si>
  <si>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</si>
  <si>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</si>
  <si>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</si>
  <si>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</si>
  <si>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</si>
  <si>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</si>
  <si>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</si>
  <si>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</si>
  <si>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</si>
  <si>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</si>
  <si>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</si>
  <si>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</si>
  <si>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</si>
  <si>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</si>
  <si>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</si>
  <si>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</si>
  <si>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</si>
  <si>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</si>
  <si>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</si>
  <si>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</si>
  <si>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</si>
  <si>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</si>
  <si>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</si>
  <si>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</si>
  <si>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</si>
  <si>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</si>
  <si>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</si>
  <si>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</si>
  <si>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</si>
  <si>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</si>
  <si>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</si>
  <si>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</si>
  <si>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</si>
  <si>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</si>
  <si>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</si>
  <si>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</si>
  <si>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</si>
  <si>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</si>
  <si>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</si>
  <si>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</si>
  <si>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</si>
  <si>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</si>
  <si>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</si>
  <si>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</si>
  <si>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</si>
  <si>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</si>
  <si>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</si>
  <si>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</si>
  <si>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</si>
  <si>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</si>
  <si>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</si>
  <si>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</si>
  <si>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</si>
  <si>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</si>
  <si>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</si>
  <si>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</si>
  <si>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</si>
  <si>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</si>
  <si>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</si>
  <si>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</si>
  <si>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</si>
  <si>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</si>
  <si>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</si>
  <si>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</si>
  <si>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</si>
  <si>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</si>
  <si>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</si>
  <si>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</si>
  <si>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</si>
  <si>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</si>
  <si>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</si>
  <si>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</si>
  <si>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</si>
  <si>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</si>
  <si>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</si>
  <si>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</si>
  <si>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</si>
  <si>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</si>
  <si>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</si>
  <si>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</si>
  <si>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</si>
  <si>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</si>
  <si>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</si>
  <si>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</si>
  <si>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</si>
  <si>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</si>
  <si>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</si>
  <si>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</si>
  <si>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</si>
  <si>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</si>
  <si>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</si>
  <si>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</si>
  <si>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</si>
  <si>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</si>
  <si>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</si>
  <si>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</si>
  <si>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</si>
  <si>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</si>
  <si>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</si>
  <si>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</si>
  <si>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</si>
  <si>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</si>
  <si>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</si>
  <si>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</si>
  <si>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</si>
  <si>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</si>
  <si>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</si>
  <si>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</si>
  <si>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</si>
  <si>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</si>
  <si>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</si>
  <si>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</si>
  <si>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</si>
  <si>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</si>
  <si>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</si>
  <si>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</si>
  <si>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</si>
  <si>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</si>
  <si>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</si>
  <si>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</si>
  <si>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</si>
  <si>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</si>
  <si>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</si>
  <si>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</si>
  <si>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</si>
  <si>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</si>
  <si>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</si>
  <si>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</si>
  <si>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</si>
  <si>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</si>
  <si>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</si>
  <si>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</si>
  <si>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</si>
  <si>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</si>
  <si>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</si>
  <si>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</si>
  <si>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</si>
  <si>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</si>
  <si>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</si>
  <si>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</si>
  <si>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</si>
  <si>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</si>
  <si>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</si>
  <si>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</si>
  <si>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</si>
  <si>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</si>
  <si>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</si>
  <si>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</si>
  <si>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</si>
  <si>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</si>
  <si>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</si>
  <si>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</si>
  <si>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</si>
  <si>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</si>
  <si>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</si>
  <si>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</si>
  <si>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</si>
  <si>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</si>
  <si>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</si>
  <si>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</si>
  <si>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</si>
  <si>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</si>
  <si>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</si>
  <si>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</si>
  <si>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</si>
  <si>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</si>
  <si>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</si>
  <si>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</si>
  <si>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</si>
  <si>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</si>
  <si>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</si>
  <si>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</si>
  <si>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</si>
  <si>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</si>
  <si>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</si>
  <si>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</si>
  <si>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</si>
  <si>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</si>
  <si>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</si>
  <si>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</si>
  <si>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</si>
  <si>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</si>
  <si>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</si>
  <si>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</si>
  <si>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</si>
  <si>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</si>
  <si>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By A.R. Smith and Yangxuan Liu, UGA Extension Economists, Department of Agricultural &amp; Applied Economics</t>
  </si>
  <si>
    <t>Estimate of 2023 Relative Row Crop Costs and Net Returns</t>
  </si>
  <si>
    <t>Jan 2023</t>
  </si>
  <si>
    <t>[[Due to extreme volatility in input markets, prices may change rapidly.  You are encouraged to enter your own prices to best estimate your 2023 cost of production.]]</t>
  </si>
  <si>
    <t>*** Weighted average of diesel and electric irrigation application costs.  Electric is estimated at $8/appl and diesel is estimated at $16/appl when diesel cost $4.25/gal.</t>
  </si>
  <si>
    <t>[[Due to extreme volatility in input markets, prices may change rapidly.  You should enter your own prices to best estimate your 2023 cost of production.]]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</si>
</sst>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4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Alignment="1">
      <alignment horizontal="center"/>
    </xf>
    <xf numFmtId="0" fontId="6" fillId="8" borderId="0" xfId="0" applyFont="1" applyFill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Alignment="1" applyProtection="1">
      <alignment horizontal="right"/>
      <protection locked="0"/>
    </xf>
    <xf numFmtId="167" fontId="5" fillId="8" borderId="0" xfId="0" applyNumberFormat="1" applyFont="1" applyFill="1" applyAlignment="1" applyProtection="1">
      <alignment horizontal="right"/>
      <protection locked="0"/>
    </xf>
    <xf numFmtId="166" fontId="5" fillId="8" borderId="0" xfId="0" applyNumberFormat="1" applyFont="1" applyFill="1" applyAlignment="1" applyProtection="1">
      <alignment horizontal="right"/>
      <protection locked="0"/>
    </xf>
    <xf numFmtId="165" fontId="5" fillId="8" borderId="0" xfId="0" applyNumberFormat="1" applyFont="1" applyFill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Alignment="1">
      <alignment horizontal="center"/>
    </xf>
    <xf numFmtId="0" fontId="0" fillId="8" borderId="0" xfId="0" applyFill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12" fillId="0" borderId="0" xfId="0" applyFont="1"/>
    <xf numFmtId="49" fontId="13" fillId="3" borderId="7" xfId="0" applyNumberFormat="1" applyFont="1" applyFill="1" applyBorder="1"/>
    <xf numFmtId="49" fontId="13" fillId="3" borderId="21" xfId="0" applyNumberFormat="1" applyFont="1" applyFill="1" applyBorder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/>
    <xf numFmtId="0" fontId="11" fillId="8" borderId="0" xfId="0" applyFont="1" applyFill="1" applyAlignment="1">
      <alignment horizontal="left"/>
    </xf>
    <xf numFmtId="0" fontId="11" fillId="8" borderId="0" xfId="0" applyFont="1" applyFill="1" applyAlignment="1">
      <alignment horizontal="right"/>
    </xf>
    <xf numFmtId="0" fontId="12" fillId="8" borderId="0" xfId="0" applyFont="1" applyFill="1" applyAlignment="1">
      <alignment horizontal="left"/>
    </xf>
    <xf numFmtId="8" fontId="11" fillId="8" borderId="0" xfId="0" applyNumberFormat="1" applyFont="1" applyFill="1" applyProtection="1">
      <protection locked="0"/>
    </xf>
    <xf numFmtId="0" fontId="13" fillId="8" borderId="0" xfId="0" applyFont="1" applyFill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Protection="1">
      <protection locked="0"/>
    </xf>
    <xf numFmtId="0" fontId="11" fillId="8" borderId="6" xfId="0" applyFont="1" applyFill="1" applyBorder="1" applyAlignment="1">
      <alignment horizontal="right"/>
    </xf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Alignment="1" applyProtection="1">
      <alignment horizontal="left"/>
      <protection locked="0"/>
    </xf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Protection="1">
      <protection locked="0"/>
    </xf>
    <xf numFmtId="3" fontId="20" fillId="14" borderId="59" xfId="0" applyNumberFormat="1" applyFont="1" applyFill="1" applyBorder="1" applyAlignment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/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165" fontId="20" fillId="13" borderId="27" xfId="0" applyNumberFormat="1" applyFont="1" applyFill="1" applyBorder="1" applyAlignment="1">
      <alignment horizontal="right"/>
    </xf>
    <xf numFmtId="169" fontId="14" fillId="8" borderId="0" xfId="0" applyNumberFormat="1" applyFont="1" applyFill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/>
    <xf numFmtId="49" fontId="11" fillId="3" borderId="20" xfId="0" quotePrefix="1" applyNumberFormat="1" applyFont="1" applyFill="1" applyBorder="1"/>
    <xf numFmtId="0" fontId="16" fillId="8" borderId="10" xfId="0" applyFont="1" applyFill="1" applyBorder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0" xfId="0" applyFont="1" applyFill="1" applyAlignment="1">
      <alignment wrapText="1"/>
    </xf>
    <xf numFmtId="0" fontId="13" fillId="8" borderId="10" xfId="0" applyFont="1" applyFill="1" applyBorder="1" applyAlignment="1">
      <alignment wrapText="1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Alignment="1">
      <alignment horizontal="left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" fontId="14" fillId="8" borderId="51" xfId="0" applyNumberFormat="1" applyFont="1" applyFill="1" applyBorder="1" applyAlignment="1">
      <alignment horizontal="center"/>
    </xf>
    <xf numFmtId="166" fontId="14" fillId="8" borderId="49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Alignment="1" applyProtection="1">
      <alignment horizontal="center"/>
      <protection locked="0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6" fontId="14" fillId="8" borderId="7" xfId="0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3" fillId="8" borderId="28" xfId="2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" fontId="14" fillId="8" borderId="0" xfId="0" applyNumberFormat="1" applyFont="1" applyFill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20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6" xfId="0" applyNumberFormat="1" applyFont="1" applyFill="1" applyBorder="1" applyAlignment="1">
      <alignment horizontal="center"/>
    </xf>
    <xf numFmtId="166" fontId="13" fillId="8" borderId="37" xfId="0" applyNumberFormat="1" applyFont="1" applyFill="1" applyBorder="1" applyAlignment="1">
      <alignment horizontal="center"/>
    </xf>
    <xf numFmtId="166" fontId="13" fillId="8" borderId="53" xfId="0" applyNumberFormat="1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166" fontId="13" fillId="8" borderId="39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66" fontId="13" fillId="8" borderId="69" xfId="0" applyNumberFormat="1" applyFont="1" applyFill="1" applyBorder="1" applyAlignment="1">
      <alignment horizontal="center"/>
    </xf>
    <xf numFmtId="1" fontId="14" fillId="8" borderId="13" xfId="0" applyNumberFormat="1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0" fontId="13" fillId="12" borderId="10" xfId="0" applyFont="1" applyFill="1" applyBorder="1" applyAlignment="1">
      <alignment horizontal="center" wrapText="1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66" fontId="13" fillId="3" borderId="40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" fontId="14" fillId="8" borderId="62" xfId="0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70" xfId="0" applyNumberFormat="1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11" fillId="12" borderId="0" xfId="0" applyFont="1" applyFill="1" applyAlignment="1">
      <alignment horizontal="center" wrapText="1"/>
    </xf>
    <xf numFmtId="0" fontId="11" fillId="12" borderId="10" xfId="0" applyFont="1" applyFill="1" applyBorder="1" applyAlignment="1">
      <alignment horizontal="center" wrapText="1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6" fillId="8" borderId="7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7" fillId="8" borderId="0" xfId="0" applyFont="1" applyFill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356.95460456963247</c:v>
                </c:pt>
                <c:pt idx="1">
                  <c:v>369.72056201644097</c:v>
                </c:pt>
                <c:pt idx="2">
                  <c:v>382.48651946324946</c:v>
                </c:pt>
                <c:pt idx="3">
                  <c:v>395.25247691005796</c:v>
                </c:pt>
                <c:pt idx="4">
                  <c:v>408.01843435686658</c:v>
                </c:pt>
                <c:pt idx="5">
                  <c:v>420.78439180367508</c:v>
                </c:pt>
                <c:pt idx="6">
                  <c:v>433.55034925048358</c:v>
                </c:pt>
                <c:pt idx="7">
                  <c:v>446.31630669729213</c:v>
                </c:pt>
                <c:pt idx="8">
                  <c:v>459.08226414410063</c:v>
                </c:pt>
                <c:pt idx="9">
                  <c:v>471.84822159090919</c:v>
                </c:pt>
                <c:pt idx="10">
                  <c:v>484.61417903771769</c:v>
                </c:pt>
                <c:pt idx="11">
                  <c:v>497.38013648452619</c:v>
                </c:pt>
                <c:pt idx="12">
                  <c:v>510.14609393133469</c:v>
                </c:pt>
                <c:pt idx="13">
                  <c:v>522.91205137814325</c:v>
                </c:pt>
                <c:pt idx="14">
                  <c:v>535.6780088249518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344.64272476604265</c:v>
                </c:pt>
                <c:pt idx="1">
                  <c:v>355.6721365307485</c:v>
                </c:pt>
                <c:pt idx="2">
                  <c:v>366.70154829545442</c:v>
                </c:pt>
                <c:pt idx="3">
                  <c:v>377.73096006016027</c:v>
                </c:pt>
                <c:pt idx="4">
                  <c:v>388.76037182486624</c:v>
                </c:pt>
                <c:pt idx="5">
                  <c:v>399.7897835895721</c:v>
                </c:pt>
                <c:pt idx="6">
                  <c:v>410.81919535427801</c:v>
                </c:pt>
                <c:pt idx="7">
                  <c:v>421.84860711898386</c:v>
                </c:pt>
                <c:pt idx="8">
                  <c:v>432.87801888368978</c:v>
                </c:pt>
                <c:pt idx="9">
                  <c:v>443.90743064839569</c:v>
                </c:pt>
                <c:pt idx="10">
                  <c:v>454.9368424131016</c:v>
                </c:pt>
                <c:pt idx="11">
                  <c:v>465.96625417780746</c:v>
                </c:pt>
                <c:pt idx="12">
                  <c:v>476.99566594251337</c:v>
                </c:pt>
                <c:pt idx="13">
                  <c:v>488.02507770721928</c:v>
                </c:pt>
                <c:pt idx="14">
                  <c:v>499.05448947192514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0.80845624651988657</c:v>
                </c:pt>
                <c:pt idx="1">
                  <c:v>0.82595624651988653</c:v>
                </c:pt>
                <c:pt idx="2">
                  <c:v>0.84345624651988649</c:v>
                </c:pt>
                <c:pt idx="3">
                  <c:v>0.86095624651988634</c:v>
                </c:pt>
                <c:pt idx="4">
                  <c:v>0.87845624651988641</c:v>
                </c:pt>
                <c:pt idx="5">
                  <c:v>0.89595624651988637</c:v>
                </c:pt>
                <c:pt idx="6">
                  <c:v>0.91345624651988644</c:v>
                </c:pt>
                <c:pt idx="7">
                  <c:v>0.9309562465198864</c:v>
                </c:pt>
                <c:pt idx="8">
                  <c:v>0.94845624651988636</c:v>
                </c:pt>
                <c:pt idx="9">
                  <c:v>0.96595624651988643</c:v>
                </c:pt>
                <c:pt idx="10">
                  <c:v>0.98345624651988639</c:v>
                </c:pt>
                <c:pt idx="11">
                  <c:v>1.0009562465198865</c:v>
                </c:pt>
                <c:pt idx="12">
                  <c:v>1.0184562465198863</c:v>
                </c:pt>
                <c:pt idx="13">
                  <c:v>1.0359562465198864</c:v>
                </c:pt>
                <c:pt idx="14">
                  <c:v>1.0534562465198865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0.7601393930303032</c:v>
                </c:pt>
                <c:pt idx="1">
                  <c:v>0.77413939303030321</c:v>
                </c:pt>
                <c:pt idx="2">
                  <c:v>0.78813939303030311</c:v>
                </c:pt>
                <c:pt idx="3">
                  <c:v>0.80213939303030313</c:v>
                </c:pt>
                <c:pt idx="4">
                  <c:v>0.81613939303030303</c:v>
                </c:pt>
                <c:pt idx="5">
                  <c:v>0.83013939303030304</c:v>
                </c:pt>
                <c:pt idx="6">
                  <c:v>0.84413939303030305</c:v>
                </c:pt>
                <c:pt idx="7">
                  <c:v>0.85813939303030295</c:v>
                </c:pt>
                <c:pt idx="8">
                  <c:v>0.87213939303030297</c:v>
                </c:pt>
                <c:pt idx="9">
                  <c:v>0.88613939303030298</c:v>
                </c:pt>
                <c:pt idx="10">
                  <c:v>0.90013939303030288</c:v>
                </c:pt>
                <c:pt idx="11">
                  <c:v>0.91413939303030289</c:v>
                </c:pt>
                <c:pt idx="12">
                  <c:v>0.92813939303030291</c:v>
                </c:pt>
                <c:pt idx="13">
                  <c:v>0.94213939303030292</c:v>
                </c:pt>
                <c:pt idx="14">
                  <c:v>0.95613939303030293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460.84715598404262</c:v>
                </c:pt>
                <c:pt idx="1">
                  <c:v>469.78332619680856</c:v>
                </c:pt>
                <c:pt idx="2">
                  <c:v>478.71949640957456</c:v>
                </c:pt>
                <c:pt idx="3">
                  <c:v>487.6556666223405</c:v>
                </c:pt>
                <c:pt idx="4">
                  <c:v>496.59183683510645</c:v>
                </c:pt>
                <c:pt idx="5">
                  <c:v>505.52800704787239</c:v>
                </c:pt>
                <c:pt idx="6">
                  <c:v>514.46417726063839</c:v>
                </c:pt>
                <c:pt idx="7">
                  <c:v>523.40034747340439</c:v>
                </c:pt>
                <c:pt idx="8">
                  <c:v>532.33651768617028</c:v>
                </c:pt>
                <c:pt idx="9">
                  <c:v>541.27268789893628</c:v>
                </c:pt>
                <c:pt idx="10">
                  <c:v>550.20885811170217</c:v>
                </c:pt>
                <c:pt idx="11">
                  <c:v>559.14502832446817</c:v>
                </c:pt>
                <c:pt idx="12">
                  <c:v>568.08119853723406</c:v>
                </c:pt>
                <c:pt idx="13">
                  <c:v>577.01736874999995</c:v>
                </c:pt>
                <c:pt idx="14">
                  <c:v>585.95353896276606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413.08657463235289</c:v>
                </c:pt>
                <c:pt idx="1">
                  <c:v>419.2630452205882</c:v>
                </c:pt>
                <c:pt idx="2">
                  <c:v>425.4395158088235</c:v>
                </c:pt>
                <c:pt idx="3">
                  <c:v>431.6159863970588</c:v>
                </c:pt>
                <c:pt idx="4">
                  <c:v>437.79245698529405</c:v>
                </c:pt>
                <c:pt idx="5">
                  <c:v>443.96892757352936</c:v>
                </c:pt>
                <c:pt idx="6">
                  <c:v>450.14539816176466</c:v>
                </c:pt>
                <c:pt idx="7">
                  <c:v>456.32186874999996</c:v>
                </c:pt>
                <c:pt idx="8">
                  <c:v>462.49833933823527</c:v>
                </c:pt>
                <c:pt idx="9">
                  <c:v>468.67480992647052</c:v>
                </c:pt>
                <c:pt idx="10">
                  <c:v>474.85128051470582</c:v>
                </c:pt>
                <c:pt idx="11">
                  <c:v>481.02775110294112</c:v>
                </c:pt>
                <c:pt idx="12">
                  <c:v>487.20422169117631</c:v>
                </c:pt>
                <c:pt idx="13">
                  <c:v>493.38069227941168</c:v>
                </c:pt>
                <c:pt idx="14">
                  <c:v>499.55716286764704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6.3362232234375018</c:v>
                </c:pt>
                <c:pt idx="1">
                  <c:v>6.4412232234375013</c:v>
                </c:pt>
                <c:pt idx="2">
                  <c:v>6.5462232234375008</c:v>
                </c:pt>
                <c:pt idx="3">
                  <c:v>6.6512232234375004</c:v>
                </c:pt>
                <c:pt idx="4">
                  <c:v>6.7562232234375008</c:v>
                </c:pt>
                <c:pt idx="5">
                  <c:v>6.8612232234375004</c:v>
                </c:pt>
                <c:pt idx="6">
                  <c:v>6.9662232234375008</c:v>
                </c:pt>
                <c:pt idx="7">
                  <c:v>7.0712232234375003</c:v>
                </c:pt>
                <c:pt idx="8">
                  <c:v>7.1762232234375007</c:v>
                </c:pt>
                <c:pt idx="9">
                  <c:v>7.2812232234375003</c:v>
                </c:pt>
                <c:pt idx="10">
                  <c:v>7.3862232234375007</c:v>
                </c:pt>
                <c:pt idx="11">
                  <c:v>7.4912232234375002</c:v>
                </c:pt>
                <c:pt idx="12">
                  <c:v>7.5962232234375007</c:v>
                </c:pt>
                <c:pt idx="13">
                  <c:v>7.7012232234375002</c:v>
                </c:pt>
                <c:pt idx="14">
                  <c:v>7.8062232234375006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5.802723849264706</c:v>
                </c:pt>
                <c:pt idx="1">
                  <c:v>5.9262532610294123</c:v>
                </c:pt>
                <c:pt idx="2">
                  <c:v>6.0497826727941177</c:v>
                </c:pt>
                <c:pt idx="3">
                  <c:v>6.1733120845588232</c:v>
                </c:pt>
                <c:pt idx="4">
                  <c:v>6.2968414963235295</c:v>
                </c:pt>
                <c:pt idx="5">
                  <c:v>6.420370908088235</c:v>
                </c:pt>
                <c:pt idx="6">
                  <c:v>6.5439003198529413</c:v>
                </c:pt>
                <c:pt idx="7">
                  <c:v>6.6674297316176467</c:v>
                </c:pt>
                <c:pt idx="8">
                  <c:v>6.7909591433823531</c:v>
                </c:pt>
                <c:pt idx="9">
                  <c:v>6.9144885551470585</c:v>
                </c:pt>
                <c:pt idx="10">
                  <c:v>7.0380179669117648</c:v>
                </c:pt>
                <c:pt idx="11">
                  <c:v>7.1615473786764703</c:v>
                </c:pt>
                <c:pt idx="12">
                  <c:v>7.2850767904411748</c:v>
                </c:pt>
                <c:pt idx="13">
                  <c:v>7.4086062022058812</c:v>
                </c:pt>
                <c:pt idx="14">
                  <c:v>7.5321356139705884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336.99928542069637</c:v>
                </c:pt>
                <c:pt idx="1">
                  <c:v>349.76524286750487</c:v>
                </c:pt>
                <c:pt idx="2">
                  <c:v>362.53120031431337</c:v>
                </c:pt>
                <c:pt idx="3">
                  <c:v>375.29715776112187</c:v>
                </c:pt>
                <c:pt idx="4">
                  <c:v>388.06311520793048</c:v>
                </c:pt>
                <c:pt idx="5">
                  <c:v>400.82907265473892</c:v>
                </c:pt>
                <c:pt idx="6">
                  <c:v>413.59503010154748</c:v>
                </c:pt>
                <c:pt idx="7">
                  <c:v>426.36098754835598</c:v>
                </c:pt>
                <c:pt idx="8">
                  <c:v>439.12694499516448</c:v>
                </c:pt>
                <c:pt idx="9">
                  <c:v>451.89290244197298</c:v>
                </c:pt>
                <c:pt idx="10">
                  <c:v>464.65885988878154</c:v>
                </c:pt>
                <c:pt idx="11">
                  <c:v>477.42481733559009</c:v>
                </c:pt>
                <c:pt idx="12">
                  <c:v>490.19077478239865</c:v>
                </c:pt>
                <c:pt idx="13">
                  <c:v>502.95673222920709</c:v>
                </c:pt>
                <c:pt idx="14">
                  <c:v>515.72268967601565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316.62412182486639</c:v>
                </c:pt>
                <c:pt idx="1">
                  <c:v>327.65353358957231</c:v>
                </c:pt>
                <c:pt idx="2">
                  <c:v>338.68294535427822</c:v>
                </c:pt>
                <c:pt idx="3">
                  <c:v>349.71235711898407</c:v>
                </c:pt>
                <c:pt idx="4">
                  <c:v>360.74176888368999</c:v>
                </c:pt>
                <c:pt idx="5">
                  <c:v>371.7711806483959</c:v>
                </c:pt>
                <c:pt idx="6">
                  <c:v>382.80059241310175</c:v>
                </c:pt>
                <c:pt idx="7">
                  <c:v>393.83000417780761</c:v>
                </c:pt>
                <c:pt idx="8">
                  <c:v>404.85941594251352</c:v>
                </c:pt>
                <c:pt idx="9">
                  <c:v>415.88882770721943</c:v>
                </c:pt>
                <c:pt idx="10">
                  <c:v>426.91823947192535</c:v>
                </c:pt>
                <c:pt idx="11">
                  <c:v>437.9476512366312</c:v>
                </c:pt>
                <c:pt idx="12">
                  <c:v>448.97706300133711</c:v>
                </c:pt>
                <c:pt idx="13">
                  <c:v>460.00647476604303</c:v>
                </c:pt>
                <c:pt idx="14">
                  <c:v>471.03588653074883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4.1297372931149754</c:v>
                </c:pt>
                <c:pt idx="1">
                  <c:v>4.350325528409094</c:v>
                </c:pt>
                <c:pt idx="2">
                  <c:v>4.5709137637032109</c:v>
                </c:pt>
                <c:pt idx="3">
                  <c:v>4.7915019989973286</c:v>
                </c:pt>
                <c:pt idx="4">
                  <c:v>5.0120902342914473</c:v>
                </c:pt>
                <c:pt idx="5">
                  <c:v>5.232678469585565</c:v>
                </c:pt>
                <c:pt idx="6">
                  <c:v>5.4532667048796828</c:v>
                </c:pt>
                <c:pt idx="7">
                  <c:v>5.6738549401738005</c:v>
                </c:pt>
                <c:pt idx="8">
                  <c:v>5.8944431754679174</c:v>
                </c:pt>
                <c:pt idx="9">
                  <c:v>6.1150314107620352</c:v>
                </c:pt>
                <c:pt idx="10">
                  <c:v>6.3356196460561547</c:v>
                </c:pt>
                <c:pt idx="11">
                  <c:v>6.5562078813502724</c:v>
                </c:pt>
                <c:pt idx="12">
                  <c:v>6.7767961166443893</c:v>
                </c:pt>
                <c:pt idx="13">
                  <c:v>6.9973843519385071</c:v>
                </c:pt>
                <c:pt idx="14">
                  <c:v>7.2179725872326248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5.0500973068181825</c:v>
                </c:pt>
                <c:pt idx="1">
                  <c:v>5.2000973068181819</c:v>
                </c:pt>
                <c:pt idx="2">
                  <c:v>5.3500973068181814</c:v>
                </c:pt>
                <c:pt idx="3">
                  <c:v>5.5000973068181818</c:v>
                </c:pt>
                <c:pt idx="4">
                  <c:v>5.650097306818183</c:v>
                </c:pt>
                <c:pt idx="5">
                  <c:v>5.8000973068181825</c:v>
                </c:pt>
                <c:pt idx="6">
                  <c:v>5.9500973068181828</c:v>
                </c:pt>
                <c:pt idx="7">
                  <c:v>6.1000973068181823</c:v>
                </c:pt>
                <c:pt idx="8">
                  <c:v>6.2500973068181835</c:v>
                </c:pt>
                <c:pt idx="9">
                  <c:v>6.4000973068181839</c:v>
                </c:pt>
                <c:pt idx="10">
                  <c:v>6.5500973068181825</c:v>
                </c:pt>
                <c:pt idx="11">
                  <c:v>6.7000973068181837</c:v>
                </c:pt>
                <c:pt idx="12">
                  <c:v>6.8500973068181841</c:v>
                </c:pt>
                <c:pt idx="13">
                  <c:v>7.0000973068181835</c:v>
                </c:pt>
                <c:pt idx="14">
                  <c:v>7.1500973068181839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6.1841505909090948</c:v>
                </c:pt>
                <c:pt idx="1">
                  <c:v>6.8091505909090966</c:v>
                </c:pt>
                <c:pt idx="2">
                  <c:v>7.4341505909090966</c:v>
                </c:pt>
                <c:pt idx="3">
                  <c:v>8.0591505909090966</c:v>
                </c:pt>
                <c:pt idx="4">
                  <c:v>8.6841505909090984</c:v>
                </c:pt>
                <c:pt idx="5">
                  <c:v>9.3091505909090984</c:v>
                </c:pt>
                <c:pt idx="6">
                  <c:v>9.9341505909090984</c:v>
                </c:pt>
                <c:pt idx="7">
                  <c:v>10.559150590909098</c:v>
                </c:pt>
                <c:pt idx="8">
                  <c:v>11.184150590909098</c:v>
                </c:pt>
                <c:pt idx="9">
                  <c:v>11.809150590909098</c:v>
                </c:pt>
                <c:pt idx="10">
                  <c:v>12.434150590909102</c:v>
                </c:pt>
                <c:pt idx="11">
                  <c:v>13.059150590909102</c:v>
                </c:pt>
                <c:pt idx="12">
                  <c:v>13.684150590909102</c:v>
                </c:pt>
                <c:pt idx="13">
                  <c:v>14.309150590909102</c:v>
                </c:pt>
                <c:pt idx="14">
                  <c:v>14.934150590909102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6.6356365279356062</c:v>
                </c:pt>
                <c:pt idx="1">
                  <c:v>7.1356365279356062</c:v>
                </c:pt>
                <c:pt idx="2">
                  <c:v>7.6356365279356062</c:v>
                </c:pt>
                <c:pt idx="3">
                  <c:v>8.1356365279356062</c:v>
                </c:pt>
                <c:pt idx="4">
                  <c:v>8.6356365279356098</c:v>
                </c:pt>
                <c:pt idx="5">
                  <c:v>9.1356365279356098</c:v>
                </c:pt>
                <c:pt idx="6">
                  <c:v>9.6356365279356098</c:v>
                </c:pt>
                <c:pt idx="7">
                  <c:v>10.13563652793561</c:v>
                </c:pt>
                <c:pt idx="8">
                  <c:v>10.63563652793561</c:v>
                </c:pt>
                <c:pt idx="9">
                  <c:v>11.13563652793561</c:v>
                </c:pt>
                <c:pt idx="10">
                  <c:v>11.63563652793561</c:v>
                </c:pt>
                <c:pt idx="11">
                  <c:v>12.135636527935613</c:v>
                </c:pt>
                <c:pt idx="12">
                  <c:v>12.635636527935613</c:v>
                </c:pt>
                <c:pt idx="13">
                  <c:v>13.135636527935613</c:v>
                </c:pt>
                <c:pt idx="14">
                  <c:v>13.635636527935613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0.80531865719696938</c:v>
                </c:pt>
                <c:pt idx="1">
                  <c:v>0.82798532386363599</c:v>
                </c:pt>
                <c:pt idx="2">
                  <c:v>0.85065199053030272</c:v>
                </c:pt>
                <c:pt idx="3">
                  <c:v>0.87331865719696933</c:v>
                </c:pt>
                <c:pt idx="4">
                  <c:v>0.89598532386363605</c:v>
                </c:pt>
                <c:pt idx="5">
                  <c:v>0.91865199053030266</c:v>
                </c:pt>
                <c:pt idx="6">
                  <c:v>0.94131865719696939</c:v>
                </c:pt>
                <c:pt idx="7">
                  <c:v>0.963985323863636</c:v>
                </c:pt>
                <c:pt idx="8">
                  <c:v>0.98665199053030272</c:v>
                </c:pt>
                <c:pt idx="9">
                  <c:v>1.0093186571969694</c:v>
                </c:pt>
                <c:pt idx="10">
                  <c:v>1.0319853238636361</c:v>
                </c:pt>
                <c:pt idx="11">
                  <c:v>1.0546519905303027</c:v>
                </c:pt>
                <c:pt idx="12">
                  <c:v>1.0773186571969693</c:v>
                </c:pt>
                <c:pt idx="13">
                  <c:v>1.0999853238636361</c:v>
                </c:pt>
                <c:pt idx="14">
                  <c:v>1.1226519905303027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0.73816806605113616</c:v>
                </c:pt>
                <c:pt idx="1">
                  <c:v>0.75775139938446956</c:v>
                </c:pt>
                <c:pt idx="2">
                  <c:v>0.77733473271780285</c:v>
                </c:pt>
                <c:pt idx="3">
                  <c:v>0.79691806605113624</c:v>
                </c:pt>
                <c:pt idx="4">
                  <c:v>0.81650139938446953</c:v>
                </c:pt>
                <c:pt idx="5">
                  <c:v>0.83608473271780293</c:v>
                </c:pt>
                <c:pt idx="6">
                  <c:v>0.85566806605113621</c:v>
                </c:pt>
                <c:pt idx="7">
                  <c:v>0.8752513993844695</c:v>
                </c:pt>
                <c:pt idx="8">
                  <c:v>0.89483473271780289</c:v>
                </c:pt>
                <c:pt idx="9">
                  <c:v>0.91441806605113618</c:v>
                </c:pt>
                <c:pt idx="10">
                  <c:v>0.93400139938446958</c:v>
                </c:pt>
                <c:pt idx="11">
                  <c:v>0.95358473271780286</c:v>
                </c:pt>
                <c:pt idx="12">
                  <c:v>0.97316806605113626</c:v>
                </c:pt>
                <c:pt idx="13">
                  <c:v>0.99275139938446955</c:v>
                </c:pt>
                <c:pt idx="14">
                  <c:v>1.0123347327178029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5.8972548566176473</c:v>
                </c:pt>
                <c:pt idx="1">
                  <c:v>6.0972548566176474</c:v>
                </c:pt>
                <c:pt idx="2">
                  <c:v>6.2972548566176476</c:v>
                </c:pt>
                <c:pt idx="3">
                  <c:v>6.4972548566176478</c:v>
                </c:pt>
                <c:pt idx="4">
                  <c:v>6.697254856617648</c:v>
                </c:pt>
                <c:pt idx="5">
                  <c:v>6.8972548566176473</c:v>
                </c:pt>
                <c:pt idx="6">
                  <c:v>7.0972548566176474</c:v>
                </c:pt>
                <c:pt idx="7">
                  <c:v>7.2972548566176476</c:v>
                </c:pt>
                <c:pt idx="8">
                  <c:v>7.4972548566176478</c:v>
                </c:pt>
                <c:pt idx="9">
                  <c:v>7.697254856617648</c:v>
                </c:pt>
                <c:pt idx="10">
                  <c:v>7.8972548566176473</c:v>
                </c:pt>
                <c:pt idx="11">
                  <c:v>8.0972548566176474</c:v>
                </c:pt>
                <c:pt idx="12">
                  <c:v>8.2972548566176467</c:v>
                </c:pt>
                <c:pt idx="13">
                  <c:v>8.4972548566176478</c:v>
                </c:pt>
                <c:pt idx="14">
                  <c:v>8.6972548566176471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5.8491057031249998</c:v>
                </c:pt>
                <c:pt idx="1">
                  <c:v>5.9666057031250004</c:v>
                </c:pt>
                <c:pt idx="2">
                  <c:v>6.0841057031250001</c:v>
                </c:pt>
                <c:pt idx="3">
                  <c:v>6.2016057031249998</c:v>
                </c:pt>
                <c:pt idx="4">
                  <c:v>6.3191057031250004</c:v>
                </c:pt>
                <c:pt idx="5">
                  <c:v>6.4366057031250001</c:v>
                </c:pt>
                <c:pt idx="6">
                  <c:v>6.5541057031249998</c:v>
                </c:pt>
                <c:pt idx="7">
                  <c:v>6.6716057031249996</c:v>
                </c:pt>
                <c:pt idx="8">
                  <c:v>6.7891057031250002</c:v>
                </c:pt>
                <c:pt idx="9">
                  <c:v>6.9066057031249999</c:v>
                </c:pt>
                <c:pt idx="10">
                  <c:v>7.0241057031249996</c:v>
                </c:pt>
                <c:pt idx="11">
                  <c:v>7.1416057031250002</c:v>
                </c:pt>
                <c:pt idx="12">
                  <c:v>7.2591057031249999</c:v>
                </c:pt>
                <c:pt idx="13">
                  <c:v>7.3766057031249996</c:v>
                </c:pt>
                <c:pt idx="14">
                  <c:v>7.4941057031250002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11.192117020833333</c:v>
                </c:pt>
                <c:pt idx="1">
                  <c:v>11.758783687499999</c:v>
                </c:pt>
                <c:pt idx="2">
                  <c:v>12.325450354166666</c:v>
                </c:pt>
                <c:pt idx="3">
                  <c:v>12.892117020833332</c:v>
                </c:pt>
                <c:pt idx="4">
                  <c:v>13.458783687499999</c:v>
                </c:pt>
                <c:pt idx="5">
                  <c:v>14.025450354166667</c:v>
                </c:pt>
                <c:pt idx="6">
                  <c:v>14.592117020833333</c:v>
                </c:pt>
                <c:pt idx="7">
                  <c:v>15.1587836875</c:v>
                </c:pt>
                <c:pt idx="8">
                  <c:v>15.725450354166666</c:v>
                </c:pt>
                <c:pt idx="9">
                  <c:v>16.292117020833334</c:v>
                </c:pt>
                <c:pt idx="10">
                  <c:v>16.858783687500001</c:v>
                </c:pt>
                <c:pt idx="11">
                  <c:v>17.425450354166667</c:v>
                </c:pt>
                <c:pt idx="12">
                  <c:v>17.992117020833334</c:v>
                </c:pt>
                <c:pt idx="13">
                  <c:v>18.5587836875</c:v>
                </c:pt>
                <c:pt idx="14">
                  <c:v>19.125450354166667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9.2989978489583329</c:v>
                </c:pt>
                <c:pt idx="1">
                  <c:v>9.6906645156250004</c:v>
                </c:pt>
                <c:pt idx="2">
                  <c:v>10.082331182291666</c:v>
                </c:pt>
                <c:pt idx="3">
                  <c:v>10.473997848958334</c:v>
                </c:pt>
                <c:pt idx="4">
                  <c:v>10.865664515625001</c:v>
                </c:pt>
                <c:pt idx="5">
                  <c:v>11.257331182291667</c:v>
                </c:pt>
                <c:pt idx="6">
                  <c:v>11.648997848958334</c:v>
                </c:pt>
                <c:pt idx="7">
                  <c:v>12.040664515625</c:v>
                </c:pt>
                <c:pt idx="8">
                  <c:v>12.432331182291668</c:v>
                </c:pt>
                <c:pt idx="9">
                  <c:v>12.823997848958333</c:v>
                </c:pt>
                <c:pt idx="10">
                  <c:v>13.215664515625001</c:v>
                </c:pt>
                <c:pt idx="11">
                  <c:v>13.607331182291666</c:v>
                </c:pt>
                <c:pt idx="12">
                  <c:v>13.998997848958334</c:v>
                </c:pt>
                <c:pt idx="13">
                  <c:v>14.390664515625</c:v>
                </c:pt>
                <c:pt idx="14">
                  <c:v>14.782331182291667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0.72165044886363583</c:v>
                </c:pt>
                <c:pt idx="1">
                  <c:v>0.74665044886363585</c:v>
                </c:pt>
                <c:pt idx="2">
                  <c:v>0.77165044886363587</c:v>
                </c:pt>
                <c:pt idx="3">
                  <c:v>0.79665044886363601</c:v>
                </c:pt>
                <c:pt idx="4">
                  <c:v>0.82165044886363603</c:v>
                </c:pt>
                <c:pt idx="5">
                  <c:v>0.84665044886363605</c:v>
                </c:pt>
                <c:pt idx="6">
                  <c:v>0.87165044886363618</c:v>
                </c:pt>
                <c:pt idx="7">
                  <c:v>0.89665044886363621</c:v>
                </c:pt>
                <c:pt idx="8">
                  <c:v>0.92165044886363623</c:v>
                </c:pt>
                <c:pt idx="9">
                  <c:v>0.94665044886363625</c:v>
                </c:pt>
                <c:pt idx="10">
                  <c:v>0.97165044886363638</c:v>
                </c:pt>
                <c:pt idx="11">
                  <c:v>0.99665044886363641</c:v>
                </c:pt>
                <c:pt idx="12">
                  <c:v>1.0216504488636364</c:v>
                </c:pt>
                <c:pt idx="13">
                  <c:v>1.0466504488636366</c:v>
                </c:pt>
                <c:pt idx="14">
                  <c:v>1.0716504488636367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0.78862977344696905</c:v>
                </c:pt>
                <c:pt idx="1">
                  <c:v>0.80562977344696907</c:v>
                </c:pt>
                <c:pt idx="2">
                  <c:v>0.82262977344696919</c:v>
                </c:pt>
                <c:pt idx="3">
                  <c:v>0.83962977344696921</c:v>
                </c:pt>
                <c:pt idx="4">
                  <c:v>0.85662977344696911</c:v>
                </c:pt>
                <c:pt idx="5">
                  <c:v>0.87362977344696913</c:v>
                </c:pt>
                <c:pt idx="6">
                  <c:v>0.89062977344696936</c:v>
                </c:pt>
                <c:pt idx="7">
                  <c:v>0.90762977344696927</c:v>
                </c:pt>
                <c:pt idx="8">
                  <c:v>0.92462977344696928</c:v>
                </c:pt>
                <c:pt idx="9">
                  <c:v>0.9416297734469693</c:v>
                </c:pt>
                <c:pt idx="10">
                  <c:v>0.95862977344696942</c:v>
                </c:pt>
                <c:pt idx="11">
                  <c:v>0.97562977344696944</c:v>
                </c:pt>
                <c:pt idx="12">
                  <c:v>0.99262977344696945</c:v>
                </c:pt>
                <c:pt idx="13">
                  <c:v>1.0096297734469695</c:v>
                </c:pt>
                <c:pt idx="14">
                  <c:v>1.0266297734469696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4.433846851938501</c:v>
                </c:pt>
                <c:pt idx="1">
                  <c:v>4.6544350872326188</c:v>
                </c:pt>
                <c:pt idx="2">
                  <c:v>4.8750233225267365</c:v>
                </c:pt>
                <c:pt idx="3">
                  <c:v>5.0956115578208543</c:v>
                </c:pt>
                <c:pt idx="4">
                  <c:v>5.3161997931149729</c:v>
                </c:pt>
                <c:pt idx="5">
                  <c:v>5.5367880284090898</c:v>
                </c:pt>
                <c:pt idx="6">
                  <c:v>5.7573762637032075</c:v>
                </c:pt>
                <c:pt idx="7">
                  <c:v>5.9779644989973253</c:v>
                </c:pt>
                <c:pt idx="8">
                  <c:v>6.198552734291443</c:v>
                </c:pt>
                <c:pt idx="9">
                  <c:v>6.4191409695855608</c:v>
                </c:pt>
                <c:pt idx="10">
                  <c:v>6.6397292048796794</c:v>
                </c:pt>
                <c:pt idx="11">
                  <c:v>6.8603174401737972</c:v>
                </c:pt>
                <c:pt idx="12">
                  <c:v>7.0809056754679149</c:v>
                </c:pt>
                <c:pt idx="13">
                  <c:v>7.3014939107620327</c:v>
                </c:pt>
                <c:pt idx="14">
                  <c:v>7.5220821460561504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5.1154857443181818</c:v>
                </c:pt>
                <c:pt idx="1">
                  <c:v>5.2654857443181822</c:v>
                </c:pt>
                <c:pt idx="2">
                  <c:v>5.4154857443181825</c:v>
                </c:pt>
                <c:pt idx="3">
                  <c:v>5.565485744318182</c:v>
                </c:pt>
                <c:pt idx="4">
                  <c:v>5.7154857443181823</c:v>
                </c:pt>
                <c:pt idx="5">
                  <c:v>5.8654857443181818</c:v>
                </c:pt>
                <c:pt idx="6">
                  <c:v>6.0154857443181822</c:v>
                </c:pt>
                <c:pt idx="7">
                  <c:v>6.1654857443181825</c:v>
                </c:pt>
                <c:pt idx="8">
                  <c:v>6.315485744318182</c:v>
                </c:pt>
                <c:pt idx="9">
                  <c:v>6.4654857443181823</c:v>
                </c:pt>
                <c:pt idx="10">
                  <c:v>6.6154857443181818</c:v>
                </c:pt>
                <c:pt idx="11">
                  <c:v>6.7654857443181831</c:v>
                </c:pt>
                <c:pt idx="12">
                  <c:v>6.9154857443181834</c:v>
                </c:pt>
                <c:pt idx="13">
                  <c:v>7.0654857443181838</c:v>
                </c:pt>
                <c:pt idx="14">
                  <c:v>7.2154857443181832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396.56547207446789</c:v>
                </c:pt>
                <c:pt idx="1">
                  <c:v>409.33142952127639</c:v>
                </c:pt>
                <c:pt idx="2">
                  <c:v>422.09738696808489</c:v>
                </c:pt>
                <c:pt idx="3">
                  <c:v>434.8633444148935</c:v>
                </c:pt>
                <c:pt idx="4">
                  <c:v>447.629301861702</c:v>
                </c:pt>
                <c:pt idx="5">
                  <c:v>460.39525930851056</c:v>
                </c:pt>
                <c:pt idx="6">
                  <c:v>473.16121675531912</c:v>
                </c:pt>
                <c:pt idx="7">
                  <c:v>485.92717420212767</c:v>
                </c:pt>
                <c:pt idx="8">
                  <c:v>498.69313164893617</c:v>
                </c:pt>
                <c:pt idx="9">
                  <c:v>511.45908909574467</c:v>
                </c:pt>
                <c:pt idx="10">
                  <c:v>524.22504654255329</c:v>
                </c:pt>
                <c:pt idx="11">
                  <c:v>536.99100398936184</c:v>
                </c:pt>
                <c:pt idx="12">
                  <c:v>549.75696143617029</c:v>
                </c:pt>
                <c:pt idx="13">
                  <c:v>562.52291888297884</c:v>
                </c:pt>
                <c:pt idx="14">
                  <c:v>575.2888763297874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397.63725716911745</c:v>
                </c:pt>
                <c:pt idx="1">
                  <c:v>405.13725716911745</c:v>
                </c:pt>
                <c:pt idx="2">
                  <c:v>412.63725716911756</c:v>
                </c:pt>
                <c:pt idx="3">
                  <c:v>420.13725716911756</c:v>
                </c:pt>
                <c:pt idx="4">
                  <c:v>427.63725716911756</c:v>
                </c:pt>
                <c:pt idx="5">
                  <c:v>435.13725716911756</c:v>
                </c:pt>
                <c:pt idx="6">
                  <c:v>442.63725716911762</c:v>
                </c:pt>
                <c:pt idx="7">
                  <c:v>450.13725716911762</c:v>
                </c:pt>
                <c:pt idx="8">
                  <c:v>457.63725716911762</c:v>
                </c:pt>
                <c:pt idx="9">
                  <c:v>465.13725716911762</c:v>
                </c:pt>
                <c:pt idx="10">
                  <c:v>472.63725716911767</c:v>
                </c:pt>
                <c:pt idx="11">
                  <c:v>480.13725716911773</c:v>
                </c:pt>
                <c:pt idx="12">
                  <c:v>487.63725716911773</c:v>
                </c:pt>
                <c:pt idx="13">
                  <c:v>495.13725716911767</c:v>
                </c:pt>
                <c:pt idx="14">
                  <c:v>502.63725716911779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8.9686455052083254</c:v>
                </c:pt>
                <c:pt idx="1">
                  <c:v>9.4686455052083254</c:v>
                </c:pt>
                <c:pt idx="2">
                  <c:v>9.9686455052083254</c:v>
                </c:pt>
                <c:pt idx="3">
                  <c:v>10.468645505208331</c:v>
                </c:pt>
                <c:pt idx="4">
                  <c:v>10.968645505208331</c:v>
                </c:pt>
                <c:pt idx="5">
                  <c:v>11.468645505208331</c:v>
                </c:pt>
                <c:pt idx="6">
                  <c:v>11.968645505208334</c:v>
                </c:pt>
                <c:pt idx="7">
                  <c:v>12.468645505208334</c:v>
                </c:pt>
                <c:pt idx="8">
                  <c:v>12.968645505208334</c:v>
                </c:pt>
                <c:pt idx="9">
                  <c:v>13.468645505208334</c:v>
                </c:pt>
                <c:pt idx="10">
                  <c:v>13.968645505208338</c:v>
                </c:pt>
                <c:pt idx="11">
                  <c:v>14.468645505208338</c:v>
                </c:pt>
                <c:pt idx="12">
                  <c:v>14.968645505208338</c:v>
                </c:pt>
                <c:pt idx="13">
                  <c:v>15.468645505208341</c:v>
                </c:pt>
                <c:pt idx="14">
                  <c:v>15.968645505208341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10.774894927083324</c:v>
                </c:pt>
                <c:pt idx="1">
                  <c:v>11.199894927083326</c:v>
                </c:pt>
                <c:pt idx="2">
                  <c:v>11.624894927083327</c:v>
                </c:pt>
                <c:pt idx="3">
                  <c:v>12.049894927083328</c:v>
                </c:pt>
                <c:pt idx="4">
                  <c:v>12.474894927083328</c:v>
                </c:pt>
                <c:pt idx="5">
                  <c:v>12.899894927083327</c:v>
                </c:pt>
                <c:pt idx="6">
                  <c:v>13.324894927083331</c:v>
                </c:pt>
                <c:pt idx="7">
                  <c:v>13.74989492708333</c:v>
                </c:pt>
                <c:pt idx="8">
                  <c:v>14.174894927083331</c:v>
                </c:pt>
                <c:pt idx="9">
                  <c:v>14.599894927083332</c:v>
                </c:pt>
                <c:pt idx="10">
                  <c:v>15.024894927083334</c:v>
                </c:pt>
                <c:pt idx="11">
                  <c:v>15.449894927083335</c:v>
                </c:pt>
                <c:pt idx="12">
                  <c:v>15.874894927083336</c:v>
                </c:pt>
                <c:pt idx="13">
                  <c:v>16.299894927083336</c:v>
                </c:pt>
                <c:pt idx="14">
                  <c:v>16.724894927083337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0.84071817360321976</c:v>
                </c:pt>
                <c:pt idx="1">
                  <c:v>0.85821817360321973</c:v>
                </c:pt>
                <c:pt idx="2">
                  <c:v>0.87571817360321969</c:v>
                </c:pt>
                <c:pt idx="3">
                  <c:v>0.89321817360321976</c:v>
                </c:pt>
                <c:pt idx="4">
                  <c:v>0.91071817360321972</c:v>
                </c:pt>
                <c:pt idx="5">
                  <c:v>0.92821817360321968</c:v>
                </c:pt>
                <c:pt idx="6">
                  <c:v>0.94571817360321975</c:v>
                </c:pt>
                <c:pt idx="7">
                  <c:v>0.96321817360321949</c:v>
                </c:pt>
                <c:pt idx="8">
                  <c:v>0.98071817360321956</c:v>
                </c:pt>
                <c:pt idx="9">
                  <c:v>0.99821817360321952</c:v>
                </c:pt>
                <c:pt idx="10">
                  <c:v>1.0157181736032195</c:v>
                </c:pt>
                <c:pt idx="11">
                  <c:v>1.0332181736032195</c:v>
                </c:pt>
                <c:pt idx="12">
                  <c:v>1.0507181736032196</c:v>
                </c:pt>
                <c:pt idx="13">
                  <c:v>1.0682181736032195</c:v>
                </c:pt>
                <c:pt idx="14">
                  <c:v>1.0857181736032195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0.81163397636363621</c:v>
                </c:pt>
                <c:pt idx="1">
                  <c:v>0.82563397636363622</c:v>
                </c:pt>
                <c:pt idx="2">
                  <c:v>0.83963397636363601</c:v>
                </c:pt>
                <c:pt idx="3">
                  <c:v>0.85363397636363603</c:v>
                </c:pt>
                <c:pt idx="4">
                  <c:v>0.86763397636363604</c:v>
                </c:pt>
                <c:pt idx="5">
                  <c:v>0.88163397636363605</c:v>
                </c:pt>
                <c:pt idx="6">
                  <c:v>0.89563397636363606</c:v>
                </c:pt>
                <c:pt idx="7">
                  <c:v>0.90963397636363608</c:v>
                </c:pt>
                <c:pt idx="8">
                  <c:v>0.92363397636363609</c:v>
                </c:pt>
                <c:pt idx="9">
                  <c:v>0.9376339763636361</c:v>
                </c:pt>
                <c:pt idx="10">
                  <c:v>0.95163397636363611</c:v>
                </c:pt>
                <c:pt idx="11">
                  <c:v>0.96563397636363602</c:v>
                </c:pt>
                <c:pt idx="12">
                  <c:v>0.97963397636363603</c:v>
                </c:pt>
                <c:pt idx="13">
                  <c:v>0.99363397636363604</c:v>
                </c:pt>
                <c:pt idx="14">
                  <c:v>1.0076339763636362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457.36601236702137</c:v>
                </c:pt>
                <c:pt idx="1">
                  <c:v>466.30218257978731</c:v>
                </c:pt>
                <c:pt idx="2">
                  <c:v>475.23835279255326</c:v>
                </c:pt>
                <c:pt idx="3">
                  <c:v>484.1745230053192</c:v>
                </c:pt>
                <c:pt idx="4">
                  <c:v>493.1106932180852</c:v>
                </c:pt>
                <c:pt idx="5">
                  <c:v>502.04686343085115</c:v>
                </c:pt>
                <c:pt idx="6">
                  <c:v>510.98303364361709</c:v>
                </c:pt>
                <c:pt idx="7">
                  <c:v>519.91920385638298</c:v>
                </c:pt>
                <c:pt idx="8">
                  <c:v>528.85537406914898</c:v>
                </c:pt>
                <c:pt idx="9">
                  <c:v>537.79154428191487</c:v>
                </c:pt>
                <c:pt idx="10">
                  <c:v>546.72771449468087</c:v>
                </c:pt>
                <c:pt idx="11">
                  <c:v>555.66388470744675</c:v>
                </c:pt>
                <c:pt idx="12">
                  <c:v>564.60005492021287</c:v>
                </c:pt>
                <c:pt idx="13">
                  <c:v>573.53622513297876</c:v>
                </c:pt>
                <c:pt idx="14">
                  <c:v>582.47239534574464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407.7861702205883</c:v>
                </c:pt>
                <c:pt idx="1">
                  <c:v>413.96264080882361</c:v>
                </c:pt>
                <c:pt idx="2">
                  <c:v>420.13911139705885</c:v>
                </c:pt>
                <c:pt idx="3">
                  <c:v>426.3155819852941</c:v>
                </c:pt>
                <c:pt idx="4">
                  <c:v>432.49205257352941</c:v>
                </c:pt>
                <c:pt idx="5">
                  <c:v>438.66852316176471</c:v>
                </c:pt>
                <c:pt idx="6">
                  <c:v>444.84499375000001</c:v>
                </c:pt>
                <c:pt idx="7">
                  <c:v>451.02146433823532</c:v>
                </c:pt>
                <c:pt idx="8">
                  <c:v>457.19793492647062</c:v>
                </c:pt>
                <c:pt idx="9">
                  <c:v>463.37440551470587</c:v>
                </c:pt>
                <c:pt idx="10">
                  <c:v>469.55087610294117</c:v>
                </c:pt>
                <c:pt idx="11">
                  <c:v>475.72734669117648</c:v>
                </c:pt>
                <c:pt idx="12">
                  <c:v>481.90381727941178</c:v>
                </c:pt>
                <c:pt idx="13">
                  <c:v>488.08028786764709</c:v>
                </c:pt>
                <c:pt idx="14">
                  <c:v>494.25675845588233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6.4644063484375014</c:v>
                </c:pt>
                <c:pt idx="1">
                  <c:v>6.5694063484375009</c:v>
                </c:pt>
                <c:pt idx="2">
                  <c:v>6.6744063484375014</c:v>
                </c:pt>
                <c:pt idx="3">
                  <c:v>6.7794063484375009</c:v>
                </c:pt>
                <c:pt idx="4">
                  <c:v>6.8844063484375013</c:v>
                </c:pt>
                <c:pt idx="5">
                  <c:v>6.9894063484375009</c:v>
                </c:pt>
                <c:pt idx="6">
                  <c:v>7.0944063484375013</c:v>
                </c:pt>
                <c:pt idx="7">
                  <c:v>7.1994063484374999</c:v>
                </c:pt>
                <c:pt idx="8">
                  <c:v>7.3044063484374995</c:v>
                </c:pt>
                <c:pt idx="9">
                  <c:v>7.4094063484374999</c:v>
                </c:pt>
                <c:pt idx="10">
                  <c:v>7.5144063484375003</c:v>
                </c:pt>
                <c:pt idx="11">
                  <c:v>7.6194063484374999</c:v>
                </c:pt>
                <c:pt idx="12">
                  <c:v>7.7244063484375003</c:v>
                </c:pt>
                <c:pt idx="13">
                  <c:v>7.8294063484374998</c:v>
                </c:pt>
                <c:pt idx="14">
                  <c:v>7.9344063484375003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11.350000000000003</c:v>
                </c:pt>
                <c:pt idx="1">
                  <c:v>11.700000000000003</c:v>
                </c:pt>
                <c:pt idx="2">
                  <c:v>12.050000000000002</c:v>
                </c:pt>
                <c:pt idx="3">
                  <c:v>12.400000000000002</c:v>
                </c:pt>
                <c:pt idx="4">
                  <c:v>12.750000000000002</c:v>
                </c:pt>
                <c:pt idx="5">
                  <c:v>13.100000000000001</c:v>
                </c:pt>
                <c:pt idx="6">
                  <c:v>13.450000000000001</c:v>
                </c:pt>
                <c:pt idx="7">
                  <c:v>13.8</c:v>
                </c:pt>
                <c:pt idx="8">
                  <c:v>14.15</c:v>
                </c:pt>
                <c:pt idx="9">
                  <c:v>14.5</c:v>
                </c:pt>
                <c:pt idx="10">
                  <c:v>14.85</c:v>
                </c:pt>
                <c:pt idx="11">
                  <c:v>15.2</c:v>
                </c:pt>
                <c:pt idx="12">
                  <c:v>15.549999999999999</c:v>
                </c:pt>
                <c:pt idx="13">
                  <c:v>15.899999999999999</c:v>
                </c:pt>
                <c:pt idx="14">
                  <c:v>16.25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5.952978261029414</c:v>
                </c:pt>
                <c:pt idx="1">
                  <c:v>6.0765076727941194</c:v>
                </c:pt>
                <c:pt idx="2">
                  <c:v>6.200037084558824</c:v>
                </c:pt>
                <c:pt idx="3">
                  <c:v>6.3235664963235303</c:v>
                </c:pt>
                <c:pt idx="4">
                  <c:v>6.4470959080882357</c:v>
                </c:pt>
                <c:pt idx="5">
                  <c:v>6.5706253198529421</c:v>
                </c:pt>
                <c:pt idx="6">
                  <c:v>6.6941547316176475</c:v>
                </c:pt>
                <c:pt idx="7">
                  <c:v>6.8176841433823538</c:v>
                </c:pt>
                <c:pt idx="8">
                  <c:v>6.9412135551470593</c:v>
                </c:pt>
                <c:pt idx="9">
                  <c:v>7.0647429669117656</c:v>
                </c:pt>
                <c:pt idx="10">
                  <c:v>7.1882723786764711</c:v>
                </c:pt>
                <c:pt idx="11">
                  <c:v>7.3118017904411774</c:v>
                </c:pt>
                <c:pt idx="12">
                  <c:v>7.4353312022058828</c:v>
                </c:pt>
                <c:pt idx="13">
                  <c:v>7.5588606139705892</c:v>
                </c:pt>
                <c:pt idx="14">
                  <c:v>7.6823900257352946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7.4715151742424215</c:v>
                </c:pt>
                <c:pt idx="1">
                  <c:v>8.0965151742424233</c:v>
                </c:pt>
                <c:pt idx="2">
                  <c:v>8.7215151742424233</c:v>
                </c:pt>
                <c:pt idx="3">
                  <c:v>9.3465151742424233</c:v>
                </c:pt>
                <c:pt idx="4">
                  <c:v>9.9715151742424251</c:v>
                </c:pt>
                <c:pt idx="5">
                  <c:v>10.596515174242425</c:v>
                </c:pt>
                <c:pt idx="6">
                  <c:v>11.221515174242425</c:v>
                </c:pt>
                <c:pt idx="7">
                  <c:v>11.846515174242425</c:v>
                </c:pt>
                <c:pt idx="8">
                  <c:v>12.471515174242425</c:v>
                </c:pt>
                <c:pt idx="9">
                  <c:v>13.096515174242425</c:v>
                </c:pt>
                <c:pt idx="10">
                  <c:v>13.721515174242429</c:v>
                </c:pt>
                <c:pt idx="11">
                  <c:v>14.346515174242429</c:v>
                </c:pt>
                <c:pt idx="12">
                  <c:v>14.971515174242429</c:v>
                </c:pt>
                <c:pt idx="13">
                  <c:v>15.596515174242429</c:v>
                </c:pt>
                <c:pt idx="14">
                  <c:v>16.22151517424243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0.60499999999999987</c:v>
                </c:pt>
                <c:pt idx="1">
                  <c:v>0.62999999999999989</c:v>
                </c:pt>
                <c:pt idx="2">
                  <c:v>0.65499999999999992</c:v>
                </c:pt>
                <c:pt idx="3">
                  <c:v>0.67999999999999994</c:v>
                </c:pt>
                <c:pt idx="4">
                  <c:v>0.70499999999999996</c:v>
                </c:pt>
                <c:pt idx="5">
                  <c:v>0.73</c:v>
                </c:pt>
                <c:pt idx="6">
                  <c:v>0.755</c:v>
                </c:pt>
                <c:pt idx="7">
                  <c:v>0.78</c:v>
                </c:pt>
                <c:pt idx="8">
                  <c:v>0.80500000000000005</c:v>
                </c:pt>
                <c:pt idx="9">
                  <c:v>0.83000000000000007</c:v>
                </c:pt>
                <c:pt idx="10">
                  <c:v>0.85500000000000009</c:v>
                </c:pt>
                <c:pt idx="11">
                  <c:v>0.88000000000000012</c:v>
                </c:pt>
                <c:pt idx="12">
                  <c:v>0.90500000000000014</c:v>
                </c:pt>
                <c:pt idx="13">
                  <c:v>0.93000000000000016</c:v>
                </c:pt>
                <c:pt idx="14">
                  <c:v>0.95500000000000018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7.2808750696022706</c:v>
                </c:pt>
                <c:pt idx="1">
                  <c:v>7.7808750696022706</c:v>
                </c:pt>
                <c:pt idx="2">
                  <c:v>8.2808750696022706</c:v>
                </c:pt>
                <c:pt idx="3">
                  <c:v>8.7808750696022706</c:v>
                </c:pt>
                <c:pt idx="4">
                  <c:v>9.2808750696022724</c:v>
                </c:pt>
                <c:pt idx="5">
                  <c:v>9.7808750696022724</c:v>
                </c:pt>
                <c:pt idx="6">
                  <c:v>10.280875069602272</c:v>
                </c:pt>
                <c:pt idx="7">
                  <c:v>10.780875069602272</c:v>
                </c:pt>
                <c:pt idx="8">
                  <c:v>11.280875069602274</c:v>
                </c:pt>
                <c:pt idx="9">
                  <c:v>11.780875069602274</c:v>
                </c:pt>
                <c:pt idx="10">
                  <c:v>12.280875069602272</c:v>
                </c:pt>
                <c:pt idx="11">
                  <c:v>12.780875069602276</c:v>
                </c:pt>
                <c:pt idx="12">
                  <c:v>13.280875069602276</c:v>
                </c:pt>
                <c:pt idx="13">
                  <c:v>13.780875069602276</c:v>
                </c:pt>
                <c:pt idx="14">
                  <c:v>14.280875069602276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0.74180982386363647</c:v>
                </c:pt>
                <c:pt idx="1">
                  <c:v>0.7644764905303032</c:v>
                </c:pt>
                <c:pt idx="2">
                  <c:v>0.78714315719696981</c:v>
                </c:pt>
                <c:pt idx="3">
                  <c:v>0.80980982386363654</c:v>
                </c:pt>
                <c:pt idx="4">
                  <c:v>0.83247649053030315</c:v>
                </c:pt>
                <c:pt idx="5">
                  <c:v>0.85514315719696987</c:v>
                </c:pt>
                <c:pt idx="6">
                  <c:v>0.87780982386363648</c:v>
                </c:pt>
                <c:pt idx="7">
                  <c:v>0.90047649053030321</c:v>
                </c:pt>
                <c:pt idx="8">
                  <c:v>0.92314315719696982</c:v>
                </c:pt>
                <c:pt idx="9">
                  <c:v>0.94580982386363655</c:v>
                </c:pt>
                <c:pt idx="10">
                  <c:v>0.96847649053030316</c:v>
                </c:pt>
                <c:pt idx="11">
                  <c:v>0.99114315719696988</c:v>
                </c:pt>
                <c:pt idx="12">
                  <c:v>1.0138098238636366</c:v>
                </c:pt>
                <c:pt idx="13">
                  <c:v>1.0364764905303032</c:v>
                </c:pt>
                <c:pt idx="14">
                  <c:v>1.0591431571969698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0.69908889938446961</c:v>
                </c:pt>
                <c:pt idx="1">
                  <c:v>0.71867223271780301</c:v>
                </c:pt>
                <c:pt idx="2">
                  <c:v>0.73825556605113629</c:v>
                </c:pt>
                <c:pt idx="3">
                  <c:v>0.75783889938446969</c:v>
                </c:pt>
                <c:pt idx="4">
                  <c:v>0.77742223271780297</c:v>
                </c:pt>
                <c:pt idx="5">
                  <c:v>0.79700556605113637</c:v>
                </c:pt>
                <c:pt idx="6">
                  <c:v>0.81658889938446966</c:v>
                </c:pt>
                <c:pt idx="7">
                  <c:v>0.83617223271780294</c:v>
                </c:pt>
                <c:pt idx="8">
                  <c:v>0.85575556605113623</c:v>
                </c:pt>
                <c:pt idx="9">
                  <c:v>0.87533889938446952</c:v>
                </c:pt>
                <c:pt idx="10">
                  <c:v>0.89492223271780291</c:v>
                </c:pt>
                <c:pt idx="11">
                  <c:v>0.9145055660511362</c:v>
                </c:pt>
                <c:pt idx="12">
                  <c:v>0.9340888993844696</c:v>
                </c:pt>
                <c:pt idx="13">
                  <c:v>0.95367223271780288</c:v>
                </c:pt>
                <c:pt idx="14">
                  <c:v>0.97325556605113628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5.6409923566176481</c:v>
                </c:pt>
                <c:pt idx="1">
                  <c:v>5.8409923566176474</c:v>
                </c:pt>
                <c:pt idx="2">
                  <c:v>6.0409923566176476</c:v>
                </c:pt>
                <c:pt idx="3">
                  <c:v>6.2409923566176477</c:v>
                </c:pt>
                <c:pt idx="4">
                  <c:v>6.4409923566176479</c:v>
                </c:pt>
                <c:pt idx="5">
                  <c:v>6.6409923566176481</c:v>
                </c:pt>
                <c:pt idx="6">
                  <c:v>6.8409923566176474</c:v>
                </c:pt>
                <c:pt idx="7">
                  <c:v>7.0409923566176476</c:v>
                </c:pt>
                <c:pt idx="8">
                  <c:v>7.2409923566176477</c:v>
                </c:pt>
                <c:pt idx="9">
                  <c:v>7.4409923566176479</c:v>
                </c:pt>
                <c:pt idx="10">
                  <c:v>7.6409923566176481</c:v>
                </c:pt>
                <c:pt idx="11">
                  <c:v>7.8409923566176474</c:v>
                </c:pt>
                <c:pt idx="12">
                  <c:v>8.0409923566176484</c:v>
                </c:pt>
                <c:pt idx="13">
                  <c:v>8.2409923566176477</c:v>
                </c:pt>
                <c:pt idx="14">
                  <c:v>8.440992356617647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5.6800191406249994</c:v>
                </c:pt>
                <c:pt idx="1">
                  <c:v>5.797519140625</c:v>
                </c:pt>
                <c:pt idx="2">
                  <c:v>5.9150191406249997</c:v>
                </c:pt>
                <c:pt idx="3">
                  <c:v>6.0325191406249994</c:v>
                </c:pt>
                <c:pt idx="4">
                  <c:v>6.150019140625</c:v>
                </c:pt>
                <c:pt idx="5">
                  <c:v>6.2675191406249997</c:v>
                </c:pt>
                <c:pt idx="6">
                  <c:v>6.3850191406249994</c:v>
                </c:pt>
                <c:pt idx="7">
                  <c:v>6.502519140625</c:v>
                </c:pt>
                <c:pt idx="8">
                  <c:v>6.6200191406249997</c:v>
                </c:pt>
                <c:pt idx="9">
                  <c:v>6.7375191406249995</c:v>
                </c:pt>
                <c:pt idx="10">
                  <c:v>6.8550191406250001</c:v>
                </c:pt>
                <c:pt idx="11">
                  <c:v>6.9725191406249998</c:v>
                </c:pt>
                <c:pt idx="12">
                  <c:v>7.0900191406249995</c:v>
                </c:pt>
                <c:pt idx="13">
                  <c:v>7.2075191406249992</c:v>
                </c:pt>
                <c:pt idx="14">
                  <c:v>7.3250191406249998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10.891760770833338</c:v>
                </c:pt>
                <c:pt idx="1">
                  <c:v>11.458427437500005</c:v>
                </c:pt>
                <c:pt idx="2">
                  <c:v>12.025094104166671</c:v>
                </c:pt>
                <c:pt idx="3">
                  <c:v>12.591760770833337</c:v>
                </c:pt>
                <c:pt idx="4">
                  <c:v>13.158427437500004</c:v>
                </c:pt>
                <c:pt idx="5">
                  <c:v>13.72509410416667</c:v>
                </c:pt>
                <c:pt idx="6">
                  <c:v>14.291760770833339</c:v>
                </c:pt>
                <c:pt idx="7">
                  <c:v>14.858427437500005</c:v>
                </c:pt>
                <c:pt idx="8">
                  <c:v>15.425094104166671</c:v>
                </c:pt>
                <c:pt idx="9">
                  <c:v>15.991760770833338</c:v>
                </c:pt>
                <c:pt idx="10">
                  <c:v>16.558427437500004</c:v>
                </c:pt>
                <c:pt idx="11">
                  <c:v>17.125094104166671</c:v>
                </c:pt>
                <c:pt idx="12">
                  <c:v>17.691760770833337</c:v>
                </c:pt>
                <c:pt idx="13">
                  <c:v>18.258427437500004</c:v>
                </c:pt>
                <c:pt idx="14">
                  <c:v>18.82509410416667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405</c:v>
                </c:pt>
                <c:pt idx="1">
                  <c:v>415</c:v>
                </c:pt>
                <c:pt idx="2">
                  <c:v>425</c:v>
                </c:pt>
                <c:pt idx="3">
                  <c:v>435</c:v>
                </c:pt>
                <c:pt idx="4">
                  <c:v>445</c:v>
                </c:pt>
                <c:pt idx="5">
                  <c:v>455</c:v>
                </c:pt>
                <c:pt idx="6">
                  <c:v>465</c:v>
                </c:pt>
                <c:pt idx="7">
                  <c:v>475</c:v>
                </c:pt>
                <c:pt idx="8">
                  <c:v>485</c:v>
                </c:pt>
                <c:pt idx="9">
                  <c:v>495</c:v>
                </c:pt>
                <c:pt idx="10">
                  <c:v>505</c:v>
                </c:pt>
                <c:pt idx="11">
                  <c:v>515</c:v>
                </c:pt>
                <c:pt idx="12">
                  <c:v>525</c:v>
                </c:pt>
                <c:pt idx="13">
                  <c:v>535</c:v>
                </c:pt>
                <c:pt idx="14">
                  <c:v>545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9.1626530572916653</c:v>
                </c:pt>
                <c:pt idx="1">
                  <c:v>9.5543197239583328</c:v>
                </c:pt>
                <c:pt idx="2">
                  <c:v>9.9459863906249986</c:v>
                </c:pt>
                <c:pt idx="3">
                  <c:v>10.337653057291666</c:v>
                </c:pt>
                <c:pt idx="4">
                  <c:v>10.729319723958332</c:v>
                </c:pt>
                <c:pt idx="5">
                  <c:v>11.120986390624999</c:v>
                </c:pt>
                <c:pt idx="6">
                  <c:v>11.512653057291665</c:v>
                </c:pt>
                <c:pt idx="7">
                  <c:v>11.904319723958332</c:v>
                </c:pt>
                <c:pt idx="8">
                  <c:v>12.295986390624998</c:v>
                </c:pt>
                <c:pt idx="9">
                  <c:v>12.687653057291666</c:v>
                </c:pt>
                <c:pt idx="10">
                  <c:v>13.079319723958331</c:v>
                </c:pt>
                <c:pt idx="11">
                  <c:v>13.470986390624999</c:v>
                </c:pt>
                <c:pt idx="12">
                  <c:v>13.862653057291665</c:v>
                </c:pt>
                <c:pt idx="13">
                  <c:v>14.254319723958332</c:v>
                </c:pt>
                <c:pt idx="14">
                  <c:v>14.645986390625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0.71075237594696927</c:v>
                </c:pt>
                <c:pt idx="1">
                  <c:v>0.73575237594696929</c:v>
                </c:pt>
                <c:pt idx="2">
                  <c:v>0.76075237594696921</c:v>
                </c:pt>
                <c:pt idx="3">
                  <c:v>0.78575237594696945</c:v>
                </c:pt>
                <c:pt idx="4">
                  <c:v>0.81075237594696947</c:v>
                </c:pt>
                <c:pt idx="5">
                  <c:v>0.83575237594696938</c:v>
                </c:pt>
                <c:pt idx="6">
                  <c:v>0.86075237594696963</c:v>
                </c:pt>
                <c:pt idx="7">
                  <c:v>0.88575237594696965</c:v>
                </c:pt>
                <c:pt idx="8">
                  <c:v>0.91075237594696967</c:v>
                </c:pt>
                <c:pt idx="9">
                  <c:v>0.93575237594696958</c:v>
                </c:pt>
                <c:pt idx="10">
                  <c:v>0.96075237594696983</c:v>
                </c:pt>
                <c:pt idx="11">
                  <c:v>0.98575237594696985</c:v>
                </c:pt>
                <c:pt idx="12">
                  <c:v>1.0107523759469699</c:v>
                </c:pt>
                <c:pt idx="13">
                  <c:v>1.03575237594697</c:v>
                </c:pt>
                <c:pt idx="14">
                  <c:v>1.0607523759469699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0.75416402344696942</c:v>
                </c:pt>
                <c:pt idx="1">
                  <c:v>0.77116402344696966</c:v>
                </c:pt>
                <c:pt idx="2">
                  <c:v>0.78816402344696967</c:v>
                </c:pt>
                <c:pt idx="3">
                  <c:v>0.80516402344696958</c:v>
                </c:pt>
                <c:pt idx="4">
                  <c:v>0.82216402344696959</c:v>
                </c:pt>
                <c:pt idx="5">
                  <c:v>0.83916402344696961</c:v>
                </c:pt>
                <c:pt idx="6">
                  <c:v>0.85616402344696974</c:v>
                </c:pt>
                <c:pt idx="7">
                  <c:v>0.87316402344696975</c:v>
                </c:pt>
                <c:pt idx="8">
                  <c:v>0.89016402344696977</c:v>
                </c:pt>
                <c:pt idx="9">
                  <c:v>0.90716402344696978</c:v>
                </c:pt>
                <c:pt idx="10">
                  <c:v>0.92416402344696991</c:v>
                </c:pt>
                <c:pt idx="11">
                  <c:v>0.94116402344696992</c:v>
                </c:pt>
                <c:pt idx="12">
                  <c:v>0.95816402344696994</c:v>
                </c:pt>
                <c:pt idx="13">
                  <c:v>0.97516402344696995</c:v>
                </c:pt>
                <c:pt idx="14">
                  <c:v>0.99216402344697008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410.95581781914876</c:v>
                </c:pt>
                <c:pt idx="1">
                  <c:v>423.72177526595721</c:v>
                </c:pt>
                <c:pt idx="2">
                  <c:v>436.48773271276582</c:v>
                </c:pt>
                <c:pt idx="3">
                  <c:v>449.25369015957426</c:v>
                </c:pt>
                <c:pt idx="4">
                  <c:v>462.01964760638282</c:v>
                </c:pt>
                <c:pt idx="5">
                  <c:v>474.78560505319132</c:v>
                </c:pt>
                <c:pt idx="6">
                  <c:v>487.55156250000005</c:v>
                </c:pt>
                <c:pt idx="7">
                  <c:v>500.31751994680849</c:v>
                </c:pt>
                <c:pt idx="8">
                  <c:v>513.08347739361704</c:v>
                </c:pt>
                <c:pt idx="9">
                  <c:v>525.8494348404256</c:v>
                </c:pt>
                <c:pt idx="10">
                  <c:v>538.61539228723404</c:v>
                </c:pt>
                <c:pt idx="11">
                  <c:v>551.3813497340426</c:v>
                </c:pt>
                <c:pt idx="12">
                  <c:v>564.14730718085104</c:v>
                </c:pt>
                <c:pt idx="13">
                  <c:v>576.91326462765983</c:v>
                </c:pt>
                <c:pt idx="14">
                  <c:v>589.67922207446827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410.45038216911752</c:v>
                </c:pt>
                <c:pt idx="1">
                  <c:v>417.95038216911752</c:v>
                </c:pt>
                <c:pt idx="2">
                  <c:v>425.45038216911757</c:v>
                </c:pt>
                <c:pt idx="3">
                  <c:v>432.95038216911752</c:v>
                </c:pt>
                <c:pt idx="4">
                  <c:v>440.45038216911752</c:v>
                </c:pt>
                <c:pt idx="5">
                  <c:v>447.95038216911752</c:v>
                </c:pt>
                <c:pt idx="6">
                  <c:v>455.45038216911757</c:v>
                </c:pt>
                <c:pt idx="7">
                  <c:v>462.95038216911757</c:v>
                </c:pt>
                <c:pt idx="8">
                  <c:v>470.45038216911763</c:v>
                </c:pt>
                <c:pt idx="9">
                  <c:v>477.95038216911763</c:v>
                </c:pt>
                <c:pt idx="10">
                  <c:v>485.45038216911769</c:v>
                </c:pt>
                <c:pt idx="11">
                  <c:v>492.95038216911769</c:v>
                </c:pt>
                <c:pt idx="12">
                  <c:v>500.45038216911763</c:v>
                </c:pt>
                <c:pt idx="13">
                  <c:v>507.95038216911769</c:v>
                </c:pt>
                <c:pt idx="14">
                  <c:v>515.4503821691178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9.3959225885416569</c:v>
                </c:pt>
                <c:pt idx="1">
                  <c:v>9.8959225885416569</c:v>
                </c:pt>
                <c:pt idx="2">
                  <c:v>10.395922588541657</c:v>
                </c:pt>
                <c:pt idx="3">
                  <c:v>10.89592258854166</c:v>
                </c:pt>
                <c:pt idx="4">
                  <c:v>11.39592258854166</c:v>
                </c:pt>
                <c:pt idx="5">
                  <c:v>11.89592258854166</c:v>
                </c:pt>
                <c:pt idx="6">
                  <c:v>12.395922588541664</c:v>
                </c:pt>
                <c:pt idx="7">
                  <c:v>12.895922588541664</c:v>
                </c:pt>
                <c:pt idx="8">
                  <c:v>13.395922588541664</c:v>
                </c:pt>
                <c:pt idx="9">
                  <c:v>13.895922588541664</c:v>
                </c:pt>
                <c:pt idx="10">
                  <c:v>14.395922588541669</c:v>
                </c:pt>
                <c:pt idx="11">
                  <c:v>14.895922588541669</c:v>
                </c:pt>
                <c:pt idx="12">
                  <c:v>15.395922588541669</c:v>
                </c:pt>
                <c:pt idx="13">
                  <c:v>15.895922588541673</c:v>
                </c:pt>
                <c:pt idx="14">
                  <c:v>16.395922588541673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5.7499999999999973</c:v>
                </c:pt>
                <c:pt idx="1">
                  <c:v>5.8999999999999977</c:v>
                </c:pt>
                <c:pt idx="2">
                  <c:v>6.049999999999998</c:v>
                </c:pt>
                <c:pt idx="3">
                  <c:v>6.1999999999999984</c:v>
                </c:pt>
                <c:pt idx="4">
                  <c:v>6.3499999999999988</c:v>
                </c:pt>
                <c:pt idx="5">
                  <c:v>6.4999999999999991</c:v>
                </c:pt>
                <c:pt idx="6">
                  <c:v>6.6499999999999995</c:v>
                </c:pt>
                <c:pt idx="7">
                  <c:v>6.8</c:v>
                </c:pt>
                <c:pt idx="8">
                  <c:v>6.95</c:v>
                </c:pt>
                <c:pt idx="9">
                  <c:v>7.1000000000000005</c:v>
                </c:pt>
                <c:pt idx="10">
                  <c:v>7.2500000000000009</c:v>
                </c:pt>
                <c:pt idx="11">
                  <c:v>7.4000000000000012</c:v>
                </c:pt>
                <c:pt idx="12">
                  <c:v>7.5500000000000016</c:v>
                </c:pt>
                <c:pt idx="13">
                  <c:v>7.700000000000002</c:v>
                </c:pt>
                <c:pt idx="14">
                  <c:v>7.8500000000000023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11.200615760416662</c:v>
                </c:pt>
                <c:pt idx="1">
                  <c:v>11.625615760416663</c:v>
                </c:pt>
                <c:pt idx="2">
                  <c:v>12.050615760416665</c:v>
                </c:pt>
                <c:pt idx="3">
                  <c:v>12.475615760416666</c:v>
                </c:pt>
                <c:pt idx="4">
                  <c:v>12.900615760416665</c:v>
                </c:pt>
                <c:pt idx="5">
                  <c:v>13.325615760416666</c:v>
                </c:pt>
                <c:pt idx="6">
                  <c:v>13.75061576041667</c:v>
                </c:pt>
                <c:pt idx="7">
                  <c:v>14.175615760416669</c:v>
                </c:pt>
                <c:pt idx="8">
                  <c:v>14.60061576041667</c:v>
                </c:pt>
                <c:pt idx="9">
                  <c:v>15.025615760416668</c:v>
                </c:pt>
                <c:pt idx="10">
                  <c:v>15.450615760416673</c:v>
                </c:pt>
                <c:pt idx="11">
                  <c:v>15.875615760416673</c:v>
                </c:pt>
                <c:pt idx="12">
                  <c:v>16.300615760416672</c:v>
                </c:pt>
                <c:pt idx="13">
                  <c:v>16.725615760416673</c:v>
                </c:pt>
                <c:pt idx="14">
                  <c:v>17.150615760416674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 x14ac:dyDescent="0.15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 x14ac:dyDescent="0.15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 x14ac:dyDescent="0.15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 x14ac:dyDescent="0.15">
      <c r="A3" s="291">
        <f>AVERAGE(600, 586)</f>
        <v>593</v>
      </c>
      <c r="B3" s="291">
        <f>AVERAGE(537,551)</f>
        <v>544</v>
      </c>
      <c r="C3" s="291">
        <f>AVERAGE(311,301)</f>
        <v>306</v>
      </c>
      <c r="D3" s="291">
        <f>AVERAGE(617,597)</f>
        <v>607</v>
      </c>
      <c r="E3" s="291">
        <f>AVERAGE(268, 273)</f>
        <v>270.5</v>
      </c>
      <c r="F3" t="s">
        <v>185</v>
      </c>
    </row>
    <row r="4" spans="1:6" x14ac:dyDescent="0.15">
      <c r="A4" s="291">
        <f>A2-A3</f>
        <v>257</v>
      </c>
      <c r="B4" s="291">
        <f>B2-B3</f>
        <v>296</v>
      </c>
      <c r="C4" s="291">
        <f>C2-C3</f>
        <v>98</v>
      </c>
      <c r="D4" s="291">
        <f>D2-D3</f>
        <v>262</v>
      </c>
      <c r="E4" s="291">
        <f>E2-E3</f>
        <v>245.5</v>
      </c>
      <c r="F4" t="s">
        <v>187</v>
      </c>
    </row>
    <row r="5" spans="1:6" x14ac:dyDescent="0.15">
      <c r="A5" s="291">
        <f>A4-185</f>
        <v>72</v>
      </c>
      <c r="B5" s="291">
        <f>B4-185</f>
        <v>111</v>
      </c>
      <c r="C5" s="291">
        <f>C4-185</f>
        <v>-87</v>
      </c>
      <c r="D5" s="291">
        <f>D4-185</f>
        <v>77</v>
      </c>
      <c r="E5" s="291">
        <f>E4-185</f>
        <v>60.5</v>
      </c>
      <c r="F5" t="s">
        <v>188</v>
      </c>
    </row>
    <row r="8" spans="1:6" x14ac:dyDescent="0.15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 x14ac:dyDescent="0.15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 x14ac:dyDescent="0.15">
      <c r="A10" s="291">
        <f>AVERAGE(293,298)</f>
        <v>295.5</v>
      </c>
      <c r="B10" s="291">
        <f>AVERAGE(424, 445)</f>
        <v>434.5</v>
      </c>
      <c r="C10" s="291">
        <f>AVERAGE(199,198)</f>
        <v>198.5</v>
      </c>
      <c r="D10" s="291">
        <f>AVERAGE(537, 528)</f>
        <v>532.5</v>
      </c>
      <c r="E10" s="291">
        <f>AVERAGE(196, 208)</f>
        <v>202</v>
      </c>
      <c r="F10" t="s">
        <v>185</v>
      </c>
    </row>
    <row r="11" spans="1:6" x14ac:dyDescent="0.15">
      <c r="A11" s="291">
        <f>A9-A10</f>
        <v>65.5</v>
      </c>
      <c r="B11" s="291">
        <f>B9-B10</f>
        <v>90.5</v>
      </c>
      <c r="C11" s="291">
        <f>C9-C10</f>
        <v>64.5</v>
      </c>
      <c r="D11" s="291">
        <f>D9-D10</f>
        <v>97.5</v>
      </c>
      <c r="E11" s="291">
        <f>E9-E10</f>
        <v>56</v>
      </c>
      <c r="F11" t="s">
        <v>187</v>
      </c>
    </row>
    <row r="12" spans="1:6" x14ac:dyDescent="0.15">
      <c r="A12" s="291">
        <f>A11-75</f>
        <v>-9.5</v>
      </c>
      <c r="B12" s="291">
        <f>B11-75</f>
        <v>15.5</v>
      </c>
      <c r="C12" s="291">
        <f>C11-75</f>
        <v>-10.5</v>
      </c>
      <c r="D12" s="291">
        <f>D11-75</f>
        <v>22.5</v>
      </c>
      <c r="E12" s="291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16384" width="9.33203125" style="66"/>
  </cols>
  <sheetData>
    <row r="1" spans="1:13" s="53" customFormat="1" ht="12" hidden="1" x14ac:dyDescent="0.15">
      <c r="B1" s="438" t="s">
        <v>46</v>
      </c>
      <c r="C1" s="438"/>
      <c r="D1" s="438"/>
      <c r="E1" s="438"/>
      <c r="F1" s="438"/>
      <c r="G1" s="438"/>
    </row>
    <row r="2" spans="1:13" s="53" customFormat="1" ht="12" hidden="1" x14ac:dyDescent="0.15">
      <c r="A2" s="54" t="s">
        <v>40</v>
      </c>
      <c r="B2" s="55" t="str">
        <f>Conventional!L6</f>
        <v>Cotton</v>
      </c>
      <c r="C2" s="55" t="str">
        <f>Conventional!N6</f>
        <v>Peanuts</v>
      </c>
      <c r="D2" s="55" t="str">
        <f>Conventional!P6</f>
        <v>Corn</v>
      </c>
      <c r="E2" s="55" t="str">
        <f>Conventional!R6</f>
        <v>Soybeans</v>
      </c>
      <c r="F2" s="55" t="str">
        <f>Conventional!T6</f>
        <v>Sorghum</v>
      </c>
      <c r="G2" s="55" t="str">
        <f>Conventional!X6</f>
        <v>Wheat</v>
      </c>
    </row>
    <row r="3" spans="1:13" s="53" customFormat="1" ht="12" hidden="1" x14ac:dyDescent="0.15">
      <c r="A3" s="54" t="s">
        <v>41</v>
      </c>
      <c r="B3" s="56">
        <f>Conventional!L7</f>
        <v>750</v>
      </c>
      <c r="C3" s="56">
        <f>Conventional!N7</f>
        <v>3400</v>
      </c>
      <c r="D3" s="56">
        <f>Conventional!P7</f>
        <v>85</v>
      </c>
      <c r="E3" s="56">
        <f>Conventional!R7</f>
        <v>30</v>
      </c>
      <c r="F3" s="56">
        <f>Conventional!T7</f>
        <v>65</v>
      </c>
      <c r="G3" s="56">
        <f>Conventional!X7</f>
        <v>55</v>
      </c>
    </row>
    <row r="4" spans="1:13" s="53" customFormat="1" ht="12" hidden="1" x14ac:dyDescent="0.15">
      <c r="A4" s="53" t="s">
        <v>42</v>
      </c>
      <c r="B4" s="58">
        <f>Conventional!L8</f>
        <v>0.78</v>
      </c>
      <c r="C4" s="59">
        <f>Conventional!N8</f>
        <v>475</v>
      </c>
      <c r="D4" s="60">
        <f>Conventional!P8</f>
        <v>6.8</v>
      </c>
      <c r="E4" s="60">
        <f>Conventional!R8</f>
        <v>13.8</v>
      </c>
      <c r="F4" s="60">
        <f>Conventional!T8</f>
        <v>6.4</v>
      </c>
      <c r="G4" s="60">
        <f>Conventional!X8</f>
        <v>7.8</v>
      </c>
    </row>
    <row r="5" spans="1:13" s="53" customFormat="1" ht="12" hidden="1" x14ac:dyDescent="0.15">
      <c r="A5" s="61" t="s">
        <v>44</v>
      </c>
      <c r="B5" s="62">
        <f t="shared" ref="B5:G5" si="0">B3*B4</f>
        <v>585</v>
      </c>
      <c r="C5" s="62">
        <f>C3*C4/2000</f>
        <v>807.5</v>
      </c>
      <c r="D5" s="62">
        <f t="shared" si="0"/>
        <v>578</v>
      </c>
      <c r="E5" s="62">
        <f t="shared" si="0"/>
        <v>414</v>
      </c>
      <c r="F5" s="62">
        <f t="shared" si="0"/>
        <v>416</v>
      </c>
      <c r="G5" s="62">
        <f t="shared" si="0"/>
        <v>429</v>
      </c>
    </row>
    <row r="6" spans="1:13" s="53" customFormat="1" ht="12" hidden="1" x14ac:dyDescent="0.15">
      <c r="A6" s="61" t="s">
        <v>43</v>
      </c>
      <c r="B6" s="64">
        <f>Conventional!L30</f>
        <v>555.05786789772731</v>
      </c>
      <c r="C6" s="64">
        <f>Conventional!N30</f>
        <v>687.20049999999992</v>
      </c>
      <c r="D6" s="64">
        <f>Conventional!P30</f>
        <v>478.18485031249998</v>
      </c>
      <c r="E6" s="64">
        <f>Conventional!R30</f>
        <v>325.45332312500005</v>
      </c>
      <c r="F6" s="64">
        <f>Conventional!T30</f>
        <v>366.05246718749999</v>
      </c>
      <c r="G6" s="64">
        <f>Conventional!X30</f>
        <v>349.74312156249988</v>
      </c>
    </row>
    <row r="7" spans="1:13" s="53" customFormat="1" ht="16" x14ac:dyDescent="0.2">
      <c r="A7" s="441" t="s">
        <v>128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6" x14ac:dyDescent="0.2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15">
      <c r="A9" s="440" t="s">
        <v>153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</row>
    <row r="10" spans="1:13" x14ac:dyDescent="0.15">
      <c r="A10" s="434" t="s">
        <v>51</v>
      </c>
      <c r="B10" s="434"/>
      <c r="C10" s="434"/>
      <c r="D10" s="434"/>
      <c r="E10" s="434"/>
      <c r="F10" s="434"/>
      <c r="H10" s="434" t="s">
        <v>52</v>
      </c>
      <c r="I10" s="434"/>
      <c r="J10" s="434"/>
      <c r="K10" s="434"/>
      <c r="L10" s="434"/>
      <c r="M10" s="434"/>
    </row>
    <row r="11" spans="1:13" s="53" customFormat="1" ht="12" x14ac:dyDescent="0.15">
      <c r="A11" s="433" t="s">
        <v>36</v>
      </c>
      <c r="B11" s="433"/>
      <c r="C11" s="433"/>
      <c r="D11" s="433"/>
      <c r="E11" s="433"/>
      <c r="F11" s="433"/>
      <c r="H11" s="437" t="s">
        <v>36</v>
      </c>
      <c r="I11" s="437"/>
      <c r="J11" s="437"/>
      <c r="K11" s="437"/>
      <c r="L11" s="437"/>
      <c r="M11" s="437"/>
    </row>
    <row r="12" spans="1:13" x14ac:dyDescent="0.1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15">
      <c r="A13" s="74" t="s">
        <v>42</v>
      </c>
      <c r="B13" s="69">
        <f>0.75*D13</f>
        <v>63.75</v>
      </c>
      <c r="C13" s="69">
        <f>0.9*D13</f>
        <v>76.5</v>
      </c>
      <c r="D13" s="69">
        <f>D3</f>
        <v>85</v>
      </c>
      <c r="E13" s="69">
        <f>D13*1.1</f>
        <v>93.500000000000014</v>
      </c>
      <c r="F13" s="69">
        <f>D13*1.25</f>
        <v>106.25</v>
      </c>
      <c r="H13" s="74" t="s">
        <v>42</v>
      </c>
      <c r="I13" s="72">
        <f>0.75*K13</f>
        <v>562.5</v>
      </c>
      <c r="J13" s="72">
        <f>0.9*K13</f>
        <v>675</v>
      </c>
      <c r="K13" s="72">
        <f>B3</f>
        <v>750</v>
      </c>
      <c r="L13" s="72">
        <f>K13*1.1</f>
        <v>825.00000000000011</v>
      </c>
      <c r="M13" s="72">
        <f>K13*1.25</f>
        <v>937.5</v>
      </c>
    </row>
    <row r="14" spans="1:13" x14ac:dyDescent="0.15">
      <c r="A14" s="75">
        <f>Irrigated!A14</f>
        <v>4.76</v>
      </c>
      <c r="B14" s="76">
        <f>$A$14*B$13-$D$6</f>
        <v>-174.73485031249999</v>
      </c>
      <c r="C14" s="76">
        <f>$A$14*C$13-$D$6</f>
        <v>-114.04485031249999</v>
      </c>
      <c r="D14" s="76">
        <f>$A$14*D$13-$D$6</f>
        <v>-73.584850312500009</v>
      </c>
      <c r="E14" s="76">
        <f>$A$14*E$13-$D$6</f>
        <v>-33.124850312499916</v>
      </c>
      <c r="F14" s="76">
        <f>$A$14*F$13-$D$6</f>
        <v>27.565149687500025</v>
      </c>
      <c r="H14" s="75">
        <f>Irrigated!H14</f>
        <v>0.54599999999999993</v>
      </c>
      <c r="I14" s="76">
        <f>$H$14*I$13-$B$6</f>
        <v>-247.93286789772736</v>
      </c>
      <c r="J14" s="76">
        <f>$H$14*J$13-$B$6</f>
        <v>-186.50786789772735</v>
      </c>
      <c r="K14" s="76">
        <f>$H$14*K$13-$B$6</f>
        <v>-145.55786789772736</v>
      </c>
      <c r="L14" s="76">
        <f>$H$14*L$13-$B$6</f>
        <v>-104.60786789772732</v>
      </c>
      <c r="M14" s="76">
        <f>$H$14*M$13-$B$6</f>
        <v>-43.182867897727363</v>
      </c>
    </row>
    <row r="15" spans="1:13" x14ac:dyDescent="0.15">
      <c r="A15" s="77">
        <f>Irrigated!A15</f>
        <v>5.7799999999999994</v>
      </c>
      <c r="B15" s="78">
        <f>$A$15*B$13-$D$6</f>
        <v>-109.70985031250001</v>
      </c>
      <c r="C15" s="78">
        <f>$A$15*C$13-$D$6</f>
        <v>-36.014850312500016</v>
      </c>
      <c r="D15" s="78">
        <f>$A$15*D$13-$D$6</f>
        <v>13.115149687499979</v>
      </c>
      <c r="E15" s="78">
        <f>$A$15*E$13-$D$6</f>
        <v>62.245149687500088</v>
      </c>
      <c r="F15" s="78">
        <f>$A$15*F$13-$D$6</f>
        <v>135.94014968749991</v>
      </c>
      <c r="H15" s="77">
        <f>Irrigated!H15</f>
        <v>0.66300000000000003</v>
      </c>
      <c r="I15" s="78">
        <f>$H$15*I$13-$B$6</f>
        <v>-182.12036789772731</v>
      </c>
      <c r="J15" s="78">
        <f>$H$15*J$13-$B$6</f>
        <v>-107.53286789772727</v>
      </c>
      <c r="K15" s="78">
        <f>$H$15*K$13-$B$6</f>
        <v>-57.807867897727306</v>
      </c>
      <c r="L15" s="78">
        <f>$H$15*L$13-$B$6</f>
        <v>-8.0828678977271693</v>
      </c>
      <c r="M15" s="78">
        <f>$H$15*M$13-$B$6</f>
        <v>66.504632102272694</v>
      </c>
    </row>
    <row r="16" spans="1:13" x14ac:dyDescent="0.15">
      <c r="A16" s="77">
        <f>Irrigated!A16</f>
        <v>6.8</v>
      </c>
      <c r="B16" s="78">
        <f>$A$16*B$13-$D$6</f>
        <v>-44.684850312499975</v>
      </c>
      <c r="C16" s="78">
        <f>$A$16*C$13-$D$6</f>
        <v>42.015149687499957</v>
      </c>
      <c r="D16" s="78">
        <f>$A$16*D$13-$D$6</f>
        <v>99.815149687500025</v>
      </c>
      <c r="E16" s="78">
        <f>$A$16*E$13-$D$6</f>
        <v>157.61514968750009</v>
      </c>
      <c r="F16" s="78">
        <f>$A$16*F$13-$D$6</f>
        <v>244.31514968750002</v>
      </c>
      <c r="H16" s="77">
        <f>Irrigated!H16</f>
        <v>0.78</v>
      </c>
      <c r="I16" s="78">
        <f>$H$16*I$13-$B$6</f>
        <v>-116.30786789772731</v>
      </c>
      <c r="J16" s="78">
        <f>$H$16*J$13-$B$6</f>
        <v>-28.557867897727306</v>
      </c>
      <c r="K16" s="78">
        <f>$H$16*K$13-$B$6</f>
        <v>29.942132102272694</v>
      </c>
      <c r="L16" s="78">
        <f>$H$16*L$13-$B$6</f>
        <v>88.442132102272808</v>
      </c>
      <c r="M16" s="78">
        <f>$H$16*M$13-$B$6</f>
        <v>176.19213210227269</v>
      </c>
    </row>
    <row r="17" spans="1:13" x14ac:dyDescent="0.15">
      <c r="A17" s="77">
        <f>Irrigated!A17</f>
        <v>7.8199999999999994</v>
      </c>
      <c r="B17" s="78">
        <f>$A$17*B$13-$D$6</f>
        <v>20.340149687500002</v>
      </c>
      <c r="C17" s="78">
        <f>$A$17*C$13-$D$6</f>
        <v>120.04514968749993</v>
      </c>
      <c r="D17" s="78">
        <f>$A$17*D$13-$D$6</f>
        <v>186.51514968749996</v>
      </c>
      <c r="E17" s="78">
        <f>$A$17*E$13-$D$6</f>
        <v>252.9851496875001</v>
      </c>
      <c r="F17" s="78">
        <f>$A$17*F$13-$D$6</f>
        <v>352.69014968749991</v>
      </c>
      <c r="H17" s="77">
        <f>Irrigated!H17</f>
        <v>0.89699999999999991</v>
      </c>
      <c r="I17" s="78">
        <f>$H$17*I$13-$B$6</f>
        <v>-50.495367897727363</v>
      </c>
      <c r="J17" s="78">
        <f>$H$17*J$13-$B$6</f>
        <v>50.417132102272603</v>
      </c>
      <c r="K17" s="78">
        <f>$H$17*K$13-$B$6</f>
        <v>117.69213210227258</v>
      </c>
      <c r="L17" s="78">
        <f>$H$17*L$13-$B$6</f>
        <v>184.96713210227267</v>
      </c>
      <c r="M17" s="78">
        <f>$H$17*M$13-$B$6</f>
        <v>285.87963210227258</v>
      </c>
    </row>
    <row r="18" spans="1:13" x14ac:dyDescent="0.15">
      <c r="A18" s="79">
        <f>Irrigated!A18</f>
        <v>8.84</v>
      </c>
      <c r="B18" s="80">
        <f>$A$18*B$13-$D$6</f>
        <v>85.365149687499979</v>
      </c>
      <c r="C18" s="80">
        <f>$A$18*C$13-$D$6</f>
        <v>198.07514968750002</v>
      </c>
      <c r="D18" s="80">
        <f>$A$18*D$13-$D$6</f>
        <v>273.2151496875</v>
      </c>
      <c r="E18" s="80">
        <f>$A$18*E$13-$D$6</f>
        <v>348.3551496875001</v>
      </c>
      <c r="F18" s="80">
        <f>$A$18*F$13-$D$6</f>
        <v>461.06514968750002</v>
      </c>
      <c r="H18" s="79">
        <f>Irrigated!H18</f>
        <v>1.014</v>
      </c>
      <c r="I18" s="80">
        <f>$H$18*I$13-$B$6</f>
        <v>15.317132102272694</v>
      </c>
      <c r="J18" s="80">
        <f>$H$18*J$13-$B$6</f>
        <v>129.39213210227274</v>
      </c>
      <c r="K18" s="80">
        <f>$H$18*K$13-$B$6</f>
        <v>205.44213210227269</v>
      </c>
      <c r="L18" s="80">
        <f>$H$18*L$13-$B$6</f>
        <v>281.49213210227288</v>
      </c>
      <c r="M18" s="80">
        <f>$H$18*M$13-$B$6</f>
        <v>395.56713210227269</v>
      </c>
    </row>
    <row r="20" spans="1:13" x14ac:dyDescent="0.15">
      <c r="A20" s="434" t="s">
        <v>54</v>
      </c>
      <c r="B20" s="434"/>
      <c r="C20" s="434"/>
      <c r="D20" s="434"/>
      <c r="E20" s="434"/>
      <c r="F20" s="434"/>
      <c r="H20" s="435" t="s">
        <v>121</v>
      </c>
      <c r="I20" s="435"/>
      <c r="J20" s="435"/>
      <c r="K20" s="435"/>
      <c r="L20" s="435"/>
      <c r="M20" s="435"/>
    </row>
    <row r="21" spans="1:13" s="53" customFormat="1" ht="12" x14ac:dyDescent="0.15">
      <c r="A21" s="433" t="s">
        <v>36</v>
      </c>
      <c r="B21" s="433"/>
      <c r="C21" s="433"/>
      <c r="D21" s="433"/>
      <c r="E21" s="433"/>
      <c r="F21" s="433"/>
      <c r="H21" s="436" t="s">
        <v>36</v>
      </c>
      <c r="I21" s="436"/>
      <c r="J21" s="436"/>
      <c r="K21" s="436"/>
      <c r="L21" s="436"/>
      <c r="M21" s="436"/>
    </row>
    <row r="22" spans="1:13" x14ac:dyDescent="0.1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15">
      <c r="A23" s="74" t="s">
        <v>42</v>
      </c>
      <c r="B23" s="69">
        <f>0.75*D23</f>
        <v>48.75</v>
      </c>
      <c r="C23" s="69">
        <f>0.9*D23</f>
        <v>58.5</v>
      </c>
      <c r="D23" s="69">
        <f>F3</f>
        <v>65</v>
      </c>
      <c r="E23" s="69">
        <f>D23*1.1</f>
        <v>71.5</v>
      </c>
      <c r="F23" s="69">
        <f>D23*1.25</f>
        <v>81.25</v>
      </c>
      <c r="H23" s="74" t="s">
        <v>42</v>
      </c>
      <c r="I23" s="69">
        <f>0.75*K23</f>
        <v>2550</v>
      </c>
      <c r="J23" s="69">
        <f>0.9*K23</f>
        <v>3060</v>
      </c>
      <c r="K23" s="69">
        <f>C3</f>
        <v>3400</v>
      </c>
      <c r="L23" s="69">
        <f>K23*1.1</f>
        <v>3740.0000000000005</v>
      </c>
      <c r="M23" s="69">
        <f>K23*1.25</f>
        <v>4250</v>
      </c>
    </row>
    <row r="24" spans="1:13" x14ac:dyDescent="0.15">
      <c r="A24" s="75">
        <f>Irrigated!A24</f>
        <v>4.4799999999999995</v>
      </c>
      <c r="B24" s="76">
        <f>$A$24*B$23-$F$6</f>
        <v>-147.65246718750001</v>
      </c>
      <c r="C24" s="76">
        <f>$A$24*C$23-$F$6</f>
        <v>-103.9724671875</v>
      </c>
      <c r="D24" s="76">
        <f>$A$24*D$23-$F$6</f>
        <v>-74.852467187499997</v>
      </c>
      <c r="E24" s="76">
        <f>$A$24*E$23-$F$6</f>
        <v>-45.732467187499992</v>
      </c>
      <c r="F24" s="76">
        <f>$A$24*F$23-$F$6</f>
        <v>-2.0524671875000422</v>
      </c>
      <c r="H24" s="81">
        <f>Irrigated!H24</f>
        <v>332.5</v>
      </c>
      <c r="I24" s="76">
        <f>$H$24*I$23/2000-$C$6</f>
        <v>-263.26299999999992</v>
      </c>
      <c r="J24" s="76">
        <f>$H$24*J$23/2000-$C$6</f>
        <v>-178.4754999999999</v>
      </c>
      <c r="K24" s="76">
        <f>$H$24*K$23/2000-$C$6</f>
        <v>-121.95049999999992</v>
      </c>
      <c r="L24" s="76">
        <f>$H$24*L$23/2000-$C$6</f>
        <v>-65.425499999999829</v>
      </c>
      <c r="M24" s="76">
        <f>$H$24*M$23/2000-$C$6</f>
        <v>19.36200000000008</v>
      </c>
    </row>
    <row r="25" spans="1:13" x14ac:dyDescent="0.15">
      <c r="A25" s="77">
        <f>Irrigated!A25</f>
        <v>5.44</v>
      </c>
      <c r="B25" s="78">
        <f>$A$25*B$23-$F$6</f>
        <v>-100.85246718749994</v>
      </c>
      <c r="C25" s="78">
        <f>$A$25*C$23-$F$6</f>
        <v>-47.812467187499976</v>
      </c>
      <c r="D25" s="78">
        <f>$A$25*D$23-$F$6</f>
        <v>-12.452467187499963</v>
      </c>
      <c r="E25" s="78">
        <f>$A$25*E$23-$F$6</f>
        <v>22.907532812500051</v>
      </c>
      <c r="F25" s="78">
        <f>$A$25*F$23-$F$6</f>
        <v>75.947532812500071</v>
      </c>
      <c r="H25" s="82">
        <f>Irrigated!H25</f>
        <v>403.75</v>
      </c>
      <c r="I25" s="78">
        <f>$H$25*I$23/2000-$C$6</f>
        <v>-172.41924999999992</v>
      </c>
      <c r="J25" s="78">
        <f>$H$25*J$23/2000-$C$6</f>
        <v>-69.462999999999965</v>
      </c>
      <c r="K25" s="78">
        <f>$H$25*K$23/2000-$C$6</f>
        <v>-0.82549999999991996</v>
      </c>
      <c r="L25" s="78">
        <f>$H$25*L$23/2000-$C$6</f>
        <v>67.812000000000239</v>
      </c>
      <c r="M25" s="78">
        <f>$H$25*M$23/2000-$C$6</f>
        <v>170.76825000000008</v>
      </c>
    </row>
    <row r="26" spans="1:13" x14ac:dyDescent="0.15">
      <c r="A26" s="77">
        <f>Irrigated!A26</f>
        <v>6.4</v>
      </c>
      <c r="B26" s="78">
        <f>$A$26*B$23-$F$6</f>
        <v>-54.052467187499985</v>
      </c>
      <c r="C26" s="78">
        <f>$A$26*C$23-$F$6</f>
        <v>8.3475328125000487</v>
      </c>
      <c r="D26" s="78">
        <f>$A$26*D$23-$F$6</f>
        <v>49.947532812500015</v>
      </c>
      <c r="E26" s="78">
        <f>$A$26*E$23-$F$6</f>
        <v>91.547532812500037</v>
      </c>
      <c r="F26" s="78">
        <f>$A$26*F$23-$F$6</f>
        <v>153.94753281250001</v>
      </c>
      <c r="H26" s="82">
        <f>Irrigated!H26</f>
        <v>475</v>
      </c>
      <c r="I26" s="78">
        <f>$H$26*I$23/2000-$C$6</f>
        <v>-81.57549999999992</v>
      </c>
      <c r="J26" s="78">
        <f>$H$26*J$23/2000-$C$6</f>
        <v>39.54950000000008</v>
      </c>
      <c r="K26" s="78">
        <f>$H$26*K$23/2000-$C$6</f>
        <v>120.29950000000008</v>
      </c>
      <c r="L26" s="78">
        <f>$H$26*L$23/2000-$C$6</f>
        <v>201.04950000000019</v>
      </c>
      <c r="M26" s="78">
        <f>$H$26*M$23/2000-$C$6</f>
        <v>322.17450000000008</v>
      </c>
    </row>
    <row r="27" spans="1:13" x14ac:dyDescent="0.15">
      <c r="A27" s="77">
        <f>Irrigated!A27</f>
        <v>7.3599999999999994</v>
      </c>
      <c r="B27" s="78">
        <f>$A$27*B$23-$F$6</f>
        <v>-7.2524671875000308</v>
      </c>
      <c r="C27" s="78">
        <f>$A$27*C$23-$F$6</f>
        <v>64.50753281249996</v>
      </c>
      <c r="D27" s="78">
        <f>$A$27*D$23-$F$6</f>
        <v>112.34753281249999</v>
      </c>
      <c r="E27" s="78">
        <f>$A$27*E$23-$F$6</f>
        <v>160.18753281250002</v>
      </c>
      <c r="F27" s="78">
        <f>$A$27*F$23-$F$6</f>
        <v>231.94753281250001</v>
      </c>
      <c r="H27" s="82">
        <f>Irrigated!H27</f>
        <v>546.25</v>
      </c>
      <c r="I27" s="78">
        <f>$H$27*I$23/2000-$C$6</f>
        <v>9.26825000000008</v>
      </c>
      <c r="J27" s="78">
        <f>$H$27*J$23/2000-$C$6</f>
        <v>148.56200000000013</v>
      </c>
      <c r="K27" s="78">
        <f>$H$27*K$23/2000-$C$6</f>
        <v>241.42450000000008</v>
      </c>
      <c r="L27" s="78">
        <f>$H$27*L$23/2000-$C$6</f>
        <v>334.28700000000015</v>
      </c>
      <c r="M27" s="78">
        <f>$H$27*M$23/2000-$C$6</f>
        <v>473.58075000000008</v>
      </c>
    </row>
    <row r="28" spans="1:13" x14ac:dyDescent="0.15">
      <c r="A28" s="79">
        <f>Irrigated!A28</f>
        <v>8.32</v>
      </c>
      <c r="B28" s="80">
        <f>$A$28*B$23-$F$6</f>
        <v>39.547532812500037</v>
      </c>
      <c r="C28" s="80">
        <f>$A$28*C$23-$F$6</f>
        <v>120.66753281250004</v>
      </c>
      <c r="D28" s="80">
        <f>$A$28*D$23-$F$6</f>
        <v>174.74753281250008</v>
      </c>
      <c r="E28" s="80">
        <f>$A$28*E$23-$F$6</f>
        <v>228.82753281250001</v>
      </c>
      <c r="F28" s="80">
        <f>$A$28*F$23-$F$6</f>
        <v>309.94753281250001</v>
      </c>
      <c r="H28" s="83">
        <f>Irrigated!H28</f>
        <v>617.5</v>
      </c>
      <c r="I28" s="80">
        <f>$H$28*I$23/2000-$C$6</f>
        <v>100.11200000000008</v>
      </c>
      <c r="J28" s="80">
        <f>$H$28*J$23/2000-$C$6</f>
        <v>257.57450000000006</v>
      </c>
      <c r="K28" s="80">
        <f>$H$28*K$23/2000-$C$6</f>
        <v>362.54950000000008</v>
      </c>
      <c r="L28" s="80">
        <f>$H$28*L$23/2000-$C$6</f>
        <v>467.52450000000022</v>
      </c>
      <c r="M28" s="80">
        <f>$H$28*M$23/2000-$C$6</f>
        <v>624.98700000000008</v>
      </c>
    </row>
    <row r="30" spans="1:13" x14ac:dyDescent="0.15">
      <c r="A30" s="434" t="s">
        <v>53</v>
      </c>
      <c r="B30" s="434"/>
      <c r="C30" s="434"/>
      <c r="D30" s="434"/>
      <c r="E30" s="434"/>
      <c r="F30" s="434"/>
      <c r="H30" s="434" t="s">
        <v>63</v>
      </c>
      <c r="I30" s="434"/>
      <c r="J30" s="434"/>
      <c r="K30" s="434"/>
      <c r="L30" s="434"/>
      <c r="M30" s="434"/>
    </row>
    <row r="31" spans="1:13" s="53" customFormat="1" ht="12" x14ac:dyDescent="0.15">
      <c r="A31" s="433" t="s">
        <v>36</v>
      </c>
      <c r="B31" s="433"/>
      <c r="C31" s="433"/>
      <c r="D31" s="433"/>
      <c r="E31" s="433"/>
      <c r="F31" s="433"/>
      <c r="H31" s="433" t="s">
        <v>36</v>
      </c>
      <c r="I31" s="433"/>
      <c r="J31" s="433"/>
      <c r="K31" s="433"/>
      <c r="L31" s="433"/>
      <c r="M31" s="433"/>
    </row>
    <row r="32" spans="1:13" x14ac:dyDescent="0.1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H32" s="67" t="s">
        <v>41</v>
      </c>
      <c r="I32" s="68">
        <v>-0.25</v>
      </c>
      <c r="J32" s="68">
        <v>-0.1</v>
      </c>
      <c r="K32" s="69" t="s">
        <v>37</v>
      </c>
      <c r="L32" s="70" t="s">
        <v>38</v>
      </c>
      <c r="M32" s="70" t="s">
        <v>39</v>
      </c>
    </row>
    <row r="33" spans="1:13" x14ac:dyDescent="0.15">
      <c r="A33" s="74" t="s">
        <v>42</v>
      </c>
      <c r="B33" s="69">
        <f>0.75*D33</f>
        <v>22.5</v>
      </c>
      <c r="C33" s="69">
        <f>0.9*D33</f>
        <v>27</v>
      </c>
      <c r="D33" s="69">
        <f>E3</f>
        <v>30</v>
      </c>
      <c r="E33" s="69">
        <f>D33*1.1</f>
        <v>33</v>
      </c>
      <c r="F33" s="69">
        <f>D33*1.25</f>
        <v>37.5</v>
      </c>
      <c r="H33" s="74" t="s">
        <v>42</v>
      </c>
      <c r="I33" s="69">
        <f>0.75*K33</f>
        <v>41.25</v>
      </c>
      <c r="J33" s="69">
        <f>0.9*K33</f>
        <v>49.5</v>
      </c>
      <c r="K33" s="69">
        <f>G3</f>
        <v>55</v>
      </c>
      <c r="L33" s="69">
        <f>K33*1.1</f>
        <v>60.500000000000007</v>
      </c>
      <c r="M33" s="69">
        <f>K33*1.25</f>
        <v>68.75</v>
      </c>
    </row>
    <row r="34" spans="1:13" x14ac:dyDescent="0.15">
      <c r="A34" s="75">
        <f>Irrigated!A34</f>
        <v>9.66</v>
      </c>
      <c r="B34" s="76">
        <f>$A$34*B$33-$E$6</f>
        <v>-108.10332312500006</v>
      </c>
      <c r="C34" s="76">
        <f>$A$34*C$33-$E$6</f>
        <v>-64.633323125000061</v>
      </c>
      <c r="D34" s="76">
        <f>$A$34*D$33-$E$6</f>
        <v>-35.653323125000043</v>
      </c>
      <c r="E34" s="76">
        <f>$A$34*E$33-$E$6</f>
        <v>-6.6733231250000244</v>
      </c>
      <c r="F34" s="76">
        <f>$A$34*F$33-$E$6</f>
        <v>36.796676874999946</v>
      </c>
      <c r="H34" s="75">
        <f>Irrigated!H34</f>
        <v>5.46</v>
      </c>
      <c r="I34" s="76">
        <f>$H$34*I$33-$G$6</f>
        <v>-124.51812156249989</v>
      </c>
      <c r="J34" s="76">
        <f>$H$34*J$33-$G$6</f>
        <v>-79.473121562499898</v>
      </c>
      <c r="K34" s="76">
        <f>$H$34*K$33-$G$6</f>
        <v>-49.443121562499869</v>
      </c>
      <c r="L34" s="76">
        <f>$H$34*L$33-$G$6</f>
        <v>-19.413121562499839</v>
      </c>
      <c r="M34" s="76">
        <f>$H$34*M$33-$G$6</f>
        <v>25.63187843750012</v>
      </c>
    </row>
    <row r="35" spans="1:13" x14ac:dyDescent="0.15">
      <c r="A35" s="77">
        <f>Irrigated!A35</f>
        <v>11.73</v>
      </c>
      <c r="B35" s="78">
        <f>$A$35*B$33-$E$6</f>
        <v>-61.528323125000043</v>
      </c>
      <c r="C35" s="78">
        <f>$A$35*C$33-$E$6</f>
        <v>-8.7433231250000176</v>
      </c>
      <c r="D35" s="78">
        <f>$A$35*D$33-$E$6</f>
        <v>26.44667687499998</v>
      </c>
      <c r="E35" s="78">
        <f>$A$35*E$33-$E$6</f>
        <v>61.636676874999978</v>
      </c>
      <c r="F35" s="78">
        <f>$A$35*F$33-$E$6</f>
        <v>114.42167687499995</v>
      </c>
      <c r="H35" s="77">
        <f>Irrigated!H35</f>
        <v>6.63</v>
      </c>
      <c r="I35" s="78">
        <f>$H$35*I$33-$G$6</f>
        <v>-76.255621562499869</v>
      </c>
      <c r="J35" s="78">
        <f>$H$35*J$33-$G$6</f>
        <v>-21.558121562499878</v>
      </c>
      <c r="K35" s="78">
        <f>$H$35*K$33-$G$6</f>
        <v>14.906878437500097</v>
      </c>
      <c r="L35" s="78">
        <f>$H$35*L$33-$G$6</f>
        <v>51.371878437500186</v>
      </c>
      <c r="M35" s="78">
        <f>$H$35*M$33-$G$6</f>
        <v>106.06937843750012</v>
      </c>
    </row>
    <row r="36" spans="1:13" x14ac:dyDescent="0.15">
      <c r="A36" s="77">
        <f>Irrigated!A36</f>
        <v>13.8</v>
      </c>
      <c r="B36" s="78">
        <f>$A$36*B$33-$E$6</f>
        <v>-14.953323125000054</v>
      </c>
      <c r="C36" s="78">
        <f>$A$36*C$33-$E$6</f>
        <v>47.146676874999969</v>
      </c>
      <c r="D36" s="78">
        <f>$A$36*D$33-$E$6</f>
        <v>88.546676874999946</v>
      </c>
      <c r="E36" s="78">
        <f>$A$36*E$33-$E$6</f>
        <v>129.94667687499998</v>
      </c>
      <c r="F36" s="78">
        <f>$A$36*F$33-$E$6</f>
        <v>192.04667687499995</v>
      </c>
      <c r="H36" s="77">
        <f>Irrigated!H36</f>
        <v>7.8</v>
      </c>
      <c r="I36" s="78">
        <f>$H$36*I$33-$G$6</f>
        <v>-27.99312156249988</v>
      </c>
      <c r="J36" s="78">
        <f>$H$36*J$33-$G$6</f>
        <v>36.356878437500086</v>
      </c>
      <c r="K36" s="78">
        <f>$H$36*K$33-$G$6</f>
        <v>79.25687843750012</v>
      </c>
      <c r="L36" s="78">
        <f>$H$36*L$33-$G$6</f>
        <v>122.15687843750015</v>
      </c>
      <c r="M36" s="78">
        <f>$H$36*M$33-$G$6</f>
        <v>186.50687843750012</v>
      </c>
    </row>
    <row r="37" spans="1:13" x14ac:dyDescent="0.15">
      <c r="A37" s="77">
        <f>Irrigated!A37</f>
        <v>15.87</v>
      </c>
      <c r="B37" s="78">
        <f>$A$37*B$33-$E$6</f>
        <v>31.621676874999935</v>
      </c>
      <c r="C37" s="78">
        <f>$A$37*C$33-$E$6</f>
        <v>103.0366768749999</v>
      </c>
      <c r="D37" s="78">
        <f>$A$37*D$33-$E$6</f>
        <v>150.64667687499991</v>
      </c>
      <c r="E37" s="78">
        <f>$A$37*E$33-$E$6</f>
        <v>198.25667687499987</v>
      </c>
      <c r="F37" s="78">
        <f>$A$37*F$33-$E$6</f>
        <v>269.67167687499995</v>
      </c>
      <c r="H37" s="77">
        <f>Irrigated!H37</f>
        <v>8.9699999999999989</v>
      </c>
      <c r="I37" s="78">
        <f>$H$37*I$33-$G$6</f>
        <v>20.269378437500052</v>
      </c>
      <c r="J37" s="78">
        <f>$H$37*J$33-$G$6</f>
        <v>94.27187843750005</v>
      </c>
      <c r="K37" s="78">
        <f>$H$37*K$33-$G$6</f>
        <v>143.60687843750003</v>
      </c>
      <c r="L37" s="78">
        <f>$H$37*L$33-$G$6</f>
        <v>192.94187843750007</v>
      </c>
      <c r="M37" s="78">
        <f>$H$37*M$33-$G$6</f>
        <v>266.94437843750001</v>
      </c>
    </row>
    <row r="38" spans="1:13" x14ac:dyDescent="0.15">
      <c r="A38" s="79">
        <f>Irrigated!A38</f>
        <v>17.940000000000001</v>
      </c>
      <c r="B38" s="80">
        <f>$A$38*B$33-$E$6</f>
        <v>78.19667687499998</v>
      </c>
      <c r="C38" s="80">
        <f>$A$38*C$33-$E$6</f>
        <v>158.926676875</v>
      </c>
      <c r="D38" s="80">
        <f>$A$38*D$33-$E$6</f>
        <v>212.74667687499999</v>
      </c>
      <c r="E38" s="80">
        <f>$A$38*E$33-$E$6</f>
        <v>266.56667687500004</v>
      </c>
      <c r="F38" s="80">
        <f>$A$38*F$33-$E$6</f>
        <v>347.29667687499995</v>
      </c>
      <c r="H38" s="79">
        <f>Irrigated!H38</f>
        <v>10.14</v>
      </c>
      <c r="I38" s="80">
        <f>$H$38*I$33-$G$6</f>
        <v>68.531878437500154</v>
      </c>
      <c r="J38" s="80">
        <f>$H$38*J$33-$G$6</f>
        <v>152.18687843750013</v>
      </c>
      <c r="K38" s="80">
        <f>$H$38*K$33-$G$6</f>
        <v>207.95687843750017</v>
      </c>
      <c r="L38" s="80">
        <f>$H$38*L$33-$G$6</f>
        <v>263.72687843750026</v>
      </c>
      <c r="M38" s="80">
        <f>$H$38*M$33-$G$6</f>
        <v>347.38187843750012</v>
      </c>
    </row>
    <row r="39" spans="1:13" s="53" customFormat="1" ht="12" x14ac:dyDescent="0.15"/>
    <row r="49" s="53" customFormat="1" ht="12" x14ac:dyDescent="0.15"/>
    <row r="59" s="53" customFormat="1" ht="12" x14ac:dyDescent="0.15"/>
  </sheetData>
  <sheetProtection sheet="1" objects="1" scenarios="1"/>
  <mergeCells count="15">
    <mergeCell ref="A10:F10"/>
    <mergeCell ref="A11:F11"/>
    <mergeCell ref="B1:G1"/>
    <mergeCell ref="A7:M7"/>
    <mergeCell ref="H10:M10"/>
    <mergeCell ref="H11:M11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66" customWidth="1"/>
    <col min="14" max="14" width="6.5" style="66" bestFit="1" customWidth="1"/>
    <col min="15" max="16384" width="9.6640625" style="66"/>
  </cols>
  <sheetData>
    <row r="1" spans="1:13" s="53" customFormat="1" ht="12" hidden="1" x14ac:dyDescent="0.15">
      <c r="A1" s="52"/>
      <c r="B1" s="442" t="s">
        <v>45</v>
      </c>
      <c r="C1" s="442"/>
      <c r="D1" s="442"/>
      <c r="E1" s="442"/>
      <c r="F1" s="442"/>
      <c r="G1" s="52"/>
    </row>
    <row r="2" spans="1:13" s="53" customFormat="1" ht="12" hidden="1" x14ac:dyDescent="0.15">
      <c r="A2" s="54" t="s">
        <v>40</v>
      </c>
      <c r="B2" s="55" t="str">
        <f>Conventional!B6</f>
        <v>Cotton</v>
      </c>
      <c r="C2" s="55" t="str">
        <f>Conventional!D6</f>
        <v>Peanuts</v>
      </c>
      <c r="D2" s="55" t="str">
        <f>Conventional!F6</f>
        <v>Corn</v>
      </c>
      <c r="E2" s="55" t="str">
        <f>Conventional!H6</f>
        <v>Soybeans</v>
      </c>
      <c r="F2" s="55" t="str">
        <f>Conventional!J6</f>
        <v>Sorghum</v>
      </c>
    </row>
    <row r="3" spans="1:13" s="53" customFormat="1" ht="12" hidden="1" x14ac:dyDescent="0.15">
      <c r="A3" s="54" t="s">
        <v>41</v>
      </c>
      <c r="B3" s="56">
        <f>'Strip-Till'!B7</f>
        <v>1200</v>
      </c>
      <c r="C3" s="56">
        <f>'Strip-Till'!D7</f>
        <v>4700</v>
      </c>
      <c r="D3" s="56">
        <f>'Strip-Till'!F7</f>
        <v>200</v>
      </c>
      <c r="E3" s="56">
        <f>'Strip-Till'!H7</f>
        <v>60</v>
      </c>
      <c r="F3" s="56">
        <f>'Strip-Till'!J7</f>
        <v>100</v>
      </c>
    </row>
    <row r="4" spans="1:13" s="53" customFormat="1" ht="12" hidden="1" x14ac:dyDescent="0.15">
      <c r="A4" s="53" t="s">
        <v>42</v>
      </c>
      <c r="B4" s="58">
        <f>'Strip-Till'!B8</f>
        <v>0.78</v>
      </c>
      <c r="C4" s="59">
        <f>'Strip-Till'!D8</f>
        <v>475</v>
      </c>
      <c r="D4" s="60">
        <f>'Strip-Till'!F8</f>
        <v>6.8</v>
      </c>
      <c r="E4" s="60">
        <f>'Strip-Till'!H8</f>
        <v>13.8</v>
      </c>
      <c r="F4" s="60">
        <f>'Strip-Till'!J8</f>
        <v>6.4</v>
      </c>
      <c r="G4" s="60"/>
    </row>
    <row r="5" spans="1:13" s="53" customFormat="1" ht="12" hidden="1" x14ac:dyDescent="0.15">
      <c r="A5" s="61" t="s">
        <v>44</v>
      </c>
      <c r="B5" s="62">
        <f>B3*B4</f>
        <v>936</v>
      </c>
      <c r="C5" s="62">
        <f>C3*C4/2000</f>
        <v>1116.25</v>
      </c>
      <c r="D5" s="62">
        <f>D3*D4</f>
        <v>1360</v>
      </c>
      <c r="E5" s="62">
        <f>E3*E4</f>
        <v>828</v>
      </c>
      <c r="F5" s="62">
        <f>F3*F4</f>
        <v>640</v>
      </c>
      <c r="G5" s="63"/>
    </row>
    <row r="6" spans="1:13" s="53" customFormat="1" ht="12" hidden="1" x14ac:dyDescent="0.15">
      <c r="A6" s="61" t="s">
        <v>43</v>
      </c>
      <c r="B6" s="64">
        <f>'Strip-Till'!B31</f>
        <v>704.4629995738635</v>
      </c>
      <c r="C6" s="64">
        <f>'Strip-Till'!D31</f>
        <v>770.41132031250004</v>
      </c>
      <c r="D6" s="64">
        <f>'Strip-Till'!F31</f>
        <v>988.48246093750004</v>
      </c>
      <c r="E6" s="64">
        <f>'Strip-Till'!H31</f>
        <v>376.60119125</v>
      </c>
      <c r="F6" s="64">
        <f>'Strip-Till'!J31</f>
        <v>524.02817968749991</v>
      </c>
      <c r="G6" s="59"/>
    </row>
    <row r="7" spans="1:13" s="53" customFormat="1" ht="16" x14ac:dyDescent="0.2">
      <c r="A7" s="441" t="s">
        <v>129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6" x14ac:dyDescent="0.2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15">
      <c r="A9" s="440" t="s">
        <v>153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</row>
    <row r="10" spans="1:13" x14ac:dyDescent="0.15">
      <c r="A10" s="434" t="s">
        <v>55</v>
      </c>
      <c r="B10" s="434"/>
      <c r="C10" s="434"/>
      <c r="D10" s="434"/>
      <c r="E10" s="434"/>
      <c r="F10" s="434"/>
      <c r="H10" s="434" t="s">
        <v>56</v>
      </c>
      <c r="I10" s="434"/>
      <c r="J10" s="434"/>
      <c r="K10" s="434"/>
      <c r="L10" s="434"/>
      <c r="M10" s="434"/>
    </row>
    <row r="11" spans="1:13" s="53" customFormat="1" ht="12" x14ac:dyDescent="0.15">
      <c r="A11" s="433" t="s">
        <v>36</v>
      </c>
      <c r="B11" s="433"/>
      <c r="C11" s="433"/>
      <c r="D11" s="433"/>
      <c r="E11" s="433"/>
      <c r="F11" s="433"/>
      <c r="H11" s="437" t="s">
        <v>36</v>
      </c>
      <c r="I11" s="437"/>
      <c r="J11" s="437"/>
      <c r="K11" s="437"/>
      <c r="L11" s="437"/>
      <c r="M11" s="437"/>
    </row>
    <row r="12" spans="1:13" x14ac:dyDescent="0.1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15">
      <c r="A13" s="74" t="s">
        <v>42</v>
      </c>
      <c r="B13" s="69">
        <f>0.75*D13</f>
        <v>150</v>
      </c>
      <c r="C13" s="69">
        <f>0.9*D13</f>
        <v>180</v>
      </c>
      <c r="D13" s="69">
        <f>D3</f>
        <v>200</v>
      </c>
      <c r="E13" s="69">
        <f>D13*1.1</f>
        <v>220.00000000000003</v>
      </c>
      <c r="F13" s="69">
        <f>D13*1.25</f>
        <v>250</v>
      </c>
      <c r="H13" s="74" t="s">
        <v>42</v>
      </c>
      <c r="I13" s="69">
        <f>0.75*K13</f>
        <v>900</v>
      </c>
      <c r="J13" s="69">
        <f>0.9*K13</f>
        <v>1080</v>
      </c>
      <c r="K13" s="69">
        <f>B3</f>
        <v>1200</v>
      </c>
      <c r="L13" s="69">
        <f>K13*1.1</f>
        <v>1320</v>
      </c>
      <c r="M13" s="69">
        <f>K13*1.25</f>
        <v>1500</v>
      </c>
    </row>
    <row r="14" spans="1:13" x14ac:dyDescent="0.15">
      <c r="A14" s="75">
        <f>Irrigated!A14</f>
        <v>4.76</v>
      </c>
      <c r="B14" s="76">
        <f>$A$14*B$13-$D$6</f>
        <v>-274.48246093750004</v>
      </c>
      <c r="C14" s="76">
        <f>$A$14*C$13-$D$6</f>
        <v>-131.68246093750008</v>
      </c>
      <c r="D14" s="76">
        <f>$A$14*D$13-$D$6</f>
        <v>-36.482460937500036</v>
      </c>
      <c r="E14" s="76">
        <f>$A$14*E$13-$D$6</f>
        <v>58.717539062500009</v>
      </c>
      <c r="F14" s="76">
        <f>$A$14*F$13-$D$6</f>
        <v>201.51753906249996</v>
      </c>
      <c r="H14" s="75">
        <f>Irrigated!H14</f>
        <v>0.54599999999999993</v>
      </c>
      <c r="I14" s="78">
        <f>$H$14*$I$13-$B$6</f>
        <v>-213.06299957386358</v>
      </c>
      <c r="J14" s="78">
        <f>$H$14*J13-$B$6</f>
        <v>-114.78299957386355</v>
      </c>
      <c r="K14" s="78">
        <f>$H$14*K13-$B$6</f>
        <v>-49.262999573863567</v>
      </c>
      <c r="L14" s="78">
        <f>$H$14*L13-$B$6</f>
        <v>16.257000426136415</v>
      </c>
      <c r="M14" s="78">
        <f>$H$14*M13-$B$6</f>
        <v>114.53700042613639</v>
      </c>
    </row>
    <row r="15" spans="1:13" x14ac:dyDescent="0.15">
      <c r="A15" s="77">
        <f>Irrigated!A15</f>
        <v>5.7799999999999994</v>
      </c>
      <c r="B15" s="78">
        <f>$A$15*B$13-$D$6</f>
        <v>-121.48246093750015</v>
      </c>
      <c r="C15" s="78">
        <f>$A$15*C$13-$D$6</f>
        <v>51.917539062499827</v>
      </c>
      <c r="D15" s="78">
        <f>$A$15*D$13-$D$6</f>
        <v>167.51753906249974</v>
      </c>
      <c r="E15" s="78">
        <f>$A$15*E$13-$D$6</f>
        <v>283.1175390625001</v>
      </c>
      <c r="F15" s="78">
        <f>$A$15*F$13-$D$6</f>
        <v>456.51753906249974</v>
      </c>
      <c r="H15" s="77">
        <f>Irrigated!H15</f>
        <v>0.66300000000000003</v>
      </c>
      <c r="I15" s="78">
        <f>$H$15*$I$13-$B$6</f>
        <v>-107.76299957386345</v>
      </c>
      <c r="J15" s="78">
        <f>$H$15*J13-$B$6</f>
        <v>11.577000426136578</v>
      </c>
      <c r="K15" s="78">
        <f>$H$15*K13-$B$6</f>
        <v>91.137000426136524</v>
      </c>
      <c r="L15" s="78">
        <f>$H$15*L13-$B$6</f>
        <v>170.69700042613658</v>
      </c>
      <c r="M15" s="78">
        <f>$H$15*M13-$B$6</f>
        <v>290.0370004261365</v>
      </c>
    </row>
    <row r="16" spans="1:13" x14ac:dyDescent="0.15">
      <c r="A16" s="77">
        <f>Irrigated!A16</f>
        <v>6.8</v>
      </c>
      <c r="B16" s="78">
        <f>$A$16*B$13-$D$6</f>
        <v>31.517539062499964</v>
      </c>
      <c r="C16" s="78">
        <f>$A$16*C$13-$D$6</f>
        <v>235.51753906249996</v>
      </c>
      <c r="D16" s="78">
        <f>$A$16*D$13-$D$6</f>
        <v>371.51753906249996</v>
      </c>
      <c r="E16" s="78">
        <f>$A$16*E$13-$D$6</f>
        <v>507.51753906250019</v>
      </c>
      <c r="F16" s="78">
        <f>$A$16*F$13-$D$6</f>
        <v>711.51753906249996</v>
      </c>
      <c r="H16" s="77">
        <f>Irrigated!H16</f>
        <v>0.78</v>
      </c>
      <c r="I16" s="78">
        <f>$H$16*$I$13-$B$6</f>
        <v>-2.4629995738634989</v>
      </c>
      <c r="J16" s="78">
        <f>$H$16*J13-$B$6</f>
        <v>137.93700042613648</v>
      </c>
      <c r="K16" s="78">
        <f>$H$16*K13-$B$6</f>
        <v>231.5370004261365</v>
      </c>
      <c r="L16" s="78">
        <f>$H$16*L13-$B$6</f>
        <v>325.13700042613664</v>
      </c>
      <c r="M16" s="78">
        <f>$H$16*M13-$B$6</f>
        <v>465.5370004261365</v>
      </c>
    </row>
    <row r="17" spans="1:13" x14ac:dyDescent="0.15">
      <c r="A17" s="77">
        <f>Irrigated!A17</f>
        <v>7.8199999999999994</v>
      </c>
      <c r="B17" s="78">
        <f>$A$17*B$13-$D$6</f>
        <v>184.51753906249996</v>
      </c>
      <c r="C17" s="78">
        <f>$A$17*C$13-$D$6</f>
        <v>419.11753906249987</v>
      </c>
      <c r="D17" s="78">
        <f>$A$17*D$13-$D$6</f>
        <v>575.51753906249974</v>
      </c>
      <c r="E17" s="78">
        <f>$A$17*E$13-$D$6</f>
        <v>731.91753906250005</v>
      </c>
      <c r="F17" s="78">
        <f>$A$17*F$13-$D$6</f>
        <v>966.51753906249974</v>
      </c>
      <c r="H17" s="77">
        <f>Irrigated!H17</f>
        <v>0.89699999999999991</v>
      </c>
      <c r="I17" s="78">
        <f>$H$17*$I$13-$B$6</f>
        <v>102.83700042613646</v>
      </c>
      <c r="J17" s="78">
        <f>$H$17*J13-$B$6</f>
        <v>264.29700042613638</v>
      </c>
      <c r="K17" s="78">
        <f>$H$17*K13-$B$6</f>
        <v>371.93700042613636</v>
      </c>
      <c r="L17" s="78">
        <f>$H$17*L13-$B$6</f>
        <v>479.57700042613646</v>
      </c>
      <c r="M17" s="78">
        <f>$H$17*M13-$B$6</f>
        <v>641.03700042613627</v>
      </c>
    </row>
    <row r="18" spans="1:13" x14ac:dyDescent="0.15">
      <c r="A18" s="79">
        <f>Irrigated!A18</f>
        <v>8.84</v>
      </c>
      <c r="B18" s="80">
        <f>$A$18*B$13-$D$6</f>
        <v>337.51753906249996</v>
      </c>
      <c r="C18" s="80">
        <f>$A$18*C$13-$D$6</f>
        <v>602.71753906250001</v>
      </c>
      <c r="D18" s="80">
        <f>$A$18*D$13-$D$6</f>
        <v>779.51753906249996</v>
      </c>
      <c r="E18" s="80">
        <f>$A$18*E$13-$D$6</f>
        <v>956.31753906250015</v>
      </c>
      <c r="F18" s="80">
        <f>$A$18*F$13-$D$6</f>
        <v>1221.5175390625</v>
      </c>
      <c r="H18" s="79">
        <f>Irrigated!H18</f>
        <v>1.014</v>
      </c>
      <c r="I18" s="80">
        <f>$H$18*$I$13-$B$6</f>
        <v>208.13700042613652</v>
      </c>
      <c r="J18" s="80">
        <f>$H$18*J13-$B$6</f>
        <v>390.65700042613662</v>
      </c>
      <c r="K18" s="80">
        <f>$H$18*K13-$B$6</f>
        <v>512.33700042613646</v>
      </c>
      <c r="L18" s="80">
        <f>$H$18*L13-$B$6</f>
        <v>634.01700042613652</v>
      </c>
      <c r="M18" s="80">
        <f>$H$18*M13-$B$6</f>
        <v>816.5370004261365</v>
      </c>
    </row>
    <row r="20" spans="1:13" x14ac:dyDescent="0.15">
      <c r="A20" s="434" t="s">
        <v>57</v>
      </c>
      <c r="B20" s="434"/>
      <c r="C20" s="434"/>
      <c r="D20" s="434"/>
      <c r="E20" s="434"/>
      <c r="F20" s="434"/>
      <c r="H20" s="435" t="s">
        <v>122</v>
      </c>
      <c r="I20" s="435"/>
      <c r="J20" s="435"/>
      <c r="K20" s="435"/>
      <c r="L20" s="435"/>
      <c r="M20" s="435"/>
    </row>
    <row r="21" spans="1:13" s="53" customFormat="1" ht="12" x14ac:dyDescent="0.15">
      <c r="A21" s="433" t="s">
        <v>36</v>
      </c>
      <c r="B21" s="433"/>
      <c r="C21" s="433"/>
      <c r="D21" s="433"/>
      <c r="E21" s="433"/>
      <c r="F21" s="433"/>
      <c r="H21" s="436" t="s">
        <v>36</v>
      </c>
      <c r="I21" s="436"/>
      <c r="J21" s="436"/>
      <c r="K21" s="436"/>
      <c r="L21" s="436"/>
      <c r="M21" s="436"/>
    </row>
    <row r="22" spans="1:13" x14ac:dyDescent="0.1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15">
      <c r="A23" s="74" t="s">
        <v>42</v>
      </c>
      <c r="B23" s="69">
        <f>0.75*D23</f>
        <v>75</v>
      </c>
      <c r="C23" s="69">
        <f>0.9*D23</f>
        <v>90</v>
      </c>
      <c r="D23" s="69">
        <f>F3</f>
        <v>100</v>
      </c>
      <c r="E23" s="69">
        <f>D23*1.1</f>
        <v>110.00000000000001</v>
      </c>
      <c r="F23" s="69">
        <f>D23*1.25</f>
        <v>125</v>
      </c>
      <c r="H23" s="74" t="s">
        <v>42</v>
      </c>
      <c r="I23" s="69">
        <f>0.75*K23</f>
        <v>3525</v>
      </c>
      <c r="J23" s="69">
        <f>0.9*K23</f>
        <v>4230</v>
      </c>
      <c r="K23" s="69">
        <f>C3</f>
        <v>4700</v>
      </c>
      <c r="L23" s="69">
        <f>K23*1.1</f>
        <v>5170</v>
      </c>
      <c r="M23" s="69">
        <f>K23*1.25</f>
        <v>5875</v>
      </c>
    </row>
    <row r="24" spans="1:13" x14ac:dyDescent="0.15">
      <c r="A24" s="75">
        <f>Irrigated!A24</f>
        <v>4.4799999999999995</v>
      </c>
      <c r="B24" s="76">
        <f>$A$24*B$23-$F$6</f>
        <v>-188.02817968749997</v>
      </c>
      <c r="C24" s="76">
        <f>$A$24*C$23-$F$6</f>
        <v>-120.82817968749998</v>
      </c>
      <c r="D24" s="76">
        <f>$A$24*D$23-$F$6</f>
        <v>-76.028179687499971</v>
      </c>
      <c r="E24" s="76">
        <f>$A$24*E$23-$F$6</f>
        <v>-31.228179687499903</v>
      </c>
      <c r="F24" s="76">
        <f>$A$24*F$23-$F$6</f>
        <v>35.971820312499972</v>
      </c>
      <c r="H24" s="81">
        <f>Irrigated!H24</f>
        <v>332.5</v>
      </c>
      <c r="I24" s="76">
        <f>$H$24*I$23/2000-$C$6</f>
        <v>-184.38007031250004</v>
      </c>
      <c r="J24" s="76">
        <f>$H$24*J$23/2000-$C$6</f>
        <v>-67.173820312500084</v>
      </c>
      <c r="K24" s="76">
        <f>$H$24*K$23/2000-$C$6</f>
        <v>10.963679687499962</v>
      </c>
      <c r="L24" s="76">
        <f>$H$24*L$23/2000-$C$6</f>
        <v>89.101179687500007</v>
      </c>
      <c r="M24" s="76">
        <f>$H$24*M$23/2000-$C$6</f>
        <v>206.30742968749996</v>
      </c>
    </row>
    <row r="25" spans="1:13" x14ac:dyDescent="0.15">
      <c r="A25" s="77">
        <f>Irrigated!A25</f>
        <v>5.44</v>
      </c>
      <c r="B25" s="78">
        <f>$A$25*B$23-$F$6</f>
        <v>-116.02817968749986</v>
      </c>
      <c r="C25" s="78">
        <f>$A$25*C$23-$F$6</f>
        <v>-34.428179687499892</v>
      </c>
      <c r="D25" s="78">
        <f>$A$25*D$23-$F$6</f>
        <v>19.971820312500085</v>
      </c>
      <c r="E25" s="78">
        <f>$A$25*E$23-$F$6</f>
        <v>74.371820312500176</v>
      </c>
      <c r="F25" s="78">
        <f>$A$25*F$23-$F$6</f>
        <v>155.97182031250009</v>
      </c>
      <c r="H25" s="82">
        <f>Irrigated!H25</f>
        <v>403.75</v>
      </c>
      <c r="I25" s="78">
        <f>$H$25*I$23/2000-$C$6</f>
        <v>-58.801945312500038</v>
      </c>
      <c r="J25" s="78">
        <f>$H$25*J$23/2000-$C$6</f>
        <v>83.519929687499939</v>
      </c>
      <c r="K25" s="78">
        <f>$H$25*K$23/2000-$C$6</f>
        <v>178.40117968749996</v>
      </c>
      <c r="L25" s="78">
        <f>$H$25*L$23/2000-$C$6</f>
        <v>273.28242968749987</v>
      </c>
      <c r="M25" s="78">
        <f>$H$25*M$23/2000-$C$6</f>
        <v>415.60430468749996</v>
      </c>
    </row>
    <row r="26" spans="1:13" x14ac:dyDescent="0.15">
      <c r="A26" s="77">
        <f>Irrigated!A26</f>
        <v>6.4</v>
      </c>
      <c r="B26" s="78">
        <f>$A$26*B$23-$F$6</f>
        <v>-44.028179687499915</v>
      </c>
      <c r="C26" s="78">
        <f>$A$26*C$23-$F$6</f>
        <v>51.971820312500085</v>
      </c>
      <c r="D26" s="78">
        <f>$A$26*D$23-$F$6</f>
        <v>115.97182031250009</v>
      </c>
      <c r="E26" s="78">
        <f>$A$26*E$23-$F$6</f>
        <v>179.9718203125002</v>
      </c>
      <c r="F26" s="78">
        <f>$A$26*F$23-$F$6</f>
        <v>275.97182031250009</v>
      </c>
      <c r="H26" s="82">
        <f>Irrigated!H26</f>
        <v>475</v>
      </c>
      <c r="I26" s="78">
        <f>$H$26*I$23/2000-$C$6</f>
        <v>66.776179687499962</v>
      </c>
      <c r="J26" s="78">
        <f>$H$26*J$23/2000-$C$6</f>
        <v>234.21367968749996</v>
      </c>
      <c r="K26" s="78">
        <f>$H$26*K$23/2000-$C$6</f>
        <v>345.83867968749996</v>
      </c>
      <c r="L26" s="78">
        <f>$H$26*L$23/2000-$C$6</f>
        <v>457.46367968749996</v>
      </c>
      <c r="M26" s="78">
        <f>$H$26*M$23/2000-$C$6</f>
        <v>624.90117968749996</v>
      </c>
    </row>
    <row r="27" spans="1:13" x14ac:dyDescent="0.15">
      <c r="A27" s="77">
        <f>Irrigated!A27</f>
        <v>7.3599999999999994</v>
      </c>
      <c r="B27" s="78">
        <f>$A$27*B$23-$F$6</f>
        <v>27.971820312500085</v>
      </c>
      <c r="C27" s="78">
        <f>$A$27*C$23-$F$6</f>
        <v>138.37182031250006</v>
      </c>
      <c r="D27" s="78">
        <f>$A$27*D$23-$F$6</f>
        <v>211.97182031250009</v>
      </c>
      <c r="E27" s="78">
        <f>$A$27*E$23-$F$6</f>
        <v>285.57182031250011</v>
      </c>
      <c r="F27" s="78">
        <f>$A$27*F$23-$F$6</f>
        <v>395.97182031249997</v>
      </c>
      <c r="H27" s="82">
        <f>Irrigated!H27</f>
        <v>546.25</v>
      </c>
      <c r="I27" s="78">
        <f>$H$27*I$23/2000-$C$6</f>
        <v>192.35430468749996</v>
      </c>
      <c r="J27" s="78">
        <f>$H$27*J$23/2000-$C$6</f>
        <v>384.90742968749987</v>
      </c>
      <c r="K27" s="78">
        <f>$H$27*K$23/2000-$C$6</f>
        <v>513.27617968749996</v>
      </c>
      <c r="L27" s="78">
        <f>$H$27*L$23/2000-$C$6</f>
        <v>641.64492968750005</v>
      </c>
      <c r="M27" s="78">
        <f>$H$27*M$23/2000-$C$6</f>
        <v>834.19805468749996</v>
      </c>
    </row>
    <row r="28" spans="1:13" x14ac:dyDescent="0.15">
      <c r="A28" s="79">
        <f>Irrigated!A28</f>
        <v>8.32</v>
      </c>
      <c r="B28" s="80">
        <f>$A$28*B$23-$F$6</f>
        <v>99.971820312500085</v>
      </c>
      <c r="C28" s="80">
        <f>$A$28*C$23-$F$6</f>
        <v>224.77182031250015</v>
      </c>
      <c r="D28" s="80">
        <f>$A$28*D$23-$F$6</f>
        <v>307.97182031250009</v>
      </c>
      <c r="E28" s="80">
        <f>$A$28*E$23-$F$6</f>
        <v>391.17182031250024</v>
      </c>
      <c r="F28" s="80">
        <f>$A$28*F$23-$F$6</f>
        <v>515.97182031250009</v>
      </c>
      <c r="H28" s="83">
        <f>Irrigated!H28</f>
        <v>617.5</v>
      </c>
      <c r="I28" s="80">
        <f>$H$28*I$23/2000-$C$6</f>
        <v>317.93242968749996</v>
      </c>
      <c r="J28" s="80">
        <f>$H$28*J$23/2000-$C$6</f>
        <v>535.60117968750001</v>
      </c>
      <c r="K28" s="80">
        <f>$H$28*K$23/2000-$C$6</f>
        <v>680.71367968749996</v>
      </c>
      <c r="L28" s="80">
        <f>$H$28*L$23/2000-$C$6</f>
        <v>825.82617968749992</v>
      </c>
      <c r="M28" s="80">
        <f>$H$28*M$23/2000-$C$6</f>
        <v>1043.4949296875</v>
      </c>
    </row>
    <row r="30" spans="1:13" x14ac:dyDescent="0.15">
      <c r="A30" s="434" t="s">
        <v>58</v>
      </c>
      <c r="B30" s="434"/>
      <c r="C30" s="434"/>
      <c r="D30" s="434"/>
      <c r="E30" s="434"/>
      <c r="F30" s="434"/>
    </row>
    <row r="31" spans="1:13" s="53" customFormat="1" ht="12" x14ac:dyDescent="0.15">
      <c r="A31" s="433" t="s">
        <v>36</v>
      </c>
      <c r="B31" s="433"/>
      <c r="C31" s="433"/>
      <c r="D31" s="433"/>
      <c r="E31" s="433"/>
      <c r="F31" s="433"/>
    </row>
    <row r="32" spans="1:13" x14ac:dyDescent="0.1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</row>
    <row r="33" spans="1:6" x14ac:dyDescent="0.15">
      <c r="A33" s="74" t="s">
        <v>42</v>
      </c>
      <c r="B33" s="69">
        <f>0.75*D33</f>
        <v>45</v>
      </c>
      <c r="C33" s="69">
        <f>0.9*D33</f>
        <v>54</v>
      </c>
      <c r="D33" s="69">
        <f>E3</f>
        <v>60</v>
      </c>
      <c r="E33" s="69">
        <f>D33*1.1</f>
        <v>66</v>
      </c>
      <c r="F33" s="69">
        <f>D33*1.25</f>
        <v>75</v>
      </c>
    </row>
    <row r="34" spans="1:6" x14ac:dyDescent="0.15">
      <c r="A34" s="75">
        <f>Irrigated!A34</f>
        <v>9.66</v>
      </c>
      <c r="B34" s="76">
        <f>$A$34*B$33-$E$6</f>
        <v>58.098808749999989</v>
      </c>
      <c r="C34" s="76">
        <f>$A$34*C$33-$E$6</f>
        <v>145.03880874999999</v>
      </c>
      <c r="D34" s="76">
        <f>$A$34*D$33-$E$6</f>
        <v>202.99880875000002</v>
      </c>
      <c r="E34" s="76">
        <f>$A$34*E$33-$E$6</f>
        <v>260.95880875000006</v>
      </c>
      <c r="F34" s="76">
        <f>$A$34*F$33-$E$6</f>
        <v>347.89880875</v>
      </c>
    </row>
    <row r="35" spans="1:6" x14ac:dyDescent="0.15">
      <c r="A35" s="77">
        <f>Irrigated!A35</f>
        <v>11.73</v>
      </c>
      <c r="B35" s="78">
        <f>$A$35*B$33-$E$6</f>
        <v>151.24880875000002</v>
      </c>
      <c r="C35" s="78">
        <f>$A$35*C$33-$E$6</f>
        <v>256.81880875000007</v>
      </c>
      <c r="D35" s="78">
        <f>$A$35*D$33-$E$6</f>
        <v>327.19880875000007</v>
      </c>
      <c r="E35" s="78">
        <f>$A$35*E$33-$E$6</f>
        <v>397.57880875000006</v>
      </c>
      <c r="F35" s="78">
        <f>$A$35*F$33-$E$6</f>
        <v>503.14880875</v>
      </c>
    </row>
    <row r="36" spans="1:6" x14ac:dyDescent="0.15">
      <c r="A36" s="77">
        <f>Irrigated!A36</f>
        <v>13.8</v>
      </c>
      <c r="B36" s="78">
        <f>$A$36*B$33-$E$6</f>
        <v>244.39880875</v>
      </c>
      <c r="C36" s="78">
        <f>$A$36*C$33-$E$6</f>
        <v>368.59880875000005</v>
      </c>
      <c r="D36" s="78">
        <f>$A$36*D$33-$E$6</f>
        <v>451.39880875</v>
      </c>
      <c r="E36" s="78">
        <f>$A$36*E$33-$E$6</f>
        <v>534.19880875000013</v>
      </c>
      <c r="F36" s="78">
        <f>$A$36*F$33-$E$6</f>
        <v>658.39880874999994</v>
      </c>
    </row>
    <row r="37" spans="1:6" x14ac:dyDescent="0.15">
      <c r="A37" s="77">
        <f>Irrigated!A37</f>
        <v>15.87</v>
      </c>
      <c r="B37" s="78">
        <f>$A$37*B$33-$E$6</f>
        <v>337.54880874999998</v>
      </c>
      <c r="C37" s="78">
        <f>$A$37*C$33-$E$6</f>
        <v>480.37880874999991</v>
      </c>
      <c r="D37" s="78">
        <f>$A$37*D$33-$E$6</f>
        <v>575.59880874999999</v>
      </c>
      <c r="E37" s="78">
        <f>$A$37*E$33-$E$6</f>
        <v>670.81880874999979</v>
      </c>
      <c r="F37" s="78">
        <f>$A$37*F$33-$E$6</f>
        <v>813.64880874999994</v>
      </c>
    </row>
    <row r="38" spans="1:6" x14ac:dyDescent="0.15">
      <c r="A38" s="79">
        <f>Irrigated!A38</f>
        <v>17.940000000000001</v>
      </c>
      <c r="B38" s="80">
        <f>$A$38*B$33-$E$6</f>
        <v>430.69880875000007</v>
      </c>
      <c r="C38" s="80">
        <f>$A$38*C$33-$E$6</f>
        <v>592.15880875000016</v>
      </c>
      <c r="D38" s="80">
        <f>$A$38*D$33-$E$6</f>
        <v>699.79880875000003</v>
      </c>
      <c r="E38" s="80">
        <f>$A$38*E$33-$E$6</f>
        <v>807.43880875000013</v>
      </c>
      <c r="F38" s="80">
        <f>$A$38*F$33-$E$6</f>
        <v>968.89880874999994</v>
      </c>
    </row>
    <row r="39" spans="1:6" s="53" customFormat="1" ht="12" x14ac:dyDescent="0.15"/>
    <row r="49" s="53" customFormat="1" ht="12" x14ac:dyDescent="0.15"/>
    <row r="59" s="53" customFormat="1" ht="12" x14ac:dyDescent="0.15"/>
  </sheetData>
  <sheetProtection sheet="1" objects="1" scenarios="1"/>
  <mergeCells count="13">
    <mergeCell ref="A31:F31"/>
    <mergeCell ref="A20:F20"/>
    <mergeCell ref="A21:F21"/>
    <mergeCell ref="H21:M21"/>
    <mergeCell ref="A30:F30"/>
    <mergeCell ref="H20:M20"/>
    <mergeCell ref="B1:F1"/>
    <mergeCell ref="A7:M7"/>
    <mergeCell ref="A10:F10"/>
    <mergeCell ref="A11:F11"/>
    <mergeCell ref="H11:M11"/>
    <mergeCell ref="A9:M9"/>
    <mergeCell ref="H10:M1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 x14ac:dyDescent="0.15"/>
  <cols>
    <col min="1" max="13" width="9.33203125" style="66" customWidth="1"/>
    <col min="14" max="16384" width="9.6640625" style="66"/>
  </cols>
  <sheetData>
    <row r="1" spans="1:13" s="53" customFormat="1" ht="12" hidden="1" x14ac:dyDescent="0.15">
      <c r="B1" s="442" t="s">
        <v>46</v>
      </c>
      <c r="C1" s="442"/>
      <c r="D1" s="442"/>
      <c r="E1" s="442"/>
      <c r="F1" s="442"/>
      <c r="G1" s="84"/>
    </row>
    <row r="2" spans="1:13" s="53" customFormat="1" ht="12" hidden="1" x14ac:dyDescent="0.15">
      <c r="A2" s="54" t="s">
        <v>40</v>
      </c>
      <c r="B2" s="55" t="str">
        <f>Conventional!L6</f>
        <v>Cotton</v>
      </c>
      <c r="C2" s="55" t="str">
        <f>Conventional!N6</f>
        <v>Peanuts</v>
      </c>
      <c r="D2" s="55" t="str">
        <f>Conventional!P6</f>
        <v>Corn</v>
      </c>
      <c r="E2" s="55" t="str">
        <f>Conventional!R6</f>
        <v>Soybeans</v>
      </c>
      <c r="F2" s="55" t="str">
        <f>Conventional!T6</f>
        <v>Sorghum</v>
      </c>
    </row>
    <row r="3" spans="1:13" s="53" customFormat="1" ht="12" hidden="1" x14ac:dyDescent="0.15">
      <c r="A3" s="54" t="s">
        <v>41</v>
      </c>
      <c r="B3" s="56">
        <f>'Strip-Till'!L7</f>
        <v>750</v>
      </c>
      <c r="C3" s="56">
        <f>'Strip-Till'!N7</f>
        <v>3400</v>
      </c>
      <c r="D3" s="56">
        <f>'Strip-Till'!P7</f>
        <v>85</v>
      </c>
      <c r="E3" s="56">
        <f>'Strip-Till'!R7</f>
        <v>30</v>
      </c>
      <c r="F3" s="56">
        <f>'Strip-Till'!T7</f>
        <v>65</v>
      </c>
    </row>
    <row r="4" spans="1:13" s="53" customFormat="1" ht="12" hidden="1" x14ac:dyDescent="0.15">
      <c r="A4" s="53" t="s">
        <v>42</v>
      </c>
      <c r="B4" s="58">
        <f>'Strip-Till'!L8</f>
        <v>0.78</v>
      </c>
      <c r="C4" s="59">
        <f>'Strip-Till'!N8</f>
        <v>475</v>
      </c>
      <c r="D4" s="60">
        <f>'Strip-Till'!P8</f>
        <v>6.8</v>
      </c>
      <c r="E4" s="60">
        <f>'Strip-Till'!R8</f>
        <v>13.8</v>
      </c>
      <c r="F4" s="60">
        <f>'Strip-Till'!T8</f>
        <v>6.4</v>
      </c>
    </row>
    <row r="5" spans="1:13" s="53" customFormat="1" ht="12" hidden="1" x14ac:dyDescent="0.15">
      <c r="A5" s="61" t="s">
        <v>44</v>
      </c>
      <c r="B5" s="62">
        <f>B3*B4</f>
        <v>585</v>
      </c>
      <c r="C5" s="62">
        <f>C3*C4/2000</f>
        <v>807.5</v>
      </c>
      <c r="D5" s="62">
        <f>D3*D4</f>
        <v>578</v>
      </c>
      <c r="E5" s="62">
        <f>E3*E4</f>
        <v>414</v>
      </c>
      <c r="F5" s="62">
        <f>F3*F4</f>
        <v>416</v>
      </c>
    </row>
    <row r="6" spans="1:13" s="53" customFormat="1" ht="12" hidden="1" x14ac:dyDescent="0.15">
      <c r="A6" s="61" t="s">
        <v>43</v>
      </c>
      <c r="B6" s="64">
        <f>'Strip-Till'!L31</f>
        <v>579.06561789772707</v>
      </c>
      <c r="C6" s="64">
        <f>'Strip-Till'!N31</f>
        <v>663.57662500000004</v>
      </c>
      <c r="D6" s="64">
        <f>'Strip-Till'!P31</f>
        <v>476.34328781250008</v>
      </c>
      <c r="E6" s="64">
        <f>'Strip-Till'!R31</f>
        <v>310.84013562500002</v>
      </c>
      <c r="F6" s="64">
        <f>'Strip-Till'!T31</f>
        <v>347.20109218749991</v>
      </c>
    </row>
    <row r="7" spans="1:13" s="53" customFormat="1" ht="16" x14ac:dyDescent="0.2">
      <c r="A7" s="441" t="s">
        <v>130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</row>
    <row r="8" spans="1:13" s="53" customFormat="1" ht="16" x14ac:dyDescent="0.2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15">
      <c r="A9" s="440" t="s">
        <v>153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</row>
    <row r="10" spans="1:13" x14ac:dyDescent="0.15">
      <c r="A10" s="434" t="s">
        <v>59</v>
      </c>
      <c r="B10" s="434"/>
      <c r="C10" s="434"/>
      <c r="D10" s="434"/>
      <c r="E10" s="434"/>
      <c r="F10" s="434"/>
      <c r="H10" s="434" t="s">
        <v>62</v>
      </c>
      <c r="I10" s="434"/>
      <c r="J10" s="434"/>
      <c r="K10" s="434"/>
      <c r="L10" s="434"/>
      <c r="M10" s="434"/>
    </row>
    <row r="11" spans="1:13" s="53" customFormat="1" ht="12" x14ac:dyDescent="0.15">
      <c r="A11" s="433" t="s">
        <v>36</v>
      </c>
      <c r="B11" s="433"/>
      <c r="C11" s="433"/>
      <c r="D11" s="433"/>
      <c r="E11" s="433"/>
      <c r="F11" s="433"/>
      <c r="H11" s="437" t="s">
        <v>36</v>
      </c>
      <c r="I11" s="437"/>
      <c r="J11" s="437"/>
      <c r="K11" s="437"/>
      <c r="L11" s="437"/>
      <c r="M11" s="437"/>
    </row>
    <row r="12" spans="1:13" x14ac:dyDescent="0.1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15">
      <c r="A13" s="74" t="s">
        <v>42</v>
      </c>
      <c r="B13" s="69">
        <f>0.75*D13</f>
        <v>63.75</v>
      </c>
      <c r="C13" s="69">
        <f>0.9*D13</f>
        <v>76.5</v>
      </c>
      <c r="D13" s="69">
        <f>D3</f>
        <v>85</v>
      </c>
      <c r="E13" s="69">
        <f>D13*1.1</f>
        <v>93.500000000000014</v>
      </c>
      <c r="F13" s="69">
        <f>D13*1.25</f>
        <v>106.25</v>
      </c>
      <c r="H13" s="74" t="s">
        <v>42</v>
      </c>
      <c r="I13" s="72">
        <f>0.75*K13</f>
        <v>562.5</v>
      </c>
      <c r="J13" s="72">
        <f>0.9*K13</f>
        <v>675</v>
      </c>
      <c r="K13" s="72">
        <f>B3</f>
        <v>750</v>
      </c>
      <c r="L13" s="72">
        <f>K13*1.1</f>
        <v>825.00000000000011</v>
      </c>
      <c r="M13" s="72">
        <f>K13*1.25</f>
        <v>937.5</v>
      </c>
    </row>
    <row r="14" spans="1:13" x14ac:dyDescent="0.15">
      <c r="A14" s="75">
        <f>Irrigated!A14</f>
        <v>4.76</v>
      </c>
      <c r="B14" s="76">
        <f>$A$14*B$13-$D$6</f>
        <v>-172.89328781250009</v>
      </c>
      <c r="C14" s="76">
        <f>$A$14*C$13-$D$6</f>
        <v>-112.20328781250009</v>
      </c>
      <c r="D14" s="76">
        <f>$A$14*D$13-$D$6</f>
        <v>-71.743287812500114</v>
      </c>
      <c r="E14" s="76">
        <f>$A$14*E$13-$D$6</f>
        <v>-31.283287812500021</v>
      </c>
      <c r="F14" s="76">
        <f>$A$14*F$13-$D$6</f>
        <v>29.40671218749992</v>
      </c>
      <c r="H14" s="75">
        <f>Irrigated!H14</f>
        <v>0.54599999999999993</v>
      </c>
      <c r="I14" s="76">
        <f>$H$14*I$13-$B$6</f>
        <v>-271.94061789772712</v>
      </c>
      <c r="J14" s="76">
        <f>$H$14*J$13-$B$6</f>
        <v>-210.51561789772711</v>
      </c>
      <c r="K14" s="76">
        <f>$H$14*K$13-$B$6</f>
        <v>-169.56561789772712</v>
      </c>
      <c r="L14" s="76">
        <f>$H$14*L$13-$B$6</f>
        <v>-128.61561789772708</v>
      </c>
      <c r="M14" s="76">
        <f>$H$14*M$13-$B$6</f>
        <v>-67.190617897727122</v>
      </c>
    </row>
    <row r="15" spans="1:13" x14ac:dyDescent="0.15">
      <c r="A15" s="77">
        <f>Irrigated!A15</f>
        <v>5.7799999999999994</v>
      </c>
      <c r="B15" s="78">
        <f>$A$15*B$13-$D$6</f>
        <v>-107.86828781250011</v>
      </c>
      <c r="C15" s="78">
        <f>$A$15*C$13-$D$6</f>
        <v>-34.173287812500121</v>
      </c>
      <c r="D15" s="78">
        <f>$A$15*D$13-$D$6</f>
        <v>14.956712187499875</v>
      </c>
      <c r="E15" s="78">
        <f>$A$15*E$13-$D$6</f>
        <v>64.086712187499984</v>
      </c>
      <c r="F15" s="78">
        <f>$A$15*F$13-$D$6</f>
        <v>137.78171218749981</v>
      </c>
      <c r="H15" s="77">
        <f>Irrigated!H15</f>
        <v>0.66300000000000003</v>
      </c>
      <c r="I15" s="78">
        <f>$H$15*I$13-$B$6</f>
        <v>-206.12811789772707</v>
      </c>
      <c r="J15" s="78">
        <f>$H$15*J$13-$B$6</f>
        <v>-131.54061789772703</v>
      </c>
      <c r="K15" s="78">
        <f>$H$15*K$13-$B$6</f>
        <v>-81.815617897727066</v>
      </c>
      <c r="L15" s="78">
        <f>$H$15*L$13-$B$6</f>
        <v>-32.090617897726929</v>
      </c>
      <c r="M15" s="78">
        <f>$H$15*M$13-$B$6</f>
        <v>42.496882102272934</v>
      </c>
    </row>
    <row r="16" spans="1:13" x14ac:dyDescent="0.15">
      <c r="A16" s="77">
        <f>Irrigated!A16</f>
        <v>6.8</v>
      </c>
      <c r="B16" s="78">
        <f>$A$16*B$13-$D$6</f>
        <v>-42.84328781250008</v>
      </c>
      <c r="C16" s="78">
        <f>$A$16*C$13-$D$6</f>
        <v>43.856712187499852</v>
      </c>
      <c r="D16" s="78">
        <f>$A$16*D$13-$D$6</f>
        <v>101.65671218749992</v>
      </c>
      <c r="E16" s="78">
        <f>$A$16*E$13-$D$6</f>
        <v>159.45671218749999</v>
      </c>
      <c r="F16" s="78">
        <f>$A$16*F$13-$D$6</f>
        <v>246.15671218749992</v>
      </c>
      <c r="H16" s="77">
        <f>Irrigated!H16</f>
        <v>0.78</v>
      </c>
      <c r="I16" s="78">
        <f>$H$16*I$13-$B$6</f>
        <v>-140.31561789772707</v>
      </c>
      <c r="J16" s="78">
        <f>$H$16*J$13-$B$6</f>
        <v>-52.565617897727066</v>
      </c>
      <c r="K16" s="78">
        <f>$H$16*K$13-$B$6</f>
        <v>5.9343821022729344</v>
      </c>
      <c r="L16" s="78">
        <f>$H$16*L$13-$B$6</f>
        <v>64.434382102273048</v>
      </c>
      <c r="M16" s="78">
        <f>$H$16*M$13-$B$6</f>
        <v>152.18438210227293</v>
      </c>
    </row>
    <row r="17" spans="1:13" x14ac:dyDescent="0.15">
      <c r="A17" s="77">
        <f>Irrigated!A17</f>
        <v>7.8199999999999994</v>
      </c>
      <c r="B17" s="78">
        <f>$A$17*B$13-$D$6</f>
        <v>22.181712187499897</v>
      </c>
      <c r="C17" s="78">
        <f>$A$17*C$13-$D$6</f>
        <v>121.88671218749982</v>
      </c>
      <c r="D17" s="78">
        <f>$A$17*D$13-$D$6</f>
        <v>188.35671218749985</v>
      </c>
      <c r="E17" s="78">
        <f>$A$17*E$13-$D$6</f>
        <v>254.82671218749999</v>
      </c>
      <c r="F17" s="78">
        <f>$A$17*F$13-$D$6</f>
        <v>354.53171218749981</v>
      </c>
      <c r="H17" s="77">
        <f>Irrigated!H17</f>
        <v>0.89699999999999991</v>
      </c>
      <c r="I17" s="78">
        <f>$H$17*I$13-$B$6</f>
        <v>-74.503117897727122</v>
      </c>
      <c r="J17" s="78">
        <f>$H$17*J$13-$B$6</f>
        <v>26.409382102272843</v>
      </c>
      <c r="K17" s="78">
        <f>$H$17*K$13-$B$6</f>
        <v>93.684382102272821</v>
      </c>
      <c r="L17" s="78">
        <f>$H$17*L$13-$B$6</f>
        <v>160.95938210227291</v>
      </c>
      <c r="M17" s="78">
        <f>$H$17*M$13-$B$6</f>
        <v>261.87188210227282</v>
      </c>
    </row>
    <row r="18" spans="1:13" x14ac:dyDescent="0.15">
      <c r="A18" s="79">
        <f>Irrigated!A18</f>
        <v>8.84</v>
      </c>
      <c r="B18" s="80">
        <f>$A$18*B$13-$D$6</f>
        <v>87.206712187499875</v>
      </c>
      <c r="C18" s="80">
        <f>$A$18*C$13-$D$6</f>
        <v>199.91671218749991</v>
      </c>
      <c r="D18" s="80">
        <f>$A$18*D$13-$D$6</f>
        <v>275.0567121874999</v>
      </c>
      <c r="E18" s="80">
        <f>$A$18*E$13-$D$6</f>
        <v>350.1967121875</v>
      </c>
      <c r="F18" s="80">
        <f>$A$18*F$13-$D$6</f>
        <v>462.90671218749992</v>
      </c>
      <c r="H18" s="79">
        <f>Irrigated!H18</f>
        <v>1.014</v>
      </c>
      <c r="I18" s="80">
        <f>$H$18*I$13-$B$6</f>
        <v>-8.6906178977270656</v>
      </c>
      <c r="J18" s="80">
        <f>$H$18*J$13-$B$6</f>
        <v>105.38438210227298</v>
      </c>
      <c r="K18" s="80">
        <f>$H$18*K$13-$B$6</f>
        <v>181.43438210227293</v>
      </c>
      <c r="L18" s="80">
        <f>$H$18*L$13-$B$6</f>
        <v>257.48438210227312</v>
      </c>
      <c r="M18" s="80">
        <f>$H$18*M$13-$B$6</f>
        <v>371.55938210227293</v>
      </c>
    </row>
    <row r="20" spans="1:13" x14ac:dyDescent="0.15">
      <c r="A20" s="434" t="s">
        <v>60</v>
      </c>
      <c r="B20" s="434"/>
      <c r="C20" s="434"/>
      <c r="D20" s="434"/>
      <c r="E20" s="434"/>
      <c r="F20" s="434"/>
      <c r="H20" s="435" t="s">
        <v>123</v>
      </c>
      <c r="I20" s="435"/>
      <c r="J20" s="435"/>
      <c r="K20" s="435"/>
      <c r="L20" s="435"/>
      <c r="M20" s="435"/>
    </row>
    <row r="21" spans="1:13" s="53" customFormat="1" ht="12" x14ac:dyDescent="0.15">
      <c r="A21" s="433" t="s">
        <v>36</v>
      </c>
      <c r="B21" s="433"/>
      <c r="C21" s="433"/>
      <c r="D21" s="433"/>
      <c r="E21" s="433"/>
      <c r="F21" s="433"/>
      <c r="H21" s="436" t="s">
        <v>36</v>
      </c>
      <c r="I21" s="436"/>
      <c r="J21" s="436"/>
      <c r="K21" s="436"/>
      <c r="L21" s="436"/>
      <c r="M21" s="436"/>
    </row>
    <row r="22" spans="1:13" x14ac:dyDescent="0.1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15">
      <c r="A23" s="74" t="s">
        <v>42</v>
      </c>
      <c r="B23" s="69">
        <f>0.75*D23</f>
        <v>48.75</v>
      </c>
      <c r="C23" s="69">
        <f>0.9*D23</f>
        <v>58.5</v>
      </c>
      <c r="D23" s="69">
        <f>F3</f>
        <v>65</v>
      </c>
      <c r="E23" s="69">
        <f>D23*1.1</f>
        <v>71.5</v>
      </c>
      <c r="F23" s="69">
        <f>D23*1.25</f>
        <v>81.25</v>
      </c>
      <c r="H23" s="74" t="s">
        <v>42</v>
      </c>
      <c r="I23" s="69">
        <f>0.75*K23</f>
        <v>2550</v>
      </c>
      <c r="J23" s="69">
        <f>0.9*K23</f>
        <v>3060</v>
      </c>
      <c r="K23" s="69">
        <f>C3</f>
        <v>3400</v>
      </c>
      <c r="L23" s="69">
        <f>K23*1.1</f>
        <v>3740.0000000000005</v>
      </c>
      <c r="M23" s="69">
        <f>K23*1.25</f>
        <v>4250</v>
      </c>
    </row>
    <row r="24" spans="1:13" x14ac:dyDescent="0.15">
      <c r="A24" s="75">
        <f>Irrigated!A24</f>
        <v>4.4799999999999995</v>
      </c>
      <c r="B24" s="76">
        <f>$A$24*B$23-$F$6</f>
        <v>-128.80109218749993</v>
      </c>
      <c r="C24" s="76">
        <f>$A$24*C$23-$F$6</f>
        <v>-85.121092187499926</v>
      </c>
      <c r="D24" s="76">
        <f>$A$24*D$23-$F$6</f>
        <v>-56.001092187499921</v>
      </c>
      <c r="E24" s="76">
        <f>$A$24*E$23-$F$6</f>
        <v>-26.881092187499917</v>
      </c>
      <c r="F24" s="76">
        <f>$A$24*F$23-$F$6</f>
        <v>16.798907812500033</v>
      </c>
      <c r="H24" s="81">
        <f>Irrigated!H24</f>
        <v>332.5</v>
      </c>
      <c r="I24" s="76">
        <f>$H$24*I$23/2000-$C$6</f>
        <v>-239.63912500000004</v>
      </c>
      <c r="J24" s="76">
        <f>$H$24*J$23/2000-$C$6</f>
        <v>-154.85162500000001</v>
      </c>
      <c r="K24" s="76">
        <f>$H$24*K$23/2000-$C$6</f>
        <v>-98.326625000000035</v>
      </c>
      <c r="L24" s="76">
        <f>$H$24*L$23/2000-$C$6</f>
        <v>-41.801624999999945</v>
      </c>
      <c r="M24" s="76">
        <f>$H$24*M$23/2000-$C$6</f>
        <v>42.985874999999965</v>
      </c>
    </row>
    <row r="25" spans="1:13" x14ac:dyDescent="0.15">
      <c r="A25" s="77">
        <f>Irrigated!A25</f>
        <v>5.44</v>
      </c>
      <c r="B25" s="78">
        <f>$A$25*B$23-$F$6</f>
        <v>-82.001092187499864</v>
      </c>
      <c r="C25" s="78">
        <f>$A$25*C$23-$F$6</f>
        <v>-28.961092187499901</v>
      </c>
      <c r="D25" s="78">
        <f>$A$25*D$23-$F$6</f>
        <v>6.3989078125001129</v>
      </c>
      <c r="E25" s="78">
        <f>$A$25*E$23-$F$6</f>
        <v>41.758907812500127</v>
      </c>
      <c r="F25" s="78">
        <f>$A$25*F$23-$F$6</f>
        <v>94.798907812500147</v>
      </c>
      <c r="H25" s="82">
        <f>Irrigated!H25</f>
        <v>403.75</v>
      </c>
      <c r="I25" s="78">
        <f>$H$25*I$23/2000-$C$6</f>
        <v>-148.79537500000004</v>
      </c>
      <c r="J25" s="78">
        <f>$H$25*J$23/2000-$C$6</f>
        <v>-45.839125000000081</v>
      </c>
      <c r="K25" s="78">
        <f>$H$25*K$23/2000-$C$6</f>
        <v>22.798374999999965</v>
      </c>
      <c r="L25" s="78">
        <f>$H$25*L$23/2000-$C$6</f>
        <v>91.435875000000124</v>
      </c>
      <c r="M25" s="78">
        <f>$H$25*M$23/2000-$C$6</f>
        <v>194.39212499999996</v>
      </c>
    </row>
    <row r="26" spans="1:13" x14ac:dyDescent="0.15">
      <c r="A26" s="77">
        <f>Irrigated!A26</f>
        <v>6.4</v>
      </c>
      <c r="B26" s="78">
        <f>$A$26*B$23-$F$6</f>
        <v>-35.20109218749991</v>
      </c>
      <c r="C26" s="78">
        <f>$A$26*C$23-$F$6</f>
        <v>27.198907812500124</v>
      </c>
      <c r="D26" s="78">
        <f>$A$26*D$23-$F$6</f>
        <v>68.79890781250009</v>
      </c>
      <c r="E26" s="78">
        <f>$A$26*E$23-$F$6</f>
        <v>110.39890781250011</v>
      </c>
      <c r="F26" s="78">
        <f>$A$26*F$23-$F$6</f>
        <v>172.79890781250009</v>
      </c>
      <c r="H26" s="82">
        <f>Irrigated!H26</f>
        <v>475</v>
      </c>
      <c r="I26" s="78">
        <f>$H$26*I$23/2000-$C$6</f>
        <v>-57.951625000000035</v>
      </c>
      <c r="J26" s="78">
        <f>$H$26*J$23/2000-$C$6</f>
        <v>63.173374999999965</v>
      </c>
      <c r="K26" s="78">
        <f>$H$26*K$23/2000-$C$6</f>
        <v>143.92337499999996</v>
      </c>
      <c r="L26" s="78">
        <f>$H$26*L$23/2000-$C$6</f>
        <v>224.67337500000008</v>
      </c>
      <c r="M26" s="78">
        <f>$H$26*M$23/2000-$C$6</f>
        <v>345.79837499999996</v>
      </c>
    </row>
    <row r="27" spans="1:13" x14ac:dyDescent="0.15">
      <c r="A27" s="77">
        <f>Irrigated!A27</f>
        <v>7.3599999999999994</v>
      </c>
      <c r="B27" s="78">
        <f>$A$27*B$23-$F$6</f>
        <v>11.598907812500045</v>
      </c>
      <c r="C27" s="78">
        <f>$A$27*C$23-$F$6</f>
        <v>83.358907812500036</v>
      </c>
      <c r="D27" s="78">
        <f>$A$27*D$23-$F$6</f>
        <v>131.19890781250007</v>
      </c>
      <c r="E27" s="78">
        <f>$A$27*E$23-$F$6</f>
        <v>179.0389078125001</v>
      </c>
      <c r="F27" s="78">
        <f>$A$27*F$23-$F$6</f>
        <v>250.79890781250009</v>
      </c>
      <c r="H27" s="82">
        <f>Irrigated!H27</f>
        <v>546.25</v>
      </c>
      <c r="I27" s="78">
        <f>$H$27*I$23/2000-$C$6</f>
        <v>32.892124999999965</v>
      </c>
      <c r="J27" s="78">
        <f>$H$27*J$23/2000-$C$6</f>
        <v>172.18587500000001</v>
      </c>
      <c r="K27" s="78">
        <f>$H$27*K$23/2000-$C$6</f>
        <v>265.04837499999996</v>
      </c>
      <c r="L27" s="78">
        <f>$H$27*L$23/2000-$C$6</f>
        <v>357.91087500000003</v>
      </c>
      <c r="M27" s="78">
        <f>$H$27*M$23/2000-$C$6</f>
        <v>497.20462499999996</v>
      </c>
    </row>
    <row r="28" spans="1:13" x14ac:dyDescent="0.15">
      <c r="A28" s="79">
        <f>Irrigated!A28</f>
        <v>8.32</v>
      </c>
      <c r="B28" s="80">
        <f>$A$28*B$23-$F$6</f>
        <v>58.398907812500113</v>
      </c>
      <c r="C28" s="80">
        <f>$A$28*C$23-$F$6</f>
        <v>139.51890781250012</v>
      </c>
      <c r="D28" s="80">
        <f>$A$28*D$23-$F$6</f>
        <v>193.59890781250016</v>
      </c>
      <c r="E28" s="80">
        <f>$A$28*E$23-$F$6</f>
        <v>247.67890781250009</v>
      </c>
      <c r="F28" s="80">
        <f>$A$28*F$23-$F$6</f>
        <v>328.79890781250009</v>
      </c>
      <c r="H28" s="83">
        <f>Irrigated!H28</f>
        <v>617.5</v>
      </c>
      <c r="I28" s="80">
        <f>$H$28*I$23/2000-$C$6</f>
        <v>123.73587499999996</v>
      </c>
      <c r="J28" s="80">
        <f>$H$28*J$23/2000-$C$6</f>
        <v>281.19837499999994</v>
      </c>
      <c r="K28" s="80">
        <f>$H$28*K$23/2000-$C$6</f>
        <v>386.17337499999996</v>
      </c>
      <c r="L28" s="80">
        <f>$H$28*L$23/2000-$C$6</f>
        <v>491.1483750000001</v>
      </c>
      <c r="M28" s="80">
        <f>$H$28*M$23/2000-$C$6</f>
        <v>648.61087499999996</v>
      </c>
    </row>
    <row r="30" spans="1:13" x14ac:dyDescent="0.15">
      <c r="A30" s="434" t="s">
        <v>61</v>
      </c>
      <c r="B30" s="434"/>
      <c r="C30" s="434"/>
      <c r="D30" s="434"/>
      <c r="E30" s="434"/>
      <c r="F30" s="434"/>
    </row>
    <row r="31" spans="1:13" s="53" customFormat="1" ht="12" x14ac:dyDescent="0.15">
      <c r="A31" s="433" t="s">
        <v>36</v>
      </c>
      <c r="B31" s="433"/>
      <c r="C31" s="433"/>
      <c r="D31" s="433"/>
      <c r="E31" s="433"/>
      <c r="F31" s="433"/>
    </row>
    <row r="32" spans="1:13" x14ac:dyDescent="0.1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I32" s="53"/>
    </row>
    <row r="33" spans="1:9" x14ac:dyDescent="0.15">
      <c r="A33" s="74" t="s">
        <v>42</v>
      </c>
      <c r="B33" s="69">
        <f>0.75*D33</f>
        <v>22.5</v>
      </c>
      <c r="C33" s="69">
        <f>0.9*D33</f>
        <v>27</v>
      </c>
      <c r="D33" s="69">
        <f>E3</f>
        <v>30</v>
      </c>
      <c r="E33" s="69">
        <f>D33*1.1</f>
        <v>33</v>
      </c>
      <c r="F33" s="69">
        <f>D33*1.25</f>
        <v>37.5</v>
      </c>
      <c r="I33" s="53"/>
    </row>
    <row r="34" spans="1:9" x14ac:dyDescent="0.15">
      <c r="A34" s="75">
        <f>Irrigated!A34</f>
        <v>9.66</v>
      </c>
      <c r="B34" s="76">
        <f>$A$34*B$33-$E$6</f>
        <v>-93.490135625000022</v>
      </c>
      <c r="C34" s="76">
        <f>$A$34*C$33-$E$6</f>
        <v>-50.020135625000023</v>
      </c>
      <c r="D34" s="76">
        <f>$A$34*D$33-$E$6</f>
        <v>-21.040135625000005</v>
      </c>
      <c r="E34" s="76">
        <f>$A$34*E$33-$E$6</f>
        <v>7.9398643750000133</v>
      </c>
      <c r="F34" s="76">
        <f>$A$34*F$33-$E$6</f>
        <v>51.409864374999984</v>
      </c>
      <c r="I34" s="53"/>
    </row>
    <row r="35" spans="1:9" x14ac:dyDescent="0.15">
      <c r="A35" s="77">
        <f>Irrigated!A35</f>
        <v>11.73</v>
      </c>
      <c r="B35" s="78">
        <f>$A$35*B$33-$E$6</f>
        <v>-46.915135625000005</v>
      </c>
      <c r="C35" s="78">
        <f>$A$35*C$33-$E$6</f>
        <v>5.8698643750000201</v>
      </c>
      <c r="D35" s="78">
        <f>$A$35*D$33-$E$6</f>
        <v>41.059864375000018</v>
      </c>
      <c r="E35" s="78">
        <f>$A$35*E$33-$E$6</f>
        <v>76.249864375000016</v>
      </c>
      <c r="F35" s="78">
        <f>$A$35*F$33-$E$6</f>
        <v>129.03486437499998</v>
      </c>
      <c r="I35" s="53"/>
    </row>
    <row r="36" spans="1:9" x14ac:dyDescent="0.15">
      <c r="A36" s="77">
        <f>Irrigated!A36</f>
        <v>13.8</v>
      </c>
      <c r="B36" s="78">
        <f>$A$36*B$33-$E$6</f>
        <v>-0.34013562500001626</v>
      </c>
      <c r="C36" s="78">
        <f>$A$36*C$33-$E$6</f>
        <v>61.759864375000006</v>
      </c>
      <c r="D36" s="78">
        <f>$A$36*D$33-$E$6</f>
        <v>103.15986437499998</v>
      </c>
      <c r="E36" s="78">
        <f>$A$36*E$33-$E$6</f>
        <v>144.55986437500002</v>
      </c>
      <c r="F36" s="78">
        <f>$A$36*F$33-$E$6</f>
        <v>206.65986437499998</v>
      </c>
      <c r="I36" s="53"/>
    </row>
    <row r="37" spans="1:9" x14ac:dyDescent="0.15">
      <c r="A37" s="77">
        <f>Irrigated!A37</f>
        <v>15.87</v>
      </c>
      <c r="B37" s="78">
        <f>$A$37*B$33-$E$6</f>
        <v>46.234864374999972</v>
      </c>
      <c r="C37" s="78">
        <f>$A$37*C$33-$E$6</f>
        <v>117.64986437499994</v>
      </c>
      <c r="D37" s="78">
        <f>$A$37*D$33-$E$6</f>
        <v>165.25986437499995</v>
      </c>
      <c r="E37" s="78">
        <f>$A$37*E$33-$E$6</f>
        <v>212.86986437499991</v>
      </c>
      <c r="F37" s="78">
        <f>$A$37*F$33-$E$6</f>
        <v>284.28486437499998</v>
      </c>
      <c r="I37" s="53"/>
    </row>
    <row r="38" spans="1:9" x14ac:dyDescent="0.15">
      <c r="A38" s="79">
        <f>Irrigated!A38</f>
        <v>17.940000000000001</v>
      </c>
      <c r="B38" s="80">
        <f>$A$38*B$33-$E$6</f>
        <v>92.809864375000018</v>
      </c>
      <c r="C38" s="80">
        <f>$A$38*C$33-$E$6</f>
        <v>173.53986437500004</v>
      </c>
      <c r="D38" s="80">
        <f>$A$38*D$33-$E$6</f>
        <v>227.35986437500003</v>
      </c>
      <c r="E38" s="80">
        <f>$A$38*E$33-$E$6</f>
        <v>281.17986437500008</v>
      </c>
      <c r="F38" s="80">
        <f>$A$38*F$33-$E$6</f>
        <v>361.90986437499998</v>
      </c>
      <c r="I38" s="53"/>
    </row>
    <row r="39" spans="1:9" s="53" customFormat="1" ht="12" x14ac:dyDescent="0.15"/>
    <row r="49" s="53" customFormat="1" ht="12" x14ac:dyDescent="0.15"/>
    <row r="59" s="53" customFormat="1" ht="12" x14ac:dyDescent="0.15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50" zoomScaleNormal="150" zoomScaleSheetLayoutView="87" zoomScalePageLayoutView="1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8.83203125" defaultRowHeight="14" x14ac:dyDescent="0.2"/>
  <cols>
    <col min="1" max="1" width="29.1640625" style="87" customWidth="1"/>
    <col min="2" max="2" width="7.5" style="91" bestFit="1" customWidth="1"/>
    <col min="3" max="3" width="3" style="91" bestFit="1" customWidth="1"/>
    <col min="4" max="4" width="5.5" style="91" bestFit="1" customWidth="1"/>
    <col min="5" max="5" width="4" style="91" bestFit="1" customWidth="1"/>
    <col min="6" max="6" width="5.5" style="91" bestFit="1" customWidth="1"/>
    <col min="7" max="7" width="3.5" style="91" bestFit="1" customWidth="1"/>
    <col min="8" max="8" width="8" style="91" bestFit="1" customWidth="1"/>
    <col min="9" max="9" width="3.5" style="91" bestFit="1" customWidth="1"/>
    <col min="10" max="10" width="5.83203125" style="91" bestFit="1" customWidth="1"/>
    <col min="11" max="11" width="3.5" style="91" bestFit="1" customWidth="1"/>
    <col min="12" max="12" width="5.6640625" style="91" bestFit="1" customWidth="1"/>
    <col min="13" max="13" width="3.5" style="91" customWidth="1"/>
    <col min="14" max="14" width="5.5" style="91" bestFit="1" customWidth="1"/>
    <col min="15" max="15" width="3" style="91" bestFit="1" customWidth="1"/>
    <col min="16" max="16" width="5.5" style="91" bestFit="1" customWidth="1"/>
    <col min="17" max="17" width="4" style="91" bestFit="1" customWidth="1"/>
    <col min="18" max="18" width="5.83203125" style="91" bestFit="1" customWidth="1"/>
    <col min="19" max="19" width="3.5" style="91" bestFit="1" customWidth="1"/>
    <col min="20" max="20" width="5.5" style="91" bestFit="1" customWidth="1"/>
    <col min="21" max="21" width="3.5" style="91" bestFit="1" customWidth="1"/>
    <col min="22" max="22" width="5.5" style="91" bestFit="1" customWidth="1"/>
    <col min="23" max="23" width="3.5" style="91" bestFit="1" customWidth="1"/>
    <col min="24" max="24" width="5.5" style="91" bestFit="1" customWidth="1"/>
    <col min="25" max="25" width="3.5" style="91" customWidth="1"/>
    <col min="26" max="26" width="5.5" style="91" bestFit="1" customWidth="1"/>
    <col min="27" max="27" width="3.5" style="91" customWidth="1"/>
    <col min="28" max="28" width="5.5" style="91" bestFit="1" customWidth="1"/>
    <col min="29" max="29" width="6.5" style="91" bestFit="1" customWidth="1"/>
    <col min="30" max="30" width="8.83203125" style="91"/>
    <col min="31" max="57" width="8.83203125" style="90"/>
    <col min="58" max="16384" width="8.83203125" style="91"/>
  </cols>
  <sheetData>
    <row r="1" spans="1:57" ht="14" customHeight="1" x14ac:dyDescent="0.2">
      <c r="A1" s="85" t="s">
        <v>191</v>
      </c>
      <c r="B1" s="148"/>
      <c r="C1" s="148"/>
      <c r="D1" s="148"/>
      <c r="E1" s="148"/>
      <c r="F1" s="148"/>
      <c r="G1" s="148"/>
      <c r="H1" s="305"/>
      <c r="I1" s="305"/>
      <c r="J1" s="305"/>
      <c r="K1" s="305"/>
      <c r="L1" s="376" t="s">
        <v>193</v>
      </c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148"/>
      <c r="AA1" s="148"/>
      <c r="AB1" s="148"/>
      <c r="AC1" s="90"/>
      <c r="AD1" s="90"/>
      <c r="BE1" s="91"/>
    </row>
    <row r="2" spans="1:57" s="290" customFormat="1" ht="11" customHeight="1" x14ac:dyDescent="0.2">
      <c r="A2" s="288" t="s">
        <v>190</v>
      </c>
      <c r="B2" s="288"/>
      <c r="C2" s="288"/>
      <c r="D2" s="288"/>
      <c r="E2" s="288"/>
      <c r="F2" s="288"/>
      <c r="G2" s="288"/>
      <c r="H2" s="306"/>
      <c r="I2" s="306"/>
      <c r="J2" s="306"/>
      <c r="K2" s="306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</row>
    <row r="3" spans="1:57" x14ac:dyDescent="0.2">
      <c r="A3" s="211" t="s">
        <v>192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7"/>
      <c r="Z3" s="90"/>
      <c r="AA3" s="90"/>
      <c r="AB3" s="90"/>
      <c r="AC3" s="90"/>
      <c r="AD3" s="90"/>
      <c r="AZ3" s="91"/>
      <c r="BA3" s="91"/>
      <c r="BB3" s="91"/>
      <c r="BC3" s="91"/>
      <c r="BD3" s="91"/>
      <c r="BE3" s="91"/>
    </row>
    <row r="4" spans="1:57" x14ac:dyDescent="0.2">
      <c r="A4" s="160" t="s">
        <v>25</v>
      </c>
      <c r="B4" s="378" t="s">
        <v>0</v>
      </c>
      <c r="C4" s="379"/>
      <c r="D4" s="379"/>
      <c r="E4" s="379"/>
      <c r="F4" s="379"/>
      <c r="G4" s="379"/>
      <c r="H4" s="379"/>
      <c r="I4" s="379"/>
      <c r="J4" s="379"/>
      <c r="K4" s="379"/>
      <c r="L4" s="378" t="s">
        <v>1</v>
      </c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80"/>
      <c r="Z4" s="90"/>
      <c r="AA4" s="90"/>
      <c r="AB4" s="90"/>
      <c r="AC4" s="90"/>
      <c r="AD4" s="90"/>
      <c r="BA4" s="91"/>
      <c r="BB4" s="91"/>
      <c r="BC4" s="91"/>
      <c r="BD4" s="91"/>
      <c r="BE4" s="91"/>
    </row>
    <row r="5" spans="1:57" s="150" customFormat="1" x14ac:dyDescent="0.2">
      <c r="A5" s="161"/>
      <c r="B5" s="365"/>
      <c r="C5" s="366"/>
      <c r="D5" s="364"/>
      <c r="E5" s="364"/>
      <c r="F5" s="367"/>
      <c r="G5" s="367"/>
      <c r="H5" s="367"/>
      <c r="I5" s="367"/>
      <c r="J5" s="374" t="s">
        <v>23</v>
      </c>
      <c r="K5" s="366"/>
      <c r="L5" s="365"/>
      <c r="M5" s="366"/>
      <c r="N5" s="364"/>
      <c r="O5" s="364"/>
      <c r="P5" s="367"/>
      <c r="Q5" s="367"/>
      <c r="R5" s="367"/>
      <c r="S5" s="367"/>
      <c r="T5" s="367" t="s">
        <v>23</v>
      </c>
      <c r="U5" s="367"/>
      <c r="V5" s="367" t="s">
        <v>22</v>
      </c>
      <c r="W5" s="367"/>
      <c r="X5" s="366"/>
      <c r="Y5" s="368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</row>
    <row r="6" spans="1:57" s="150" customFormat="1" x14ac:dyDescent="0.2">
      <c r="A6" s="161"/>
      <c r="B6" s="372" t="s">
        <v>2</v>
      </c>
      <c r="C6" s="370"/>
      <c r="D6" s="373" t="s">
        <v>3</v>
      </c>
      <c r="E6" s="373"/>
      <c r="F6" s="369" t="s">
        <v>4</v>
      </c>
      <c r="G6" s="369"/>
      <c r="H6" s="369" t="s">
        <v>5</v>
      </c>
      <c r="I6" s="369"/>
      <c r="J6" s="375" t="s">
        <v>6</v>
      </c>
      <c r="K6" s="370"/>
      <c r="L6" s="372" t="s">
        <v>2</v>
      </c>
      <c r="M6" s="370"/>
      <c r="N6" s="373" t="s">
        <v>3</v>
      </c>
      <c r="O6" s="373"/>
      <c r="P6" s="369" t="s">
        <v>4</v>
      </c>
      <c r="Q6" s="369"/>
      <c r="R6" s="369" t="s">
        <v>5</v>
      </c>
      <c r="S6" s="369"/>
      <c r="T6" s="369" t="s">
        <v>6</v>
      </c>
      <c r="U6" s="369"/>
      <c r="V6" s="369" t="s">
        <v>7</v>
      </c>
      <c r="W6" s="369"/>
      <c r="X6" s="370" t="s">
        <v>7</v>
      </c>
      <c r="Y6" s="371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57" x14ac:dyDescent="0.2">
      <c r="A7" s="98" t="s">
        <v>154</v>
      </c>
      <c r="B7" s="267">
        <v>1200</v>
      </c>
      <c r="C7" s="266" t="s">
        <v>158</v>
      </c>
      <c r="D7" s="257">
        <f>'Peanut Price Calculator'!B10</f>
        <v>4700</v>
      </c>
      <c r="E7" s="258" t="s">
        <v>158</v>
      </c>
      <c r="F7" s="261">
        <v>200</v>
      </c>
      <c r="G7" s="262" t="s">
        <v>161</v>
      </c>
      <c r="H7" s="261">
        <v>60</v>
      </c>
      <c r="I7" s="262" t="s">
        <v>161</v>
      </c>
      <c r="J7" s="261">
        <v>100</v>
      </c>
      <c r="K7" s="266" t="s">
        <v>161</v>
      </c>
      <c r="L7" s="268">
        <v>750</v>
      </c>
      <c r="M7" s="266" t="s">
        <v>158</v>
      </c>
      <c r="N7" s="257">
        <f>'Peanut Price Calculator'!B21</f>
        <v>3400</v>
      </c>
      <c r="O7" s="258" t="s">
        <v>158</v>
      </c>
      <c r="P7" s="261">
        <v>85</v>
      </c>
      <c r="Q7" s="262" t="s">
        <v>161</v>
      </c>
      <c r="R7" s="261">
        <v>30</v>
      </c>
      <c r="S7" s="262" t="s">
        <v>161</v>
      </c>
      <c r="T7" s="261">
        <v>65</v>
      </c>
      <c r="U7" s="262" t="s">
        <v>161</v>
      </c>
      <c r="V7" s="261">
        <v>75</v>
      </c>
      <c r="W7" s="262" t="s">
        <v>161</v>
      </c>
      <c r="X7" s="263">
        <v>55</v>
      </c>
      <c r="Y7" s="264" t="s">
        <v>161</v>
      </c>
      <c r="Z7" s="90"/>
      <c r="AA7" s="90"/>
      <c r="AB7" s="90"/>
      <c r="AC7" s="90"/>
      <c r="AD7" s="90"/>
      <c r="BB7" s="91"/>
      <c r="BC7" s="91"/>
      <c r="BD7" s="91"/>
      <c r="BE7" s="91"/>
    </row>
    <row r="8" spans="1:57" ht="15" thickBot="1" x14ac:dyDescent="0.25">
      <c r="A8" s="99" t="s">
        <v>124</v>
      </c>
      <c r="B8" s="256">
        <v>0.78</v>
      </c>
      <c r="C8" s="255" t="s">
        <v>159</v>
      </c>
      <c r="D8" s="259">
        <f>'Peanut Price Calculator'!B17</f>
        <v>475</v>
      </c>
      <c r="E8" s="260" t="s">
        <v>160</v>
      </c>
      <c r="F8" s="252">
        <v>6.8</v>
      </c>
      <c r="G8" s="249" t="s">
        <v>162</v>
      </c>
      <c r="H8" s="252">
        <v>13.8</v>
      </c>
      <c r="I8" s="249" t="s">
        <v>162</v>
      </c>
      <c r="J8" s="252">
        <v>6.4</v>
      </c>
      <c r="K8" s="255" t="s">
        <v>162</v>
      </c>
      <c r="L8" s="282">
        <f>B8</f>
        <v>0.78</v>
      </c>
      <c r="M8" s="255" t="s">
        <v>159</v>
      </c>
      <c r="N8" s="259">
        <f>'Peanut Price Calculator'!B28</f>
        <v>475</v>
      </c>
      <c r="O8" s="260" t="s">
        <v>160</v>
      </c>
      <c r="P8" s="248">
        <f>F8</f>
        <v>6.8</v>
      </c>
      <c r="Q8" s="249" t="s">
        <v>162</v>
      </c>
      <c r="R8" s="248">
        <f>H8</f>
        <v>13.8</v>
      </c>
      <c r="S8" s="249" t="s">
        <v>162</v>
      </c>
      <c r="T8" s="248">
        <f>J8</f>
        <v>6.4</v>
      </c>
      <c r="U8" s="249" t="s">
        <v>162</v>
      </c>
      <c r="V8" s="252">
        <v>7.8</v>
      </c>
      <c r="W8" s="249" t="s">
        <v>162</v>
      </c>
      <c r="X8" s="250">
        <f>V8</f>
        <v>7.8</v>
      </c>
      <c r="Y8" s="251" t="s">
        <v>162</v>
      </c>
      <c r="Z8" s="90"/>
      <c r="AA8" s="90"/>
      <c r="AB8" s="90"/>
      <c r="AC8" s="90"/>
      <c r="AD8" s="90"/>
      <c r="BB8" s="91"/>
      <c r="BC8" s="91"/>
      <c r="BD8" s="91"/>
      <c r="BE8" s="91"/>
    </row>
    <row r="9" spans="1:57" x14ac:dyDescent="0.2">
      <c r="A9" s="100" t="s">
        <v>155</v>
      </c>
      <c r="B9" s="359">
        <f>B7*B8</f>
        <v>936</v>
      </c>
      <c r="C9" s="352"/>
      <c r="D9" s="354">
        <f>D8*(D7/2000)</f>
        <v>1116.25</v>
      </c>
      <c r="E9" s="354"/>
      <c r="F9" s="354">
        <f>F7*F8</f>
        <v>1360</v>
      </c>
      <c r="G9" s="354"/>
      <c r="H9" s="354">
        <f>H7*H8</f>
        <v>828</v>
      </c>
      <c r="I9" s="354"/>
      <c r="J9" s="361">
        <f>J7*J8</f>
        <v>640</v>
      </c>
      <c r="K9" s="352"/>
      <c r="L9" s="359">
        <f>L7*L8</f>
        <v>585</v>
      </c>
      <c r="M9" s="352"/>
      <c r="N9" s="354">
        <f>N8*(N7/2000)</f>
        <v>807.5</v>
      </c>
      <c r="O9" s="354"/>
      <c r="P9" s="354">
        <f>P7*P8</f>
        <v>578</v>
      </c>
      <c r="Q9" s="354"/>
      <c r="R9" s="354">
        <f>R7*R8</f>
        <v>414</v>
      </c>
      <c r="S9" s="354"/>
      <c r="T9" s="354">
        <f>T7*T8</f>
        <v>416</v>
      </c>
      <c r="U9" s="354"/>
      <c r="V9" s="354">
        <f>V7*V8</f>
        <v>585</v>
      </c>
      <c r="W9" s="354"/>
      <c r="X9" s="352">
        <f>X7*X8</f>
        <v>429</v>
      </c>
      <c r="Y9" s="353"/>
      <c r="Z9" s="90"/>
      <c r="AA9" s="90"/>
      <c r="AB9" s="90"/>
      <c r="AC9" s="90"/>
      <c r="AD9" s="90"/>
      <c r="BB9" s="91"/>
      <c r="BC9" s="91"/>
      <c r="BD9" s="91"/>
      <c r="BE9" s="91"/>
    </row>
    <row r="10" spans="1:57" x14ac:dyDescent="0.2">
      <c r="A10" s="101" t="s">
        <v>156</v>
      </c>
      <c r="B10" s="349"/>
      <c r="C10" s="346"/>
      <c r="D10" s="348"/>
      <c r="E10" s="348"/>
      <c r="F10" s="348"/>
      <c r="G10" s="348"/>
      <c r="H10" s="348"/>
      <c r="I10" s="348"/>
      <c r="J10" s="357"/>
      <c r="K10" s="346"/>
      <c r="L10" s="349"/>
      <c r="M10" s="346"/>
      <c r="N10" s="348"/>
      <c r="O10" s="348"/>
      <c r="P10" s="348"/>
      <c r="Q10" s="348"/>
      <c r="R10" s="348"/>
      <c r="S10" s="348"/>
      <c r="T10" s="348"/>
      <c r="U10" s="348"/>
      <c r="V10" s="278"/>
      <c r="W10" s="277"/>
      <c r="X10" s="346"/>
      <c r="Y10" s="347"/>
      <c r="Z10" s="90"/>
      <c r="AA10" s="90"/>
      <c r="AB10" s="90"/>
      <c r="AC10" s="90"/>
      <c r="AD10" s="90"/>
      <c r="BB10" s="91"/>
      <c r="BC10" s="91"/>
      <c r="BD10" s="91"/>
      <c r="BE10" s="91"/>
    </row>
    <row r="11" spans="1:57" x14ac:dyDescent="0.2">
      <c r="A11" s="95" t="s">
        <v>24</v>
      </c>
      <c r="B11" s="360">
        <v>95</v>
      </c>
      <c r="C11" s="350"/>
      <c r="D11" s="355">
        <v>129.5</v>
      </c>
      <c r="E11" s="356"/>
      <c r="F11" s="358">
        <v>123.2</v>
      </c>
      <c r="G11" s="358"/>
      <c r="H11" s="355">
        <v>63.75</v>
      </c>
      <c r="I11" s="356"/>
      <c r="J11" s="355">
        <v>25.2</v>
      </c>
      <c r="K11" s="350"/>
      <c r="L11" s="360">
        <v>95</v>
      </c>
      <c r="M11" s="350"/>
      <c r="N11" s="358">
        <v>130</v>
      </c>
      <c r="O11" s="358"/>
      <c r="P11" s="358">
        <v>77</v>
      </c>
      <c r="Q11" s="358"/>
      <c r="R11" s="355">
        <f>H11</f>
        <v>63.75</v>
      </c>
      <c r="S11" s="356"/>
      <c r="T11" s="358">
        <v>15.4</v>
      </c>
      <c r="U11" s="358"/>
      <c r="V11" s="358">
        <v>66.25</v>
      </c>
      <c r="W11" s="358"/>
      <c r="X11" s="350">
        <v>44.1</v>
      </c>
      <c r="Y11" s="351"/>
      <c r="Z11" s="90"/>
      <c r="AA11" s="90"/>
      <c r="AB11" s="90"/>
      <c r="AC11" s="90"/>
      <c r="AD11" s="90"/>
      <c r="BB11" s="91"/>
      <c r="BC11" s="91"/>
      <c r="BD11" s="91"/>
      <c r="BE11" s="91"/>
    </row>
    <row r="12" spans="1:57" x14ac:dyDescent="0.2">
      <c r="A12" s="95" t="s">
        <v>8</v>
      </c>
      <c r="B12" s="321">
        <f>B7/495*0.75</f>
        <v>1.8181818181818183</v>
      </c>
      <c r="C12" s="322"/>
      <c r="D12" s="312"/>
      <c r="E12" s="312"/>
      <c r="F12" s="312"/>
      <c r="G12" s="312"/>
      <c r="H12" s="312"/>
      <c r="I12" s="312"/>
      <c r="J12" s="322"/>
      <c r="K12" s="322"/>
      <c r="L12" s="321">
        <f>L7/495*0.75</f>
        <v>1.1363636363636362</v>
      </c>
      <c r="M12" s="32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22"/>
      <c r="Y12" s="329"/>
      <c r="Z12" s="90"/>
      <c r="AA12" s="90"/>
      <c r="AB12" s="90"/>
      <c r="AC12" s="90"/>
      <c r="AD12" s="90"/>
      <c r="BB12" s="91"/>
      <c r="BC12" s="91"/>
      <c r="BD12" s="91"/>
      <c r="BE12" s="91"/>
    </row>
    <row r="13" spans="1:57" x14ac:dyDescent="0.2">
      <c r="A13" s="95" t="s">
        <v>27</v>
      </c>
      <c r="B13" s="321">
        <f>19.8+3.4+B7*0.075*$D$46+0.0583*B7*$F$46+0.0583*B7*$H$46</f>
        <v>230.63800000000001</v>
      </c>
      <c r="C13" s="322"/>
      <c r="D13" s="312">
        <f>9.25+60+3.4</f>
        <v>72.650000000000006</v>
      </c>
      <c r="E13" s="312"/>
      <c r="F13" s="312">
        <f>30+F7*1.2*$D$46+F7*0.5*$F$46+F7*$H$46</f>
        <v>524</v>
      </c>
      <c r="G13" s="312"/>
      <c r="H13" s="312">
        <f>6.5+19.8+0.6667*H7*$F$46+1.333*H7*$H$46+3.37</f>
        <v>121.6566</v>
      </c>
      <c r="I13" s="312"/>
      <c r="J13" s="322">
        <f>30+1.25*J7*$D$46+0.6*J7*$F$46+0.9*J7*$H$46</f>
        <v>283</v>
      </c>
      <c r="K13" s="322"/>
      <c r="L13" s="321">
        <f>19.8+3.4+0.08*L7*$D$46+0.0667*L7*$F$46+0.0667*L7*$H$46</f>
        <v>166.73874999999998</v>
      </c>
      <c r="M13" s="322"/>
      <c r="N13" s="312">
        <f>9.25+60+3.4</f>
        <v>72.650000000000006</v>
      </c>
      <c r="O13" s="312"/>
      <c r="P13" s="312">
        <f>15+P7*1.1765*$D$46+0.4706*P7*$F$46+0.7059*P7*$H$46</f>
        <v>202.00467500000002</v>
      </c>
      <c r="Q13" s="312"/>
      <c r="R13" s="309">
        <f>6.5+19.8+1.3333*R7*$F$46+2.6667*R7*$H$46+3.37</f>
        <v>121.66995</v>
      </c>
      <c r="S13" s="310"/>
      <c r="T13" s="312">
        <f>15+1.2308*T7*$D$46+0.6154*T7*$F$46+0.9231*T7*$H$46</f>
        <v>180.00412499999999</v>
      </c>
      <c r="U13" s="312"/>
      <c r="V13" s="312">
        <f>15+1.6*V7*$D$46+0.6667*V7*$F$46+0.8*V7*$H$46</f>
        <v>232.00200000000001</v>
      </c>
      <c r="W13" s="312"/>
      <c r="X13" s="322">
        <f>15+1.4545*X7*$D$46+0.7273*X7*$F$46+0.7273*X7*$H$46</f>
        <v>164.99957499999999</v>
      </c>
      <c r="Y13" s="329"/>
      <c r="Z13" s="90"/>
      <c r="AA13" s="283"/>
      <c r="AB13" s="90"/>
      <c r="AC13" s="90"/>
      <c r="AD13" s="90"/>
      <c r="BB13" s="91"/>
      <c r="BC13" s="91"/>
      <c r="BD13" s="91"/>
      <c r="BE13" s="91"/>
    </row>
    <row r="14" spans="1:57" x14ac:dyDescent="0.2">
      <c r="A14" s="95" t="s">
        <v>125</v>
      </c>
      <c r="B14" s="321"/>
      <c r="C14" s="322"/>
      <c r="D14" s="312"/>
      <c r="E14" s="312"/>
      <c r="F14" s="312"/>
      <c r="G14" s="312"/>
      <c r="H14" s="312"/>
      <c r="I14" s="312"/>
      <c r="J14" s="322"/>
      <c r="K14" s="322"/>
      <c r="L14" s="321"/>
      <c r="M14" s="32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22"/>
      <c r="Y14" s="329"/>
      <c r="Z14" s="90"/>
      <c r="AA14" s="283"/>
      <c r="AB14" s="90"/>
      <c r="AC14" s="90"/>
      <c r="AD14" s="90"/>
      <c r="BB14" s="91"/>
      <c r="BC14" s="91"/>
      <c r="BD14" s="91"/>
      <c r="BE14" s="91"/>
    </row>
    <row r="15" spans="1:57" x14ac:dyDescent="0.2">
      <c r="A15" s="95" t="s">
        <v>9</v>
      </c>
      <c r="B15" s="321">
        <f>((90.02+79.05)/2+25.1+7.2+14.38)</f>
        <v>131.215</v>
      </c>
      <c r="C15" s="322"/>
      <c r="D15" s="312">
        <f>42.3+42.5+102.73</f>
        <v>187.53</v>
      </c>
      <c r="E15" s="312"/>
      <c r="F15" s="312">
        <f>18.5+11.26+15.75</f>
        <v>45.51</v>
      </c>
      <c r="G15" s="312"/>
      <c r="H15" s="312">
        <f>39.49+3.1+18</f>
        <v>60.59</v>
      </c>
      <c r="I15" s="312"/>
      <c r="J15" s="322">
        <f>21+18.24</f>
        <v>39.239999999999995</v>
      </c>
      <c r="K15" s="322"/>
      <c r="L15" s="321">
        <f>((90.2+79.05)/2+25.1+5.2+14.38)</f>
        <v>129.30500000000001</v>
      </c>
      <c r="M15" s="322"/>
      <c r="N15" s="312">
        <f>54.96+42.5+63.35</f>
        <v>160.81</v>
      </c>
      <c r="O15" s="312"/>
      <c r="P15" s="312">
        <f>18.5+11.26+15.75</f>
        <v>45.51</v>
      </c>
      <c r="Q15" s="312"/>
      <c r="R15" s="312">
        <f>38.79+3.1</f>
        <v>41.89</v>
      </c>
      <c r="S15" s="312"/>
      <c r="T15" s="312">
        <f>21+18.24</f>
        <v>39.239999999999995</v>
      </c>
      <c r="U15" s="312"/>
      <c r="V15" s="312">
        <f>35.82+1.43+24.93</f>
        <v>62.18</v>
      </c>
      <c r="W15" s="312"/>
      <c r="X15" s="322">
        <f>27.82+1.43+17.13</f>
        <v>46.379999999999995</v>
      </c>
      <c r="Y15" s="329"/>
      <c r="Z15" s="90"/>
      <c r="AA15" s="283"/>
      <c r="AB15" s="90"/>
      <c r="AC15" s="90"/>
      <c r="AD15" s="90"/>
      <c r="BB15" s="91"/>
      <c r="BC15" s="91"/>
      <c r="BD15" s="91"/>
      <c r="BE15" s="91"/>
    </row>
    <row r="16" spans="1:57" x14ac:dyDescent="0.2">
      <c r="A16" s="95" t="s">
        <v>172</v>
      </c>
      <c r="B16" s="212"/>
      <c r="C16" s="213"/>
      <c r="D16" s="309"/>
      <c r="E16" s="310"/>
      <c r="F16" s="309"/>
      <c r="G16" s="310"/>
      <c r="H16" s="309"/>
      <c r="I16" s="310"/>
      <c r="J16" s="213"/>
      <c r="K16" s="213"/>
      <c r="L16" s="212"/>
      <c r="M16" s="213"/>
      <c r="N16" s="309"/>
      <c r="O16" s="310"/>
      <c r="P16" s="309"/>
      <c r="Q16" s="310"/>
      <c r="R16" s="309"/>
      <c r="S16" s="310"/>
      <c r="T16" s="309"/>
      <c r="U16" s="310"/>
      <c r="V16" s="309">
        <v>8</v>
      </c>
      <c r="W16" s="310"/>
      <c r="X16" s="309">
        <v>8</v>
      </c>
      <c r="Y16" s="329"/>
      <c r="Z16" s="90"/>
      <c r="AA16" s="90"/>
      <c r="AB16" s="90"/>
      <c r="AC16" s="90"/>
      <c r="AD16" s="90"/>
      <c r="BB16" s="91"/>
      <c r="BC16" s="91"/>
      <c r="BD16" s="91"/>
      <c r="BE16" s="91"/>
    </row>
    <row r="17" spans="1:57" x14ac:dyDescent="0.2">
      <c r="A17" s="95" t="s">
        <v>173</v>
      </c>
      <c r="B17" s="321">
        <v>18</v>
      </c>
      <c r="C17" s="322"/>
      <c r="D17" s="312">
        <v>18</v>
      </c>
      <c r="E17" s="312"/>
      <c r="F17" s="312"/>
      <c r="G17" s="312"/>
      <c r="H17" s="312"/>
      <c r="I17" s="312"/>
      <c r="J17" s="322"/>
      <c r="K17" s="322"/>
      <c r="L17" s="321">
        <v>18</v>
      </c>
      <c r="M17" s="322"/>
      <c r="N17" s="312">
        <v>18</v>
      </c>
      <c r="O17" s="312"/>
      <c r="P17" s="312"/>
      <c r="Q17" s="312"/>
      <c r="R17" s="312"/>
      <c r="S17" s="312"/>
      <c r="T17" s="312"/>
      <c r="U17" s="312"/>
      <c r="V17" s="312"/>
      <c r="W17" s="312"/>
      <c r="X17" s="322"/>
      <c r="Y17" s="329"/>
      <c r="Z17" s="90"/>
      <c r="AA17" s="90"/>
      <c r="AB17" s="90"/>
      <c r="AC17" s="90"/>
      <c r="AD17" s="90"/>
      <c r="BB17" s="91"/>
      <c r="BC17" s="91"/>
      <c r="BD17" s="91"/>
      <c r="BE17" s="91"/>
    </row>
    <row r="18" spans="1:57" x14ac:dyDescent="0.2">
      <c r="A18" s="95" t="s">
        <v>10</v>
      </c>
      <c r="B18" s="321">
        <v>12.5</v>
      </c>
      <c r="C18" s="322"/>
      <c r="D18" s="312">
        <v>12.5</v>
      </c>
      <c r="E18" s="312"/>
      <c r="F18" s="312"/>
      <c r="G18" s="312"/>
      <c r="H18" s="312"/>
      <c r="I18" s="312"/>
      <c r="J18" s="322"/>
      <c r="K18" s="322"/>
      <c r="L18" s="321">
        <v>12.5</v>
      </c>
      <c r="M18" s="322"/>
      <c r="N18" s="312">
        <v>12.5</v>
      </c>
      <c r="O18" s="312"/>
      <c r="P18" s="312"/>
      <c r="Q18" s="312"/>
      <c r="R18" s="312"/>
      <c r="S18" s="312"/>
      <c r="T18" s="312"/>
      <c r="U18" s="312"/>
      <c r="V18" s="312"/>
      <c r="W18" s="312"/>
      <c r="X18" s="322"/>
      <c r="Y18" s="329"/>
      <c r="Z18" s="90"/>
      <c r="AA18" s="90"/>
      <c r="AB18" s="90"/>
      <c r="AC18" s="90"/>
      <c r="AD18" s="90"/>
      <c r="BB18" s="91"/>
      <c r="BC18" s="91"/>
      <c r="BD18" s="91"/>
      <c r="BE18" s="91"/>
    </row>
    <row r="19" spans="1:57" x14ac:dyDescent="0.2">
      <c r="A19" s="95" t="s">
        <v>28</v>
      </c>
      <c r="B19" s="321">
        <f>(4.6+6.4)*$B$47</f>
        <v>46.75</v>
      </c>
      <c r="C19" s="322"/>
      <c r="D19" s="312">
        <f>(9.7+7.9)*$B$47</f>
        <v>74.800000000000011</v>
      </c>
      <c r="E19" s="312"/>
      <c r="F19" s="312">
        <f>7.8*$B$47</f>
        <v>33.15</v>
      </c>
      <c r="G19" s="312"/>
      <c r="H19" s="312">
        <f>6.6*$B$47</f>
        <v>28.049999999999997</v>
      </c>
      <c r="I19" s="312"/>
      <c r="J19" s="322">
        <f>7.1*$B$47</f>
        <v>30.174999999999997</v>
      </c>
      <c r="K19" s="322"/>
      <c r="L19" s="321">
        <f>(4.6+6.4)*$B$47</f>
        <v>46.75</v>
      </c>
      <c r="M19" s="322"/>
      <c r="N19" s="312">
        <f>(9.7+7.9)*$B$47</f>
        <v>74.800000000000011</v>
      </c>
      <c r="O19" s="312"/>
      <c r="P19" s="312">
        <f>7.8*B47</f>
        <v>33.15</v>
      </c>
      <c r="Q19" s="312"/>
      <c r="R19" s="312">
        <f>6.6*$B$47</f>
        <v>28.049999999999997</v>
      </c>
      <c r="S19" s="312"/>
      <c r="T19" s="312">
        <f>J19</f>
        <v>30.174999999999997</v>
      </c>
      <c r="U19" s="312"/>
      <c r="V19" s="312">
        <f>6.5*$B$47</f>
        <v>27.625</v>
      </c>
      <c r="W19" s="312"/>
      <c r="X19" s="322">
        <f>6.3*$B$47</f>
        <v>26.774999999999999</v>
      </c>
      <c r="Y19" s="329"/>
      <c r="Z19" s="90"/>
      <c r="AA19" s="90"/>
      <c r="AB19" s="90"/>
      <c r="AC19" s="90"/>
      <c r="AD19" s="90"/>
      <c r="BB19" s="91"/>
      <c r="BC19" s="91"/>
      <c r="BD19" s="91"/>
      <c r="BE19" s="91"/>
    </row>
    <row r="20" spans="1:57" x14ac:dyDescent="0.2">
      <c r="A20" s="95" t="s">
        <v>11</v>
      </c>
      <c r="B20" s="321">
        <f>16.15+33.12</f>
        <v>49.269999999999996</v>
      </c>
      <c r="C20" s="322"/>
      <c r="D20" s="312">
        <f>27.4+34.06</f>
        <v>61.46</v>
      </c>
      <c r="E20" s="312"/>
      <c r="F20" s="312">
        <f>18.04+10.2</f>
        <v>28.24</v>
      </c>
      <c r="G20" s="312"/>
      <c r="H20" s="312">
        <f>15.74+8.17</f>
        <v>23.91</v>
      </c>
      <c r="I20" s="312"/>
      <c r="J20" s="312">
        <f>18.89+5.86</f>
        <v>24.75</v>
      </c>
      <c r="K20" s="312"/>
      <c r="L20" s="321">
        <f>B20</f>
        <v>49.269999999999996</v>
      </c>
      <c r="M20" s="322"/>
      <c r="N20" s="312">
        <f>D20</f>
        <v>61.46</v>
      </c>
      <c r="O20" s="312"/>
      <c r="P20" s="312">
        <f>F20</f>
        <v>28.24</v>
      </c>
      <c r="Q20" s="312"/>
      <c r="R20" s="312">
        <f>H20</f>
        <v>23.91</v>
      </c>
      <c r="S20" s="312"/>
      <c r="T20" s="309">
        <f>J20</f>
        <v>24.75</v>
      </c>
      <c r="U20" s="329"/>
      <c r="V20" s="312">
        <f>10+7.04</f>
        <v>17.04</v>
      </c>
      <c r="W20" s="312"/>
      <c r="X20" s="322">
        <f>9.55+7.04</f>
        <v>16.59</v>
      </c>
      <c r="Y20" s="329"/>
      <c r="Z20" s="90"/>
      <c r="AA20" s="90"/>
      <c r="AB20" s="90"/>
      <c r="AC20" s="90"/>
      <c r="AD20" s="149"/>
      <c r="BB20" s="91"/>
      <c r="BC20" s="91"/>
      <c r="BD20" s="91"/>
      <c r="BE20" s="91"/>
    </row>
    <row r="21" spans="1:57" x14ac:dyDescent="0.2">
      <c r="A21" s="95" t="s">
        <v>29</v>
      </c>
      <c r="B21" s="321">
        <f>((8*8)*0.67+(5.75*$B$47*8)*0.33)</f>
        <v>107.39500000000001</v>
      </c>
      <c r="C21" s="322"/>
      <c r="D21" s="312">
        <f>((8*6)*0.67+(5.75*$B$47*6)*0.33)</f>
        <v>80.546250000000015</v>
      </c>
      <c r="E21" s="312"/>
      <c r="F21" s="309">
        <f>((8*8)*0.67+(5.75*$B$47*8)*0.33)</f>
        <v>107.39500000000001</v>
      </c>
      <c r="G21" s="310"/>
      <c r="H21" s="312">
        <f>((8*5)*0.67+(5.75*$B$47*5)*0.33)</f>
        <v>67.121875000000003</v>
      </c>
      <c r="I21" s="312"/>
      <c r="J21" s="309">
        <f>((8*4)*0.67+(5.75*$B$47*4)*0.33)</f>
        <v>53.697500000000005</v>
      </c>
      <c r="K21" s="322"/>
      <c r="L21" s="321"/>
      <c r="M21" s="322"/>
      <c r="N21" s="312"/>
      <c r="O21" s="312"/>
      <c r="P21" s="312"/>
      <c r="Q21" s="312"/>
      <c r="R21" s="312"/>
      <c r="S21" s="312"/>
      <c r="T21" s="312"/>
      <c r="U21" s="312"/>
      <c r="V21" s="309">
        <v>13.5</v>
      </c>
      <c r="W21" s="310"/>
      <c r="X21" s="322"/>
      <c r="Y21" s="329"/>
      <c r="Z21" s="90"/>
      <c r="AA21" s="90"/>
      <c r="AB21" s="90"/>
      <c r="AC21" s="90"/>
      <c r="AD21" s="90"/>
      <c r="BB21" s="91"/>
      <c r="BC21" s="91"/>
      <c r="BD21" s="91"/>
      <c r="BE21" s="91"/>
    </row>
    <row r="22" spans="1:57" x14ac:dyDescent="0.2">
      <c r="A22" s="95" t="s">
        <v>13</v>
      </c>
      <c r="B22" s="321">
        <v>14.44</v>
      </c>
      <c r="C22" s="322"/>
      <c r="D22" s="312">
        <v>34.659999999999997</v>
      </c>
      <c r="E22" s="312"/>
      <c r="F22" s="312">
        <v>14.82</v>
      </c>
      <c r="G22" s="312"/>
      <c r="H22" s="312">
        <v>12.42</v>
      </c>
      <c r="I22" s="312"/>
      <c r="J22" s="312">
        <v>14</v>
      </c>
      <c r="K22" s="312"/>
      <c r="L22" s="321">
        <v>14.44</v>
      </c>
      <c r="M22" s="322"/>
      <c r="N22" s="312">
        <v>34.659999999999997</v>
      </c>
      <c r="O22" s="312"/>
      <c r="P22" s="312">
        <f>14.82</f>
        <v>14.82</v>
      </c>
      <c r="Q22" s="312"/>
      <c r="R22" s="312">
        <v>12.42</v>
      </c>
      <c r="S22" s="312"/>
      <c r="T22" s="312">
        <v>14</v>
      </c>
      <c r="U22" s="312"/>
      <c r="V22" s="312">
        <v>10.55</v>
      </c>
      <c r="W22" s="312"/>
      <c r="X22" s="322">
        <v>10.07</v>
      </c>
      <c r="Y22" s="329"/>
      <c r="Z22" s="90"/>
      <c r="AA22" s="90"/>
      <c r="AB22" s="90"/>
      <c r="AC22" s="90"/>
      <c r="AD22" s="90"/>
      <c r="BB22" s="91"/>
      <c r="BC22" s="91"/>
      <c r="BD22" s="91"/>
      <c r="BE22" s="91"/>
    </row>
    <row r="23" spans="1:57" x14ac:dyDescent="0.2">
      <c r="A23" s="95" t="s">
        <v>14</v>
      </c>
      <c r="B23" s="321">
        <v>20</v>
      </c>
      <c r="C23" s="322"/>
      <c r="D23" s="312">
        <v>31</v>
      </c>
      <c r="E23" s="312"/>
      <c r="F23" s="312">
        <v>20</v>
      </c>
      <c r="G23" s="312"/>
      <c r="H23" s="312">
        <v>13</v>
      </c>
      <c r="I23" s="312"/>
      <c r="J23" s="322">
        <v>37</v>
      </c>
      <c r="K23" s="322"/>
      <c r="L23" s="321">
        <v>38</v>
      </c>
      <c r="M23" s="322"/>
      <c r="N23" s="312">
        <v>43</v>
      </c>
      <c r="O23" s="312"/>
      <c r="P23" s="312">
        <v>35</v>
      </c>
      <c r="Q23" s="312"/>
      <c r="R23" s="312">
        <v>22</v>
      </c>
      <c r="S23" s="312"/>
      <c r="T23" s="312">
        <v>30</v>
      </c>
      <c r="U23" s="312"/>
      <c r="V23" s="312">
        <v>12</v>
      </c>
      <c r="W23" s="312"/>
      <c r="X23" s="322">
        <v>15</v>
      </c>
      <c r="Y23" s="329"/>
      <c r="Z23" s="90"/>
      <c r="AA23" s="90"/>
      <c r="AB23" s="90"/>
      <c r="AC23" s="90"/>
      <c r="AD23" s="90"/>
      <c r="BB23" s="91"/>
      <c r="BC23" s="91"/>
      <c r="BD23" s="91"/>
      <c r="BE23" s="91"/>
    </row>
    <row r="24" spans="1:57" x14ac:dyDescent="0.2">
      <c r="A24" s="95" t="s">
        <v>126</v>
      </c>
      <c r="B24" s="321"/>
      <c r="C24" s="322"/>
      <c r="D24" s="312"/>
      <c r="E24" s="312"/>
      <c r="F24" s="312"/>
      <c r="G24" s="312"/>
      <c r="H24" s="312"/>
      <c r="I24" s="312"/>
      <c r="J24" s="322"/>
      <c r="K24" s="322"/>
      <c r="L24" s="321"/>
      <c r="M24" s="32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22"/>
      <c r="Y24" s="329"/>
      <c r="Z24" s="90"/>
      <c r="AA24" s="90"/>
      <c r="AB24" s="90"/>
      <c r="AC24" s="90"/>
      <c r="AD24" s="90"/>
      <c r="BB24" s="91"/>
      <c r="BC24" s="91"/>
      <c r="BD24" s="91"/>
      <c r="BE24" s="91"/>
    </row>
    <row r="25" spans="1:57" x14ac:dyDescent="0.2">
      <c r="A25" s="95" t="s">
        <v>16</v>
      </c>
      <c r="B25" s="321"/>
      <c r="C25" s="322"/>
      <c r="D25" s="312"/>
      <c r="E25" s="312"/>
      <c r="F25" s="312"/>
      <c r="G25" s="312"/>
      <c r="H25" s="312"/>
      <c r="I25" s="312"/>
      <c r="J25" s="322"/>
      <c r="K25" s="322"/>
      <c r="L25" s="321"/>
      <c r="M25" s="32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22"/>
      <c r="Y25" s="329"/>
      <c r="Z25" s="90"/>
      <c r="AA25" s="90"/>
      <c r="AB25" s="90"/>
      <c r="AC25" s="90"/>
      <c r="AD25" s="90"/>
      <c r="BB25" s="91"/>
      <c r="BC25" s="91"/>
      <c r="BD25" s="91"/>
      <c r="BE25" s="91"/>
    </row>
    <row r="26" spans="1:57" x14ac:dyDescent="0.2">
      <c r="A26" s="95" t="s">
        <v>17</v>
      </c>
      <c r="B26" s="362">
        <f>(SUM(B11:B25))*0.5*0.075</f>
        <v>27.26348181818182</v>
      </c>
      <c r="C26" s="340"/>
      <c r="D26" s="342">
        <f>(SUM(D11:D25))*0.5*0.075</f>
        <v>26.349234374999998</v>
      </c>
      <c r="E26" s="342"/>
      <c r="F26" s="342">
        <f>(SUM(F11:F25))*0.5*0.075</f>
        <v>33.611812499999999</v>
      </c>
      <c r="G26" s="342"/>
      <c r="H26" s="342">
        <f>(SUM(H11:H25))*0.5*0.075</f>
        <v>14.643692812500001</v>
      </c>
      <c r="I26" s="342"/>
      <c r="J26" s="340">
        <f>(SUM(J11:J25))*0.5*0.075</f>
        <v>19.014843750000001</v>
      </c>
      <c r="K26" s="340"/>
      <c r="L26" s="362">
        <f>(SUM(L11:L25))*0.5*0.075</f>
        <v>21.417754261363637</v>
      </c>
      <c r="M26" s="340"/>
      <c r="N26" s="342">
        <f>(SUM(N11:N25))*0.5*0.075</f>
        <v>22.795500000000001</v>
      </c>
      <c r="O26" s="342"/>
      <c r="P26" s="342">
        <f>(SUM(P11:P25))*0.5*0.075</f>
        <v>16.339675312499999</v>
      </c>
      <c r="Q26" s="342"/>
      <c r="R26" s="342">
        <f>(SUM(R11:R25))*0.5*0.075</f>
        <v>11.763373125000003</v>
      </c>
      <c r="S26" s="342"/>
      <c r="T26" s="342">
        <f>(SUM(T11:T25))*0.5*0.075</f>
        <v>12.508842187499999</v>
      </c>
      <c r="U26" s="342"/>
      <c r="V26" s="342">
        <f>(SUM(V11:V25))*0.5*0.075</f>
        <v>16.8430125</v>
      </c>
      <c r="W26" s="342"/>
      <c r="X26" s="340">
        <f>(SUM(X11:X25))*0.5*0.075</f>
        <v>12.446796562499996</v>
      </c>
      <c r="Y26" s="341"/>
      <c r="Z26" s="90"/>
      <c r="AA26" s="90"/>
      <c r="AB26" s="90"/>
      <c r="AC26" s="90"/>
      <c r="AD26" s="90"/>
      <c r="BB26" s="91"/>
      <c r="BC26" s="91"/>
      <c r="BD26" s="91"/>
      <c r="BE26" s="91"/>
    </row>
    <row r="27" spans="1:57" x14ac:dyDescent="0.2">
      <c r="A27" s="95" t="s">
        <v>171</v>
      </c>
      <c r="B27" s="362">
        <f>B7*-0.05</f>
        <v>-60</v>
      </c>
      <c r="C27" s="340"/>
      <c r="D27" s="342"/>
      <c r="E27" s="342"/>
      <c r="F27" s="342"/>
      <c r="G27" s="342"/>
      <c r="H27" s="342"/>
      <c r="I27" s="342"/>
      <c r="J27" s="340"/>
      <c r="K27" s="340"/>
      <c r="L27" s="362">
        <f>-0.05*L7</f>
        <v>-37.5</v>
      </c>
      <c r="M27" s="340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0"/>
      <c r="Y27" s="341"/>
      <c r="Z27" s="90"/>
      <c r="AA27" s="90"/>
      <c r="AB27" s="90"/>
      <c r="AC27" s="90"/>
      <c r="AD27" s="90"/>
      <c r="BB27" s="91"/>
      <c r="BC27" s="91"/>
      <c r="BD27" s="91"/>
      <c r="BE27" s="91"/>
    </row>
    <row r="28" spans="1:57" x14ac:dyDescent="0.2">
      <c r="A28" s="95" t="s">
        <v>15</v>
      </c>
      <c r="B28" s="362"/>
      <c r="C28" s="340"/>
      <c r="D28" s="342">
        <f>D7/2000*0.33*20+D7/2000*0.67*30</f>
        <v>62.745000000000005</v>
      </c>
      <c r="E28" s="342"/>
      <c r="F28" s="342">
        <f>F7*1.0975*0.28</f>
        <v>61.46</v>
      </c>
      <c r="G28" s="342"/>
      <c r="H28" s="342"/>
      <c r="I28" s="342"/>
      <c r="J28" s="340">
        <f>J7*1.0975*0.28</f>
        <v>30.73</v>
      </c>
      <c r="K28" s="340"/>
      <c r="L28" s="362"/>
      <c r="M28" s="340"/>
      <c r="N28" s="342">
        <f>N7/2000*0.33*20+N7/2000*0.67*30</f>
        <v>45.39</v>
      </c>
      <c r="O28" s="342"/>
      <c r="P28" s="342">
        <f>P7*1.0975*0.28</f>
        <v>26.1205</v>
      </c>
      <c r="Q28" s="342"/>
      <c r="R28" s="342"/>
      <c r="S28" s="342"/>
      <c r="T28" s="342">
        <f>T7*1.0975*0.28</f>
        <v>19.974499999999999</v>
      </c>
      <c r="U28" s="342"/>
      <c r="V28" s="342">
        <f>V7*1.03*0.095</f>
        <v>7.3387500000000001</v>
      </c>
      <c r="W28" s="342"/>
      <c r="X28" s="340">
        <f>X7*1.03*0.095</f>
        <v>5.3817500000000003</v>
      </c>
      <c r="Y28" s="341"/>
      <c r="Z28" s="90"/>
      <c r="AA28" s="90"/>
      <c r="AB28" s="90"/>
      <c r="AC28" s="90"/>
      <c r="AD28" s="90"/>
      <c r="BB28" s="91"/>
      <c r="BC28" s="91"/>
      <c r="BD28" s="91"/>
      <c r="BE28" s="91"/>
    </row>
    <row r="29" spans="1:57" x14ac:dyDescent="0.2">
      <c r="A29" s="95" t="s">
        <v>18</v>
      </c>
      <c r="B29" s="323"/>
      <c r="C29" s="324"/>
      <c r="D29" s="313">
        <f>D7/2000*3+D7/2000*355*0.01</f>
        <v>15.3925</v>
      </c>
      <c r="E29" s="313"/>
      <c r="F29" s="313"/>
      <c r="G29" s="313"/>
      <c r="H29" s="313"/>
      <c r="I29" s="313"/>
      <c r="J29" s="324"/>
      <c r="K29" s="324"/>
      <c r="L29" s="323"/>
      <c r="M29" s="324"/>
      <c r="N29" s="313">
        <f>N7/2000*3+N7/2000*355*0.01</f>
        <v>11.135</v>
      </c>
      <c r="O29" s="313"/>
      <c r="P29" s="313"/>
      <c r="Q29" s="313"/>
      <c r="R29" s="313"/>
      <c r="S29" s="313"/>
      <c r="T29" s="313"/>
      <c r="U29" s="313"/>
      <c r="V29" s="313"/>
      <c r="W29" s="313"/>
      <c r="X29" s="324"/>
      <c r="Y29" s="333"/>
      <c r="Z29" s="90"/>
      <c r="AA29" s="90"/>
      <c r="AB29" s="90"/>
      <c r="AC29" s="90"/>
      <c r="AD29" s="90"/>
      <c r="BB29" s="91"/>
      <c r="BC29" s="91"/>
      <c r="BD29" s="91"/>
      <c r="BE29" s="91"/>
    </row>
    <row r="30" spans="1:57" ht="15" thickBot="1" x14ac:dyDescent="0.25">
      <c r="A30" s="115" t="s">
        <v>157</v>
      </c>
      <c r="B30" s="336">
        <f t="shared" ref="B30:X30" si="0">SUM(B11:B29)</f>
        <v>694.28966363636368</v>
      </c>
      <c r="C30" s="335"/>
      <c r="D30" s="316">
        <f t="shared" si="0"/>
        <v>807.13298437500009</v>
      </c>
      <c r="E30" s="316"/>
      <c r="F30" s="316">
        <f t="shared" si="0"/>
        <v>991.38681250000013</v>
      </c>
      <c r="G30" s="316"/>
      <c r="H30" s="316">
        <f t="shared" si="0"/>
        <v>405.14216781250002</v>
      </c>
      <c r="I30" s="316"/>
      <c r="J30" s="335">
        <f t="shared" si="0"/>
        <v>556.80734374999997</v>
      </c>
      <c r="K30" s="335"/>
      <c r="L30" s="336">
        <f>SUM(L11:L29)</f>
        <v>555.05786789772731</v>
      </c>
      <c r="M30" s="335"/>
      <c r="N30" s="316">
        <f t="shared" si="0"/>
        <v>687.20049999999992</v>
      </c>
      <c r="O30" s="316"/>
      <c r="P30" s="316">
        <f t="shared" si="0"/>
        <v>478.18485031249998</v>
      </c>
      <c r="Q30" s="316"/>
      <c r="R30" s="316">
        <f t="shared" si="0"/>
        <v>325.45332312500005</v>
      </c>
      <c r="S30" s="316"/>
      <c r="T30" s="316">
        <f t="shared" si="0"/>
        <v>366.05246718749999</v>
      </c>
      <c r="U30" s="316"/>
      <c r="V30" s="316">
        <f>SUM(V11:V29)</f>
        <v>473.32876250000004</v>
      </c>
      <c r="W30" s="316"/>
      <c r="X30" s="335">
        <f t="shared" si="0"/>
        <v>349.74312156249988</v>
      </c>
      <c r="Y30" s="338"/>
      <c r="Z30" s="90"/>
      <c r="AA30" s="90"/>
      <c r="AB30" s="90"/>
      <c r="AC30" s="90"/>
      <c r="AD30" s="90"/>
      <c r="BB30" s="91"/>
      <c r="BC30" s="91"/>
      <c r="BD30" s="91"/>
      <c r="BE30" s="91"/>
    </row>
    <row r="31" spans="1:57" s="153" customFormat="1" x14ac:dyDescent="0.2">
      <c r="A31" s="151" t="s">
        <v>163</v>
      </c>
      <c r="B31" s="363">
        <f t="shared" ref="B31:X31" si="1">B9-B30</f>
        <v>241.71033636363632</v>
      </c>
      <c r="C31" s="344"/>
      <c r="D31" s="343">
        <f t="shared" si="1"/>
        <v>309.11701562499991</v>
      </c>
      <c r="E31" s="343"/>
      <c r="F31" s="343">
        <f t="shared" si="1"/>
        <v>368.61318749999987</v>
      </c>
      <c r="G31" s="343"/>
      <c r="H31" s="343">
        <f t="shared" si="1"/>
        <v>422.85783218749998</v>
      </c>
      <c r="I31" s="343"/>
      <c r="J31" s="344">
        <f t="shared" si="1"/>
        <v>83.192656250000027</v>
      </c>
      <c r="K31" s="344"/>
      <c r="L31" s="363">
        <f t="shared" si="1"/>
        <v>29.942132102272694</v>
      </c>
      <c r="M31" s="344"/>
      <c r="N31" s="343">
        <f t="shared" si="1"/>
        <v>120.29950000000008</v>
      </c>
      <c r="O31" s="343"/>
      <c r="P31" s="343">
        <f t="shared" si="1"/>
        <v>99.815149687500025</v>
      </c>
      <c r="Q31" s="343"/>
      <c r="R31" s="343">
        <f t="shared" si="1"/>
        <v>88.546676874999946</v>
      </c>
      <c r="S31" s="343"/>
      <c r="T31" s="343">
        <f t="shared" si="1"/>
        <v>49.947532812500015</v>
      </c>
      <c r="U31" s="343"/>
      <c r="V31" s="343">
        <f>V9-V30</f>
        <v>111.67123749999996</v>
      </c>
      <c r="W31" s="343"/>
      <c r="X31" s="344">
        <f t="shared" si="1"/>
        <v>79.25687843750012</v>
      </c>
      <c r="Y31" s="345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</row>
    <row r="32" spans="1:57" x14ac:dyDescent="0.2">
      <c r="A32" s="240" t="s">
        <v>170</v>
      </c>
      <c r="B32" s="241">
        <f>B30/B7</f>
        <v>0.57857471969696972</v>
      </c>
      <c r="C32" s="242" t="s">
        <v>159</v>
      </c>
      <c r="D32" s="243">
        <f>D30/D7*2000</f>
        <v>343.46084441489364</v>
      </c>
      <c r="E32" s="244" t="s">
        <v>160</v>
      </c>
      <c r="F32" s="245">
        <f>F30/F7</f>
        <v>4.9569340625000002</v>
      </c>
      <c r="G32" s="244" t="s">
        <v>162</v>
      </c>
      <c r="H32" s="245">
        <f>H30/H7</f>
        <v>6.7523694635416671</v>
      </c>
      <c r="I32" s="244" t="s">
        <v>162</v>
      </c>
      <c r="J32" s="246">
        <f>J30/J7</f>
        <v>5.5680734374999998</v>
      </c>
      <c r="K32" s="242" t="s">
        <v>162</v>
      </c>
      <c r="L32" s="241">
        <f>L30/L7</f>
        <v>0.74007715719696976</v>
      </c>
      <c r="M32" s="242" t="s">
        <v>159</v>
      </c>
      <c r="N32" s="243">
        <f>N30/N7*2000</f>
        <v>404.23558823529407</v>
      </c>
      <c r="O32" s="244" t="s">
        <v>160</v>
      </c>
      <c r="P32" s="245">
        <f>P30/P7</f>
        <v>5.6257041213235288</v>
      </c>
      <c r="Q32" s="244" t="s">
        <v>162</v>
      </c>
      <c r="R32" s="245">
        <f>R30/R7</f>
        <v>10.848444104166669</v>
      </c>
      <c r="S32" s="244" t="s">
        <v>162</v>
      </c>
      <c r="T32" s="245">
        <f>T30/T7</f>
        <v>5.6315764182692307</v>
      </c>
      <c r="U32" s="244" t="s">
        <v>162</v>
      </c>
      <c r="V32" s="245">
        <f>V30/V7</f>
        <v>6.311050166666667</v>
      </c>
      <c r="W32" s="244" t="s">
        <v>162</v>
      </c>
      <c r="X32" s="246">
        <f>X30/X7</f>
        <v>6.3589658465909071</v>
      </c>
      <c r="Y32" s="247" t="s">
        <v>162</v>
      </c>
      <c r="Z32" s="90"/>
      <c r="AA32" s="90"/>
      <c r="AB32" s="90"/>
      <c r="AC32" s="90"/>
      <c r="AD32" s="90"/>
      <c r="BB32" s="91"/>
      <c r="BC32" s="91"/>
      <c r="BD32" s="91"/>
      <c r="BE32" s="91"/>
    </row>
    <row r="33" spans="1:57" x14ac:dyDescent="0.2">
      <c r="A33" s="117" t="s">
        <v>189</v>
      </c>
      <c r="B33" s="294">
        <f>B30/B8</f>
        <v>890.11495337995336</v>
      </c>
      <c r="C33" s="295" t="s">
        <v>158</v>
      </c>
      <c r="D33" s="296">
        <f>D30/D8*2000</f>
        <v>3398.454671052632</v>
      </c>
      <c r="E33" s="297" t="s">
        <v>158</v>
      </c>
      <c r="F33" s="296">
        <f>F30/F8</f>
        <v>145.79217830882357</v>
      </c>
      <c r="G33" s="297" t="s">
        <v>161</v>
      </c>
      <c r="H33" s="296">
        <f>H30/H8</f>
        <v>29.358128102355071</v>
      </c>
      <c r="I33" s="297" t="s">
        <v>161</v>
      </c>
      <c r="J33" s="298">
        <f>J30/J8</f>
        <v>87.001147460937489</v>
      </c>
      <c r="K33" s="295" t="s">
        <v>161</v>
      </c>
      <c r="L33" s="294">
        <f>L30/L8</f>
        <v>711.61265115093238</v>
      </c>
      <c r="M33" s="295" t="s">
        <v>158</v>
      </c>
      <c r="N33" s="296">
        <f>N30/N8*2000</f>
        <v>2893.4757894736836</v>
      </c>
      <c r="O33" s="297" t="s">
        <v>158</v>
      </c>
      <c r="P33" s="296">
        <f>P30/P8</f>
        <v>70.321301516544111</v>
      </c>
      <c r="Q33" s="297" t="s">
        <v>161</v>
      </c>
      <c r="R33" s="296">
        <f>R30/R8</f>
        <v>23.583574139492757</v>
      </c>
      <c r="S33" s="297" t="s">
        <v>161</v>
      </c>
      <c r="T33" s="296">
        <f>T30/T8</f>
        <v>57.195697998046867</v>
      </c>
      <c r="U33" s="297" t="s">
        <v>161</v>
      </c>
      <c r="V33" s="296">
        <f>V30/V8</f>
        <v>60.683174679487188</v>
      </c>
      <c r="W33" s="297" t="s">
        <v>161</v>
      </c>
      <c r="X33" s="296">
        <f>X30/X8</f>
        <v>44.838861738782036</v>
      </c>
      <c r="Y33" s="292" t="s">
        <v>161</v>
      </c>
      <c r="Z33" s="90"/>
      <c r="AA33" s="90"/>
      <c r="AB33" s="90"/>
      <c r="AC33" s="90"/>
      <c r="AD33" s="90"/>
      <c r="BB33" s="91"/>
      <c r="BC33" s="91"/>
      <c r="BD33" s="91"/>
      <c r="BE33" s="91"/>
    </row>
    <row r="34" spans="1:57" x14ac:dyDescent="0.2">
      <c r="A34" s="98" t="s">
        <v>164</v>
      </c>
      <c r="B34" s="362"/>
      <c r="C34" s="340"/>
      <c r="D34" s="342"/>
      <c r="E34" s="342"/>
      <c r="F34" s="342"/>
      <c r="G34" s="342"/>
      <c r="H34" s="342"/>
      <c r="I34" s="342"/>
      <c r="J34" s="340"/>
      <c r="K34" s="340"/>
      <c r="L34" s="362"/>
      <c r="M34" s="340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0"/>
      <c r="Y34" s="341"/>
      <c r="Z34" s="90"/>
      <c r="AA34" s="90"/>
      <c r="AB34" s="90"/>
      <c r="AC34" s="90"/>
      <c r="AD34" s="90"/>
      <c r="BB34" s="91"/>
      <c r="BC34" s="91"/>
      <c r="BD34" s="91"/>
      <c r="BE34" s="91"/>
    </row>
    <row r="35" spans="1:57" x14ac:dyDescent="0.2">
      <c r="A35" s="95" t="s">
        <v>19</v>
      </c>
      <c r="B35" s="321">
        <f>51.84+152.7</f>
        <v>204.54</v>
      </c>
      <c r="C35" s="322"/>
      <c r="D35" s="312">
        <f>78.82+103.09</f>
        <v>181.91</v>
      </c>
      <c r="E35" s="312"/>
      <c r="F35" s="312">
        <f>49.55+49.31</f>
        <v>98.86</v>
      </c>
      <c r="G35" s="312"/>
      <c r="H35" s="312">
        <f>45.08+33.43</f>
        <v>78.509999999999991</v>
      </c>
      <c r="I35" s="312"/>
      <c r="J35" s="309">
        <f>50.91+26.11</f>
        <v>77.02</v>
      </c>
      <c r="K35" s="310"/>
      <c r="L35" s="321">
        <f>B35</f>
        <v>204.54</v>
      </c>
      <c r="M35" s="322"/>
      <c r="N35" s="312">
        <f>D35</f>
        <v>181.91</v>
      </c>
      <c r="O35" s="312"/>
      <c r="P35" s="312">
        <f>F35</f>
        <v>98.86</v>
      </c>
      <c r="Q35" s="312"/>
      <c r="R35" s="312">
        <f>H35</f>
        <v>78.509999999999991</v>
      </c>
      <c r="S35" s="312"/>
      <c r="T35" s="309">
        <f>J35</f>
        <v>77.02</v>
      </c>
      <c r="U35" s="310"/>
      <c r="V35" s="312">
        <f>27.19+33.7</f>
        <v>60.89</v>
      </c>
      <c r="W35" s="312"/>
      <c r="X35" s="322">
        <f>26.13+33.7</f>
        <v>59.83</v>
      </c>
      <c r="Y35" s="329"/>
      <c r="Z35" s="90"/>
      <c r="AA35" s="90"/>
      <c r="AB35" s="90"/>
      <c r="AC35" s="90"/>
      <c r="AD35" s="90"/>
      <c r="BB35" s="91"/>
      <c r="BC35" s="91"/>
      <c r="BD35" s="91"/>
      <c r="BE35" s="91"/>
    </row>
    <row r="36" spans="1:57" x14ac:dyDescent="0.2">
      <c r="A36" s="95" t="s">
        <v>12</v>
      </c>
      <c r="B36" s="321">
        <v>135</v>
      </c>
      <c r="C36" s="322"/>
      <c r="D36" s="312">
        <v>135</v>
      </c>
      <c r="E36" s="312"/>
      <c r="F36" s="312">
        <v>135</v>
      </c>
      <c r="G36" s="312"/>
      <c r="H36" s="312">
        <v>135</v>
      </c>
      <c r="I36" s="312"/>
      <c r="J36" s="322">
        <v>135</v>
      </c>
      <c r="K36" s="322"/>
      <c r="L36" s="321"/>
      <c r="M36" s="322"/>
      <c r="N36" s="312"/>
      <c r="O36" s="312"/>
      <c r="P36" s="312"/>
      <c r="Q36" s="312"/>
      <c r="R36" s="312"/>
      <c r="S36" s="312"/>
      <c r="T36" s="312"/>
      <c r="U36" s="312"/>
      <c r="V36" s="312">
        <v>135</v>
      </c>
      <c r="W36" s="312"/>
      <c r="X36" s="322"/>
      <c r="Y36" s="329"/>
      <c r="Z36" s="90"/>
      <c r="AA36" s="90"/>
      <c r="AB36" s="90"/>
      <c r="AC36" s="90"/>
      <c r="AD36" s="90"/>
      <c r="BB36" s="91"/>
      <c r="BC36" s="91"/>
      <c r="BD36" s="91"/>
      <c r="BE36" s="91"/>
    </row>
    <row r="37" spans="1:57" x14ac:dyDescent="0.2">
      <c r="A37" s="95" t="s">
        <v>20</v>
      </c>
      <c r="B37" s="321"/>
      <c r="C37" s="322"/>
      <c r="D37" s="312"/>
      <c r="E37" s="312"/>
      <c r="F37" s="312"/>
      <c r="G37" s="312"/>
      <c r="H37" s="312"/>
      <c r="I37" s="312"/>
      <c r="J37" s="322"/>
      <c r="K37" s="322"/>
      <c r="L37" s="321"/>
      <c r="M37" s="32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22"/>
      <c r="Y37" s="329"/>
      <c r="Z37" s="90"/>
      <c r="AA37" s="90"/>
      <c r="AB37" s="90"/>
      <c r="AC37" s="90"/>
      <c r="AD37" s="90"/>
      <c r="BB37" s="91"/>
      <c r="BC37" s="91"/>
      <c r="BD37" s="91"/>
      <c r="BE37" s="91"/>
    </row>
    <row r="38" spans="1:57" x14ac:dyDescent="0.2">
      <c r="A38" s="95" t="s">
        <v>21</v>
      </c>
      <c r="B38" s="323">
        <f>0.05*B30</f>
        <v>34.714483181818188</v>
      </c>
      <c r="C38" s="324"/>
      <c r="D38" s="313">
        <f>0.05*D30</f>
        <v>40.356649218750007</v>
      </c>
      <c r="E38" s="313"/>
      <c r="F38" s="313">
        <f>0.05*F30</f>
        <v>49.569340625000009</v>
      </c>
      <c r="G38" s="313"/>
      <c r="H38" s="313">
        <f>0.05*H30</f>
        <v>20.257108390625003</v>
      </c>
      <c r="I38" s="313"/>
      <c r="J38" s="324">
        <f>0.05*J30</f>
        <v>27.8403671875</v>
      </c>
      <c r="K38" s="324"/>
      <c r="L38" s="323">
        <f>0.05*L30</f>
        <v>27.752893394886367</v>
      </c>
      <c r="M38" s="324"/>
      <c r="N38" s="313">
        <f>0.05*N30</f>
        <v>34.360025</v>
      </c>
      <c r="O38" s="313"/>
      <c r="P38" s="313">
        <f>0.05*P30</f>
        <v>23.909242515624999</v>
      </c>
      <c r="Q38" s="313"/>
      <c r="R38" s="313">
        <f>0.05*R30</f>
        <v>16.272666156250004</v>
      </c>
      <c r="S38" s="313"/>
      <c r="T38" s="313">
        <f>0.05*T30</f>
        <v>18.302623359375001</v>
      </c>
      <c r="U38" s="313"/>
      <c r="V38" s="313">
        <f>0.05*V30</f>
        <v>23.666438125000003</v>
      </c>
      <c r="W38" s="313"/>
      <c r="X38" s="324">
        <f>0.05*X30</f>
        <v>17.487156078124993</v>
      </c>
      <c r="Y38" s="333"/>
      <c r="Z38" s="90"/>
      <c r="AA38" s="90"/>
      <c r="AB38" s="90"/>
      <c r="AC38" s="90"/>
      <c r="AD38" s="90"/>
      <c r="BB38" s="91"/>
      <c r="BC38" s="91"/>
      <c r="BD38" s="91"/>
      <c r="BE38" s="91"/>
    </row>
    <row r="39" spans="1:57" x14ac:dyDescent="0.2">
      <c r="A39" s="101" t="s">
        <v>165</v>
      </c>
      <c r="B39" s="325">
        <f>SUM(B35:B38)</f>
        <v>374.25448318181816</v>
      </c>
      <c r="C39" s="326"/>
      <c r="D39" s="314">
        <f>SUM(D35:D38)</f>
        <v>357.26664921874999</v>
      </c>
      <c r="E39" s="314"/>
      <c r="F39" s="314">
        <f>SUM(F35:F38)</f>
        <v>283.42934062500001</v>
      </c>
      <c r="G39" s="314"/>
      <c r="H39" s="314">
        <f>SUM(H35:H38)</f>
        <v>233.767108390625</v>
      </c>
      <c r="I39" s="314"/>
      <c r="J39" s="326">
        <f>SUM(J35:J38)</f>
        <v>239.86036718749997</v>
      </c>
      <c r="K39" s="326"/>
      <c r="L39" s="325">
        <f>SUM(L35:L38)</f>
        <v>232.29289339488636</v>
      </c>
      <c r="M39" s="326"/>
      <c r="N39" s="314">
        <f>SUM(N35:N38)</f>
        <v>216.270025</v>
      </c>
      <c r="O39" s="314"/>
      <c r="P39" s="314">
        <f>SUM(P35:P38)</f>
        <v>122.769242515625</v>
      </c>
      <c r="Q39" s="314"/>
      <c r="R39" s="314">
        <f>SUM(R35:R38)</f>
        <v>94.782666156250002</v>
      </c>
      <c r="S39" s="314"/>
      <c r="T39" s="314">
        <f>SUM(T35:T38)</f>
        <v>95.322623359375001</v>
      </c>
      <c r="U39" s="314"/>
      <c r="V39" s="314">
        <f>SUM(V35:V38)</f>
        <v>219.556438125</v>
      </c>
      <c r="W39" s="314"/>
      <c r="X39" s="326">
        <f>SUM(X35:X38)</f>
        <v>77.317156078124995</v>
      </c>
      <c r="Y39" s="332"/>
      <c r="Z39" s="90"/>
      <c r="AA39" s="90"/>
      <c r="AB39" s="90"/>
      <c r="AC39" s="90"/>
      <c r="AD39" s="90"/>
      <c r="BB39" s="91"/>
      <c r="BC39" s="91"/>
      <c r="BD39" s="91"/>
      <c r="BE39" s="91"/>
    </row>
    <row r="40" spans="1:57" x14ac:dyDescent="0.2">
      <c r="A40" s="95"/>
      <c r="B40" s="125"/>
      <c r="C40" s="126"/>
      <c r="D40" s="315"/>
      <c r="E40" s="315"/>
      <c r="F40" s="315"/>
      <c r="G40" s="315"/>
      <c r="H40" s="315"/>
      <c r="I40" s="315"/>
      <c r="J40" s="330"/>
      <c r="K40" s="330"/>
      <c r="L40" s="334"/>
      <c r="M40" s="330"/>
      <c r="N40" s="315"/>
      <c r="O40" s="315"/>
      <c r="P40" s="315"/>
      <c r="Q40" s="315"/>
      <c r="R40" s="315"/>
      <c r="S40" s="315"/>
      <c r="T40" s="315"/>
      <c r="U40" s="315"/>
      <c r="V40" s="279"/>
      <c r="W40" s="280"/>
      <c r="X40" s="330"/>
      <c r="Y40" s="331"/>
      <c r="Z40" s="90"/>
      <c r="AA40" s="90"/>
      <c r="AB40" s="90"/>
      <c r="AC40" s="90"/>
      <c r="AD40" s="90"/>
      <c r="BB40" s="91"/>
      <c r="BC40" s="91"/>
      <c r="BD40" s="91"/>
      <c r="BE40" s="91"/>
    </row>
    <row r="41" spans="1:57" ht="15" thickBot="1" x14ac:dyDescent="0.25">
      <c r="A41" s="115" t="s">
        <v>166</v>
      </c>
      <c r="B41" s="336">
        <f>B39+B30</f>
        <v>1068.5441468181818</v>
      </c>
      <c r="C41" s="335"/>
      <c r="D41" s="316">
        <f>D39+D30</f>
        <v>1164.39963359375</v>
      </c>
      <c r="E41" s="316"/>
      <c r="F41" s="316">
        <f>F39+F30</f>
        <v>1274.8161531250003</v>
      </c>
      <c r="G41" s="316"/>
      <c r="H41" s="316">
        <f>H39+H30</f>
        <v>638.90927620312505</v>
      </c>
      <c r="I41" s="316"/>
      <c r="J41" s="335">
        <f>J39+J30</f>
        <v>796.66771093749992</v>
      </c>
      <c r="K41" s="335"/>
      <c r="L41" s="336">
        <f>L39+L30</f>
        <v>787.3507612926137</v>
      </c>
      <c r="M41" s="335"/>
      <c r="N41" s="316">
        <f>N39+N30</f>
        <v>903.47052499999995</v>
      </c>
      <c r="O41" s="316"/>
      <c r="P41" s="316">
        <f>P39+P30</f>
        <v>600.954092828125</v>
      </c>
      <c r="Q41" s="316"/>
      <c r="R41" s="316">
        <f>R39+R30</f>
        <v>420.23598928125006</v>
      </c>
      <c r="S41" s="316"/>
      <c r="T41" s="316">
        <f>T39+T30</f>
        <v>461.37509054687496</v>
      </c>
      <c r="U41" s="316"/>
      <c r="V41" s="316">
        <f>V39+V30</f>
        <v>692.88520062500004</v>
      </c>
      <c r="W41" s="316"/>
      <c r="X41" s="335">
        <f>X39+X30</f>
        <v>427.06027764062486</v>
      </c>
      <c r="Y41" s="338"/>
      <c r="Z41" s="90"/>
      <c r="AA41" s="90"/>
      <c r="AB41" s="90"/>
      <c r="AC41" s="90"/>
      <c r="AD41" s="90"/>
      <c r="BB41" s="91"/>
      <c r="BC41" s="91"/>
      <c r="BD41" s="91"/>
      <c r="BE41" s="91"/>
    </row>
    <row r="42" spans="1:57" s="155" customFormat="1" ht="15" thickBot="1" x14ac:dyDescent="0.25">
      <c r="A42" s="130" t="s">
        <v>167</v>
      </c>
      <c r="B42" s="327">
        <f>B9-B41</f>
        <v>-132.54414681818184</v>
      </c>
      <c r="C42" s="328"/>
      <c r="D42" s="320">
        <f>D9-D41</f>
        <v>-48.149633593749968</v>
      </c>
      <c r="E42" s="320"/>
      <c r="F42" s="320">
        <f>F9-F41</f>
        <v>85.183846874999745</v>
      </c>
      <c r="G42" s="320"/>
      <c r="H42" s="320">
        <f>H9-H41</f>
        <v>189.09072379687495</v>
      </c>
      <c r="I42" s="320"/>
      <c r="J42" s="328">
        <f>J9-J41</f>
        <v>-156.66771093749992</v>
      </c>
      <c r="K42" s="328"/>
      <c r="L42" s="327">
        <f>L9-L41</f>
        <v>-202.3507612926137</v>
      </c>
      <c r="M42" s="328"/>
      <c r="N42" s="320">
        <f>N9-N41</f>
        <v>-95.970524999999952</v>
      </c>
      <c r="O42" s="320"/>
      <c r="P42" s="320">
        <f>P9-P41</f>
        <v>-22.954092828124999</v>
      </c>
      <c r="Q42" s="320"/>
      <c r="R42" s="320">
        <f>R9-R41</f>
        <v>-6.2359892812500561</v>
      </c>
      <c r="S42" s="320"/>
      <c r="T42" s="320">
        <f>T9-T41</f>
        <v>-45.375090546874958</v>
      </c>
      <c r="U42" s="320"/>
      <c r="V42" s="320">
        <f>V9-V41</f>
        <v>-107.88520062500004</v>
      </c>
      <c r="W42" s="320"/>
      <c r="X42" s="328">
        <f>X9-X41</f>
        <v>1.9397223593751391</v>
      </c>
      <c r="Y42" s="339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</row>
    <row r="43" spans="1:57" ht="15" thickTop="1" x14ac:dyDescent="0.2">
      <c r="A43" s="95"/>
      <c r="B43" s="131"/>
      <c r="C43" s="132"/>
      <c r="D43" s="317"/>
      <c r="E43" s="317"/>
      <c r="F43" s="307"/>
      <c r="G43" s="308"/>
      <c r="H43" s="307"/>
      <c r="I43" s="308"/>
      <c r="J43" s="132"/>
      <c r="K43" s="132"/>
      <c r="L43" s="318"/>
      <c r="M43" s="319"/>
      <c r="N43" s="317"/>
      <c r="O43" s="317"/>
      <c r="P43" s="317"/>
      <c r="Q43" s="317"/>
      <c r="R43" s="317"/>
      <c r="S43" s="317"/>
      <c r="T43" s="317"/>
      <c r="U43" s="317"/>
      <c r="V43" s="307"/>
      <c r="W43" s="308"/>
      <c r="X43" s="319"/>
      <c r="Y43" s="337"/>
      <c r="Z43" s="90"/>
      <c r="AA43" s="90"/>
      <c r="AB43" s="90"/>
      <c r="AC43" s="90"/>
      <c r="AD43" s="90"/>
      <c r="BB43" s="91"/>
      <c r="BC43" s="91"/>
      <c r="BD43" s="91"/>
      <c r="BE43" s="91"/>
    </row>
    <row r="44" spans="1:57" x14ac:dyDescent="0.2">
      <c r="A44" s="117" t="s">
        <v>34</v>
      </c>
      <c r="B44" s="156">
        <f>B41/B7</f>
        <v>0.89045345568181822</v>
      </c>
      <c r="C44" s="136" t="s">
        <v>159</v>
      </c>
      <c r="D44" s="221">
        <f>D41/D7*2000</f>
        <v>495.48920578457444</v>
      </c>
      <c r="E44" s="223" t="s">
        <v>160</v>
      </c>
      <c r="F44" s="222">
        <f>F41/F7</f>
        <v>6.3740807656250009</v>
      </c>
      <c r="G44" s="223" t="s">
        <v>162</v>
      </c>
      <c r="H44" s="222">
        <f>H41/H7</f>
        <v>10.64848793671875</v>
      </c>
      <c r="I44" s="223" t="s">
        <v>162</v>
      </c>
      <c r="J44" s="222">
        <f>J41/J7</f>
        <v>7.9666771093749995</v>
      </c>
      <c r="K44" s="119" t="s">
        <v>162</v>
      </c>
      <c r="L44" s="135">
        <f>L41/L7</f>
        <v>1.0498010150568182</v>
      </c>
      <c r="M44" s="136" t="s">
        <v>159</v>
      </c>
      <c r="N44" s="218">
        <f>N41/N7*2000</f>
        <v>531.45325000000003</v>
      </c>
      <c r="O44" s="217" t="s">
        <v>160</v>
      </c>
      <c r="P44" s="219">
        <f>P41/P7</f>
        <v>7.070048150919118</v>
      </c>
      <c r="Q44" s="217" t="s">
        <v>162</v>
      </c>
      <c r="R44" s="219">
        <f>R41/R7</f>
        <v>14.007866309375002</v>
      </c>
      <c r="S44" s="217" t="s">
        <v>162</v>
      </c>
      <c r="T44" s="219">
        <f>T41/T7</f>
        <v>7.0980783161057683</v>
      </c>
      <c r="U44" s="217" t="s">
        <v>162</v>
      </c>
      <c r="V44" s="219">
        <f>V41/V7</f>
        <v>9.2384693416666668</v>
      </c>
      <c r="W44" s="217" t="s">
        <v>162</v>
      </c>
      <c r="X44" s="137">
        <f>X41/X7</f>
        <v>7.7647323207386334</v>
      </c>
      <c r="Y44" s="122" t="s">
        <v>162</v>
      </c>
      <c r="Z44" s="90"/>
      <c r="AA44" s="90"/>
      <c r="AB44" s="90"/>
      <c r="AC44" s="90"/>
      <c r="AD44" s="90"/>
      <c r="BA44" s="91"/>
      <c r="BB44" s="91"/>
      <c r="BC44" s="91"/>
      <c r="BD44" s="91"/>
      <c r="BE44" s="91"/>
    </row>
    <row r="45" spans="1:57" x14ac:dyDescent="0.2">
      <c r="A45" s="138" t="s">
        <v>168</v>
      </c>
      <c r="B45" s="139">
        <f>B41/B8</f>
        <v>1369.9283933566433</v>
      </c>
      <c r="C45" s="140" t="s">
        <v>158</v>
      </c>
      <c r="D45" s="224">
        <f>D41/D8*2000</f>
        <v>4902.7352993421046</v>
      </c>
      <c r="E45" s="220" t="s">
        <v>158</v>
      </c>
      <c r="F45" s="225">
        <f>F41/F8</f>
        <v>187.47296369485298</v>
      </c>
      <c r="G45" s="217" t="s">
        <v>161</v>
      </c>
      <c r="H45" s="225">
        <f>H41/H8</f>
        <v>46.297773637907611</v>
      </c>
      <c r="I45" s="217" t="s">
        <v>161</v>
      </c>
      <c r="J45" s="225">
        <f>J41/J8</f>
        <v>124.47932983398435</v>
      </c>
      <c r="K45" s="281" t="s">
        <v>161</v>
      </c>
      <c r="L45" s="284">
        <f>L41/L8</f>
        <v>1009.4240529392483</v>
      </c>
      <c r="M45" s="140" t="s">
        <v>158</v>
      </c>
      <c r="N45" s="224">
        <f>N41/N8*2000</f>
        <v>3804.0864210526311</v>
      </c>
      <c r="O45" s="220" t="s">
        <v>158</v>
      </c>
      <c r="P45" s="225">
        <f>P41/P8</f>
        <v>88.37560188648898</v>
      </c>
      <c r="Q45" s="217" t="s">
        <v>161</v>
      </c>
      <c r="R45" s="225">
        <f>R41/R8</f>
        <v>30.451883281250002</v>
      </c>
      <c r="S45" s="217" t="s">
        <v>161</v>
      </c>
      <c r="T45" s="225">
        <f>T41/T8</f>
        <v>72.089857897949202</v>
      </c>
      <c r="U45" s="217" t="s">
        <v>161</v>
      </c>
      <c r="V45" s="225">
        <f>V41/V8</f>
        <v>88.831435977564112</v>
      </c>
      <c r="W45" s="217" t="s">
        <v>161</v>
      </c>
      <c r="X45" s="141">
        <f>X41/X8</f>
        <v>54.751317646233957</v>
      </c>
      <c r="Y45" s="122" t="s">
        <v>161</v>
      </c>
      <c r="Z45" s="285"/>
      <c r="AA45" s="285"/>
      <c r="AB45" s="90"/>
      <c r="AC45" s="90"/>
      <c r="AD45" s="90"/>
      <c r="BA45" s="91"/>
      <c r="BB45" s="91"/>
      <c r="BC45" s="91"/>
      <c r="BD45" s="91"/>
      <c r="BE45" s="91"/>
    </row>
    <row r="46" spans="1:57" x14ac:dyDescent="0.2">
      <c r="A46" s="143" t="s">
        <v>175</v>
      </c>
      <c r="B46" s="90"/>
      <c r="C46" s="85" t="s">
        <v>169</v>
      </c>
      <c r="D46" s="157">
        <v>1.1000000000000001</v>
      </c>
      <c r="E46" s="158" t="s">
        <v>65</v>
      </c>
      <c r="F46" s="157">
        <v>0.8</v>
      </c>
      <c r="G46" s="158" t="s">
        <v>66</v>
      </c>
      <c r="H46" s="214">
        <v>0.75</v>
      </c>
      <c r="I46" s="90"/>
      <c r="J46" s="90"/>
      <c r="K46" s="216"/>
      <c r="L46" s="216"/>
      <c r="M46" s="216"/>
      <c r="N46" s="90"/>
      <c r="O46" s="90"/>
      <c r="P46" s="90"/>
      <c r="Q46" s="216"/>
      <c r="R46" s="86"/>
      <c r="S46" s="86"/>
      <c r="T46" s="143"/>
      <c r="U46" s="143"/>
      <c r="V46" s="143"/>
      <c r="W46" s="143"/>
      <c r="X46" s="143"/>
      <c r="Y46" s="143"/>
      <c r="Z46" s="143"/>
      <c r="AA46" s="143"/>
      <c r="AB46" s="90"/>
      <c r="AC46" s="90"/>
      <c r="AD46" s="90"/>
      <c r="BE46" s="91"/>
    </row>
    <row r="47" spans="1:57" x14ac:dyDescent="0.2">
      <c r="A47" s="86" t="s">
        <v>176</v>
      </c>
      <c r="B47" s="226">
        <v>4.25</v>
      </c>
      <c r="C47" s="311" t="s">
        <v>67</v>
      </c>
      <c r="D47" s="311"/>
      <c r="E47" s="311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90"/>
      <c r="AC47" s="90"/>
      <c r="AD47" s="90"/>
      <c r="BE47" s="91"/>
    </row>
    <row r="48" spans="1:57" x14ac:dyDescent="0.2">
      <c r="A48" s="311" t="s">
        <v>194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159"/>
      <c r="AD48" s="90"/>
    </row>
    <row r="49" spans="1:1" s="90" customFormat="1" x14ac:dyDescent="0.2">
      <c r="A49" s="86"/>
    </row>
    <row r="50" spans="1:1" s="90" customFormat="1" x14ac:dyDescent="0.2">
      <c r="A50" s="95"/>
    </row>
    <row r="51" spans="1:1" s="90" customFormat="1" x14ac:dyDescent="0.2">
      <c r="A51" s="95"/>
    </row>
    <row r="52" spans="1:1" s="90" customFormat="1" x14ac:dyDescent="0.2">
      <c r="A52" s="95"/>
    </row>
    <row r="53" spans="1:1" s="90" customFormat="1" x14ac:dyDescent="0.2">
      <c r="A53" s="95"/>
    </row>
    <row r="54" spans="1:1" s="90" customFormat="1" x14ac:dyDescent="0.2">
      <c r="A54" s="86"/>
    </row>
    <row r="55" spans="1:1" s="90" customFormat="1" x14ac:dyDescent="0.2">
      <c r="A55" s="86"/>
    </row>
    <row r="56" spans="1:1" s="90" customFormat="1" x14ac:dyDescent="0.2">
      <c r="A56" s="86"/>
    </row>
    <row r="57" spans="1:1" s="90" customFormat="1" x14ac:dyDescent="0.2">
      <c r="A57" s="86"/>
    </row>
    <row r="58" spans="1:1" s="90" customFormat="1" x14ac:dyDescent="0.2">
      <c r="A58" s="86"/>
    </row>
    <row r="59" spans="1:1" s="90" customFormat="1" x14ac:dyDescent="0.2">
      <c r="A59" s="86"/>
    </row>
    <row r="60" spans="1:1" s="90" customFormat="1" x14ac:dyDescent="0.2">
      <c r="A60" s="86"/>
    </row>
    <row r="61" spans="1:1" s="90" customFormat="1" x14ac:dyDescent="0.2">
      <c r="A61" s="86"/>
    </row>
    <row r="62" spans="1:1" s="90" customFormat="1" x14ac:dyDescent="0.2">
      <c r="A62" s="86"/>
    </row>
    <row r="63" spans="1:1" s="90" customFormat="1" x14ac:dyDescent="0.2">
      <c r="A63" s="86"/>
    </row>
    <row r="64" spans="1:1" s="90" customFormat="1" x14ac:dyDescent="0.2">
      <c r="A64" s="86"/>
    </row>
    <row r="65" spans="1:1" s="90" customFormat="1" x14ac:dyDescent="0.2">
      <c r="A65" s="86"/>
    </row>
    <row r="66" spans="1:1" s="90" customFormat="1" x14ac:dyDescent="0.2">
      <c r="A66" s="86"/>
    </row>
    <row r="67" spans="1:1" s="90" customFormat="1" x14ac:dyDescent="0.2">
      <c r="A67" s="86"/>
    </row>
    <row r="68" spans="1:1" s="90" customFormat="1" x14ac:dyDescent="0.2">
      <c r="A68" s="86"/>
    </row>
    <row r="69" spans="1:1" s="90" customFormat="1" x14ac:dyDescent="0.2">
      <c r="A69" s="86"/>
    </row>
    <row r="70" spans="1:1" s="90" customFormat="1" x14ac:dyDescent="0.2">
      <c r="A70" s="86"/>
    </row>
    <row r="71" spans="1:1" s="90" customFormat="1" x14ac:dyDescent="0.2">
      <c r="A71" s="86"/>
    </row>
    <row r="72" spans="1:1" s="90" customFormat="1" x14ac:dyDescent="0.2">
      <c r="A72" s="86"/>
    </row>
    <row r="73" spans="1:1" s="90" customFormat="1" x14ac:dyDescent="0.2">
      <c r="A73" s="86"/>
    </row>
    <row r="74" spans="1:1" s="90" customFormat="1" x14ac:dyDescent="0.2">
      <c r="A74" s="86"/>
    </row>
    <row r="75" spans="1:1" s="90" customFormat="1" x14ac:dyDescent="0.2">
      <c r="A75" s="86"/>
    </row>
    <row r="76" spans="1:1" s="90" customFormat="1" x14ac:dyDescent="0.2">
      <c r="A76" s="86"/>
    </row>
    <row r="77" spans="1:1" s="90" customFormat="1" x14ac:dyDescent="0.2">
      <c r="A77" s="86"/>
    </row>
    <row r="78" spans="1:1" s="90" customFormat="1" x14ac:dyDescent="0.2">
      <c r="A78" s="86"/>
    </row>
    <row r="79" spans="1:1" s="90" customFormat="1" x14ac:dyDescent="0.2">
      <c r="A79" s="86"/>
    </row>
    <row r="80" spans="1:1" s="90" customFormat="1" x14ac:dyDescent="0.2">
      <c r="A80" s="86"/>
    </row>
    <row r="81" spans="1:1" s="90" customFormat="1" x14ac:dyDescent="0.2">
      <c r="A81" s="86"/>
    </row>
    <row r="82" spans="1:1" s="90" customFormat="1" x14ac:dyDescent="0.2">
      <c r="A82" s="86"/>
    </row>
    <row r="83" spans="1:1" s="90" customFormat="1" x14ac:dyDescent="0.2">
      <c r="A83" s="86"/>
    </row>
    <row r="84" spans="1:1" s="90" customFormat="1" x14ac:dyDescent="0.2">
      <c r="A84" s="86"/>
    </row>
    <row r="85" spans="1:1" s="90" customFormat="1" x14ac:dyDescent="0.2">
      <c r="A85" s="86"/>
    </row>
    <row r="86" spans="1:1" s="90" customFormat="1" x14ac:dyDescent="0.2">
      <c r="A86" s="86"/>
    </row>
    <row r="87" spans="1:1" s="90" customFormat="1" x14ac:dyDescent="0.2">
      <c r="A87" s="86"/>
    </row>
    <row r="88" spans="1:1" s="90" customFormat="1" x14ac:dyDescent="0.2">
      <c r="A88" s="86"/>
    </row>
    <row r="89" spans="1:1" s="90" customFormat="1" x14ac:dyDescent="0.2">
      <c r="A89" s="86"/>
    </row>
    <row r="90" spans="1:1" s="90" customFormat="1" x14ac:dyDescent="0.2">
      <c r="A90" s="86"/>
    </row>
    <row r="91" spans="1:1" s="90" customFormat="1" x14ac:dyDescent="0.2">
      <c r="A91" s="86"/>
    </row>
    <row r="92" spans="1:1" s="90" customFormat="1" x14ac:dyDescent="0.2">
      <c r="A92" s="86"/>
    </row>
    <row r="93" spans="1:1" s="90" customFormat="1" x14ac:dyDescent="0.2">
      <c r="A93" s="86"/>
    </row>
    <row r="94" spans="1:1" s="90" customFormat="1" x14ac:dyDescent="0.2">
      <c r="A94" s="86"/>
    </row>
    <row r="95" spans="1:1" s="90" customFormat="1" x14ac:dyDescent="0.2">
      <c r="A95" s="86"/>
    </row>
    <row r="96" spans="1:1" s="90" customFormat="1" x14ac:dyDescent="0.2">
      <c r="A96" s="86"/>
    </row>
    <row r="97" spans="1:1" s="90" customFormat="1" x14ac:dyDescent="0.2">
      <c r="A97" s="86"/>
    </row>
    <row r="98" spans="1:1" s="90" customFormat="1" x14ac:dyDescent="0.2">
      <c r="A98" s="86"/>
    </row>
    <row r="99" spans="1:1" s="90" customFormat="1" x14ac:dyDescent="0.2">
      <c r="A99" s="86"/>
    </row>
    <row r="100" spans="1:1" s="90" customFormat="1" x14ac:dyDescent="0.2">
      <c r="A100" s="86"/>
    </row>
    <row r="101" spans="1:1" s="90" customFormat="1" x14ac:dyDescent="0.2">
      <c r="A101" s="86"/>
    </row>
    <row r="102" spans="1:1" s="90" customFormat="1" x14ac:dyDescent="0.2">
      <c r="A102" s="86"/>
    </row>
    <row r="103" spans="1:1" s="90" customFormat="1" x14ac:dyDescent="0.2">
      <c r="A103" s="86"/>
    </row>
    <row r="104" spans="1:1" s="90" customFormat="1" x14ac:dyDescent="0.2">
      <c r="A104" s="86"/>
    </row>
    <row r="105" spans="1:1" s="90" customFormat="1" x14ac:dyDescent="0.2">
      <c r="A105" s="86"/>
    </row>
    <row r="106" spans="1:1" s="90" customFormat="1" x14ac:dyDescent="0.2">
      <c r="A106" s="86"/>
    </row>
    <row r="107" spans="1:1" s="90" customFormat="1" x14ac:dyDescent="0.2">
      <c r="A107" s="86"/>
    </row>
    <row r="108" spans="1:1" s="90" customFormat="1" x14ac:dyDescent="0.2">
      <c r="A108" s="86"/>
    </row>
    <row r="109" spans="1:1" s="90" customFormat="1" x14ac:dyDescent="0.2">
      <c r="A109" s="86"/>
    </row>
    <row r="110" spans="1:1" s="90" customFormat="1" x14ac:dyDescent="0.2">
      <c r="A110" s="86"/>
    </row>
    <row r="111" spans="1:1" s="90" customFormat="1" x14ac:dyDescent="0.2">
      <c r="A111" s="86"/>
    </row>
    <row r="112" spans="1:1" s="90" customFormat="1" x14ac:dyDescent="0.2">
      <c r="A112" s="86"/>
    </row>
    <row r="113" spans="1:1" s="90" customFormat="1" x14ac:dyDescent="0.2">
      <c r="A113" s="86"/>
    </row>
    <row r="114" spans="1:1" s="90" customFormat="1" x14ac:dyDescent="0.2">
      <c r="A114" s="86"/>
    </row>
    <row r="115" spans="1:1" s="90" customFormat="1" x14ac:dyDescent="0.2">
      <c r="A115" s="86"/>
    </row>
    <row r="116" spans="1:1" s="90" customFormat="1" x14ac:dyDescent="0.2">
      <c r="A116" s="86"/>
    </row>
    <row r="117" spans="1:1" s="90" customFormat="1" x14ac:dyDescent="0.2">
      <c r="A117" s="86"/>
    </row>
    <row r="118" spans="1:1" s="90" customFormat="1" x14ac:dyDescent="0.2">
      <c r="A118" s="86"/>
    </row>
    <row r="119" spans="1:1" s="90" customFormat="1" x14ac:dyDescent="0.2">
      <c r="A119" s="86"/>
    </row>
    <row r="120" spans="1:1" s="90" customFormat="1" x14ac:dyDescent="0.2">
      <c r="A120" s="86"/>
    </row>
    <row r="121" spans="1:1" s="90" customFormat="1" x14ac:dyDescent="0.2">
      <c r="A121" s="86"/>
    </row>
    <row r="122" spans="1:1" s="90" customFormat="1" x14ac:dyDescent="0.2">
      <c r="A122" s="86"/>
    </row>
    <row r="123" spans="1:1" s="90" customFormat="1" x14ac:dyDescent="0.2">
      <c r="A123" s="86"/>
    </row>
    <row r="124" spans="1:1" s="90" customFormat="1" x14ac:dyDescent="0.2">
      <c r="A124" s="86"/>
    </row>
    <row r="125" spans="1:1" s="90" customFormat="1" x14ac:dyDescent="0.2">
      <c r="A125" s="86"/>
    </row>
    <row r="126" spans="1:1" s="90" customFormat="1" x14ac:dyDescent="0.2">
      <c r="A126" s="86"/>
    </row>
    <row r="127" spans="1:1" s="90" customFormat="1" x14ac:dyDescent="0.2">
      <c r="A127" s="86"/>
    </row>
    <row r="128" spans="1:1" s="90" customFormat="1" x14ac:dyDescent="0.2">
      <c r="A128" s="86"/>
    </row>
    <row r="129" spans="1:1" s="90" customFormat="1" x14ac:dyDescent="0.2">
      <c r="A129" s="86"/>
    </row>
    <row r="130" spans="1:1" s="90" customFormat="1" x14ac:dyDescent="0.2">
      <c r="A130" s="86"/>
    </row>
    <row r="131" spans="1:1" s="90" customFormat="1" x14ac:dyDescent="0.2">
      <c r="A131" s="86"/>
    </row>
    <row r="132" spans="1:1" s="90" customFormat="1" x14ac:dyDescent="0.2">
      <c r="A132" s="86"/>
    </row>
    <row r="133" spans="1:1" s="90" customFormat="1" x14ac:dyDescent="0.2">
      <c r="A133" s="86"/>
    </row>
    <row r="134" spans="1:1" s="90" customFormat="1" x14ac:dyDescent="0.2">
      <c r="A134" s="86"/>
    </row>
    <row r="135" spans="1:1" s="90" customFormat="1" x14ac:dyDescent="0.2">
      <c r="A135" s="86"/>
    </row>
    <row r="136" spans="1:1" s="90" customFormat="1" x14ac:dyDescent="0.2">
      <c r="A136" s="86"/>
    </row>
    <row r="137" spans="1:1" s="90" customFormat="1" x14ac:dyDescent="0.2">
      <c r="A137" s="86"/>
    </row>
    <row r="138" spans="1:1" s="90" customFormat="1" x14ac:dyDescent="0.2">
      <c r="A138" s="86"/>
    </row>
    <row r="139" spans="1:1" s="90" customFormat="1" x14ac:dyDescent="0.2">
      <c r="A139" s="86"/>
    </row>
    <row r="140" spans="1:1" s="90" customFormat="1" x14ac:dyDescent="0.2">
      <c r="A140" s="86"/>
    </row>
    <row r="141" spans="1:1" s="90" customFormat="1" x14ac:dyDescent="0.2">
      <c r="A141" s="86"/>
    </row>
    <row r="142" spans="1:1" s="90" customFormat="1" x14ac:dyDescent="0.2">
      <c r="A142" s="86"/>
    </row>
    <row r="143" spans="1:1" s="90" customFormat="1" x14ac:dyDescent="0.2">
      <c r="A143" s="86"/>
    </row>
    <row r="144" spans="1:1" s="90" customFormat="1" x14ac:dyDescent="0.2">
      <c r="A144" s="86"/>
    </row>
    <row r="145" spans="1:1" s="90" customFormat="1" x14ac:dyDescent="0.2">
      <c r="A145" s="86"/>
    </row>
    <row r="146" spans="1:1" s="90" customFormat="1" x14ac:dyDescent="0.2">
      <c r="A146" s="86"/>
    </row>
    <row r="147" spans="1:1" s="90" customFormat="1" x14ac:dyDescent="0.2">
      <c r="A147" s="86"/>
    </row>
    <row r="148" spans="1:1" s="90" customFormat="1" x14ac:dyDescent="0.2">
      <c r="A148" s="86"/>
    </row>
    <row r="149" spans="1:1" s="90" customFormat="1" x14ac:dyDescent="0.2">
      <c r="A149" s="86"/>
    </row>
    <row r="150" spans="1:1" s="90" customFormat="1" x14ac:dyDescent="0.2">
      <c r="A150" s="86"/>
    </row>
    <row r="151" spans="1:1" s="90" customFormat="1" x14ac:dyDescent="0.2">
      <c r="A151" s="86"/>
    </row>
    <row r="152" spans="1:1" s="90" customFormat="1" x14ac:dyDescent="0.2">
      <c r="A152" s="86"/>
    </row>
    <row r="153" spans="1:1" s="90" customFormat="1" x14ac:dyDescent="0.2">
      <c r="A153" s="86"/>
    </row>
    <row r="154" spans="1:1" s="90" customFormat="1" x14ac:dyDescent="0.2">
      <c r="A154" s="86"/>
    </row>
    <row r="155" spans="1:1" s="90" customFormat="1" x14ac:dyDescent="0.2">
      <c r="A155" s="86"/>
    </row>
    <row r="156" spans="1:1" s="90" customFormat="1" x14ac:dyDescent="0.2">
      <c r="A156" s="86"/>
    </row>
    <row r="157" spans="1:1" s="90" customFormat="1" x14ac:dyDescent="0.2">
      <c r="A157" s="86"/>
    </row>
    <row r="158" spans="1:1" s="90" customFormat="1" x14ac:dyDescent="0.2">
      <c r="A158" s="86"/>
    </row>
    <row r="159" spans="1:1" s="90" customFormat="1" x14ac:dyDescent="0.2">
      <c r="A159" s="86"/>
    </row>
    <row r="160" spans="1:1" s="90" customFormat="1" x14ac:dyDescent="0.2">
      <c r="A160" s="86"/>
    </row>
    <row r="161" spans="1:1" s="90" customFormat="1" x14ac:dyDescent="0.2">
      <c r="A161" s="86"/>
    </row>
    <row r="162" spans="1:1" s="90" customFormat="1" x14ac:dyDescent="0.2">
      <c r="A162" s="86"/>
    </row>
    <row r="163" spans="1:1" s="90" customFormat="1" x14ac:dyDescent="0.2">
      <c r="A163" s="86"/>
    </row>
    <row r="164" spans="1:1" s="90" customFormat="1" x14ac:dyDescent="0.2">
      <c r="A164" s="86"/>
    </row>
    <row r="165" spans="1:1" s="90" customFormat="1" x14ac:dyDescent="0.2">
      <c r="A165" s="86"/>
    </row>
    <row r="166" spans="1:1" s="90" customFormat="1" x14ac:dyDescent="0.2">
      <c r="A166" s="86"/>
    </row>
    <row r="167" spans="1:1" s="90" customFormat="1" x14ac:dyDescent="0.2">
      <c r="A167" s="86"/>
    </row>
    <row r="168" spans="1:1" s="90" customFormat="1" x14ac:dyDescent="0.2">
      <c r="A168" s="86"/>
    </row>
    <row r="169" spans="1:1" s="90" customFormat="1" x14ac:dyDescent="0.2">
      <c r="A169" s="86"/>
    </row>
    <row r="170" spans="1:1" s="90" customFormat="1" x14ac:dyDescent="0.2">
      <c r="A170" s="86"/>
    </row>
    <row r="171" spans="1:1" s="90" customFormat="1" x14ac:dyDescent="0.2">
      <c r="A171" s="86"/>
    </row>
    <row r="172" spans="1:1" s="90" customFormat="1" x14ac:dyDescent="0.2">
      <c r="A172" s="86"/>
    </row>
    <row r="173" spans="1:1" s="90" customFormat="1" x14ac:dyDescent="0.2">
      <c r="A173" s="86"/>
    </row>
    <row r="174" spans="1:1" s="90" customFormat="1" x14ac:dyDescent="0.2">
      <c r="A174" s="86"/>
    </row>
    <row r="175" spans="1:1" s="90" customFormat="1" x14ac:dyDescent="0.2">
      <c r="A175" s="86"/>
    </row>
    <row r="176" spans="1:1" s="90" customFormat="1" x14ac:dyDescent="0.2">
      <c r="A176" s="86"/>
    </row>
    <row r="177" spans="1:1" s="90" customFormat="1" x14ac:dyDescent="0.2">
      <c r="A177" s="86"/>
    </row>
    <row r="178" spans="1:1" s="90" customFormat="1" x14ac:dyDescent="0.2">
      <c r="A178" s="86"/>
    </row>
    <row r="179" spans="1:1" s="90" customFormat="1" x14ac:dyDescent="0.2">
      <c r="A179" s="86"/>
    </row>
    <row r="180" spans="1:1" s="90" customFormat="1" x14ac:dyDescent="0.2">
      <c r="A180" s="86"/>
    </row>
    <row r="181" spans="1:1" s="90" customFormat="1" x14ac:dyDescent="0.2">
      <c r="A181" s="86"/>
    </row>
    <row r="182" spans="1:1" s="90" customFormat="1" x14ac:dyDescent="0.2">
      <c r="A182" s="86"/>
    </row>
    <row r="183" spans="1:1" s="90" customFormat="1" x14ac:dyDescent="0.2">
      <c r="A183" s="86"/>
    </row>
    <row r="184" spans="1:1" s="90" customFormat="1" x14ac:dyDescent="0.2">
      <c r="A184" s="86"/>
    </row>
    <row r="185" spans="1:1" s="90" customFormat="1" x14ac:dyDescent="0.2">
      <c r="A185" s="86"/>
    </row>
    <row r="186" spans="1:1" s="90" customFormat="1" x14ac:dyDescent="0.2">
      <c r="A186" s="86"/>
    </row>
    <row r="187" spans="1:1" s="90" customFormat="1" x14ac:dyDescent="0.2">
      <c r="A187" s="86"/>
    </row>
    <row r="188" spans="1:1" s="90" customFormat="1" x14ac:dyDescent="0.2">
      <c r="A188" s="86"/>
    </row>
    <row r="189" spans="1:1" s="90" customFormat="1" x14ac:dyDescent="0.2">
      <c r="A189" s="86"/>
    </row>
    <row r="190" spans="1:1" s="90" customFormat="1" x14ac:dyDescent="0.2">
      <c r="A190" s="86"/>
    </row>
    <row r="191" spans="1:1" s="90" customFormat="1" x14ac:dyDescent="0.2">
      <c r="A191" s="86"/>
    </row>
    <row r="192" spans="1:1" s="90" customFormat="1" x14ac:dyDescent="0.2">
      <c r="A192" s="86"/>
    </row>
    <row r="193" spans="1:1" s="90" customFormat="1" x14ac:dyDescent="0.2">
      <c r="A193" s="86"/>
    </row>
    <row r="194" spans="1:1" s="90" customFormat="1" x14ac:dyDescent="0.2">
      <c r="A194" s="86"/>
    </row>
    <row r="195" spans="1:1" s="90" customFormat="1" x14ac:dyDescent="0.2">
      <c r="A195" s="86"/>
    </row>
    <row r="196" spans="1:1" s="90" customFormat="1" x14ac:dyDescent="0.2">
      <c r="A196" s="86"/>
    </row>
    <row r="197" spans="1:1" s="90" customFormat="1" x14ac:dyDescent="0.2">
      <c r="A197" s="86"/>
    </row>
    <row r="198" spans="1:1" s="90" customFormat="1" x14ac:dyDescent="0.2">
      <c r="A198" s="86"/>
    </row>
    <row r="199" spans="1:1" s="90" customFormat="1" x14ac:dyDescent="0.2">
      <c r="A199" s="86"/>
    </row>
    <row r="200" spans="1:1" s="90" customFormat="1" x14ac:dyDescent="0.2">
      <c r="A200" s="86"/>
    </row>
    <row r="201" spans="1:1" s="90" customFormat="1" x14ac:dyDescent="0.2">
      <c r="A201" s="86"/>
    </row>
    <row r="202" spans="1:1" s="90" customFormat="1" x14ac:dyDescent="0.2">
      <c r="A202" s="86"/>
    </row>
    <row r="203" spans="1:1" s="90" customFormat="1" x14ac:dyDescent="0.2">
      <c r="A203" s="86"/>
    </row>
    <row r="204" spans="1:1" s="90" customFormat="1" x14ac:dyDescent="0.2">
      <c r="A204" s="86"/>
    </row>
    <row r="205" spans="1:1" s="90" customFormat="1" x14ac:dyDescent="0.2">
      <c r="A205" s="86"/>
    </row>
    <row r="206" spans="1:1" s="90" customFormat="1" x14ac:dyDescent="0.2">
      <c r="A206" s="86"/>
    </row>
    <row r="207" spans="1:1" s="90" customFormat="1" x14ac:dyDescent="0.2">
      <c r="A207" s="86"/>
    </row>
    <row r="208" spans="1:1" s="90" customFormat="1" x14ac:dyDescent="0.2">
      <c r="A208" s="86"/>
    </row>
    <row r="209" spans="1:1" s="90" customFormat="1" x14ac:dyDescent="0.2">
      <c r="A209" s="86"/>
    </row>
    <row r="210" spans="1:1" s="90" customFormat="1" x14ac:dyDescent="0.2">
      <c r="A210" s="86"/>
    </row>
    <row r="211" spans="1:1" s="90" customFormat="1" x14ac:dyDescent="0.2">
      <c r="A211" s="86"/>
    </row>
    <row r="212" spans="1:1" s="90" customFormat="1" x14ac:dyDescent="0.2">
      <c r="A212" s="86"/>
    </row>
    <row r="213" spans="1:1" s="90" customFormat="1" x14ac:dyDescent="0.2">
      <c r="A213" s="86"/>
    </row>
    <row r="214" spans="1:1" s="90" customFormat="1" x14ac:dyDescent="0.2">
      <c r="A214" s="86"/>
    </row>
    <row r="215" spans="1:1" s="90" customFormat="1" x14ac:dyDescent="0.2">
      <c r="A215" s="86"/>
    </row>
    <row r="216" spans="1:1" s="90" customFormat="1" x14ac:dyDescent="0.2">
      <c r="A216" s="86"/>
    </row>
    <row r="217" spans="1:1" s="90" customFormat="1" x14ac:dyDescent="0.2">
      <c r="A217" s="86"/>
    </row>
    <row r="218" spans="1:1" s="90" customFormat="1" x14ac:dyDescent="0.2">
      <c r="A218" s="86"/>
    </row>
    <row r="219" spans="1:1" s="90" customFormat="1" x14ac:dyDescent="0.2">
      <c r="A219" s="86"/>
    </row>
    <row r="220" spans="1:1" s="90" customFormat="1" x14ac:dyDescent="0.2">
      <c r="A220" s="86"/>
    </row>
    <row r="221" spans="1:1" s="90" customFormat="1" x14ac:dyDescent="0.2">
      <c r="A221" s="86"/>
    </row>
    <row r="222" spans="1:1" s="90" customFormat="1" x14ac:dyDescent="0.2">
      <c r="A222" s="86"/>
    </row>
    <row r="223" spans="1:1" s="90" customFormat="1" x14ac:dyDescent="0.2">
      <c r="A223" s="86"/>
    </row>
    <row r="224" spans="1:1" s="90" customFormat="1" x14ac:dyDescent="0.2">
      <c r="A224" s="86"/>
    </row>
    <row r="225" spans="1:1" s="90" customFormat="1" x14ac:dyDescent="0.2">
      <c r="A225" s="86"/>
    </row>
    <row r="226" spans="1:1" s="90" customFormat="1" x14ac:dyDescent="0.2">
      <c r="A226" s="86"/>
    </row>
    <row r="227" spans="1:1" s="90" customFormat="1" x14ac:dyDescent="0.2">
      <c r="A227" s="86"/>
    </row>
    <row r="228" spans="1:1" s="90" customFormat="1" x14ac:dyDescent="0.2">
      <c r="A228" s="86"/>
    </row>
    <row r="229" spans="1:1" s="90" customFormat="1" x14ac:dyDescent="0.2">
      <c r="A229" s="86"/>
    </row>
    <row r="230" spans="1:1" s="90" customFormat="1" x14ac:dyDescent="0.2">
      <c r="A230" s="86"/>
    </row>
    <row r="231" spans="1:1" s="90" customFormat="1" x14ac:dyDescent="0.2">
      <c r="A231" s="86"/>
    </row>
    <row r="232" spans="1:1" s="90" customFormat="1" x14ac:dyDescent="0.2">
      <c r="A232" s="86"/>
    </row>
    <row r="233" spans="1:1" s="90" customFormat="1" x14ac:dyDescent="0.2">
      <c r="A233" s="86"/>
    </row>
    <row r="234" spans="1:1" s="90" customFormat="1" x14ac:dyDescent="0.2">
      <c r="A234" s="86"/>
    </row>
    <row r="235" spans="1:1" s="90" customFormat="1" x14ac:dyDescent="0.2">
      <c r="A235" s="86"/>
    </row>
    <row r="236" spans="1:1" s="90" customFormat="1" x14ac:dyDescent="0.2">
      <c r="A236" s="86"/>
    </row>
    <row r="237" spans="1:1" s="90" customFormat="1" x14ac:dyDescent="0.2">
      <c r="A237" s="86"/>
    </row>
    <row r="238" spans="1:1" s="90" customFormat="1" x14ac:dyDescent="0.2">
      <c r="A238" s="86"/>
    </row>
    <row r="239" spans="1:1" s="90" customFormat="1" x14ac:dyDescent="0.2">
      <c r="A239" s="86"/>
    </row>
    <row r="240" spans="1:1" s="90" customFormat="1" x14ac:dyDescent="0.2">
      <c r="A240" s="86"/>
    </row>
    <row r="241" spans="1:1" s="90" customFormat="1" x14ac:dyDescent="0.2">
      <c r="A241" s="86"/>
    </row>
    <row r="242" spans="1:1" s="90" customFormat="1" x14ac:dyDescent="0.2">
      <c r="A242" s="86"/>
    </row>
    <row r="243" spans="1:1" s="90" customFormat="1" x14ac:dyDescent="0.2">
      <c r="A243" s="86"/>
    </row>
    <row r="244" spans="1:1" s="90" customFormat="1" x14ac:dyDescent="0.2">
      <c r="A244" s="86"/>
    </row>
    <row r="245" spans="1:1" s="90" customFormat="1" x14ac:dyDescent="0.2">
      <c r="A245" s="86"/>
    </row>
    <row r="246" spans="1:1" s="90" customFormat="1" x14ac:dyDescent="0.2">
      <c r="A246" s="86"/>
    </row>
    <row r="247" spans="1:1" s="90" customFormat="1" x14ac:dyDescent="0.2">
      <c r="A247" s="86"/>
    </row>
    <row r="248" spans="1:1" s="90" customFormat="1" x14ac:dyDescent="0.2">
      <c r="A248" s="86"/>
    </row>
    <row r="249" spans="1:1" s="90" customFormat="1" x14ac:dyDescent="0.2">
      <c r="A249" s="86"/>
    </row>
    <row r="250" spans="1:1" s="90" customFormat="1" x14ac:dyDescent="0.2">
      <c r="A250" s="86"/>
    </row>
    <row r="251" spans="1:1" s="90" customFormat="1" x14ac:dyDescent="0.2">
      <c r="A251" s="86"/>
    </row>
    <row r="252" spans="1:1" s="90" customFormat="1" x14ac:dyDescent="0.2">
      <c r="A252" s="86"/>
    </row>
    <row r="253" spans="1:1" s="90" customFormat="1" x14ac:dyDescent="0.2">
      <c r="A253" s="86"/>
    </row>
    <row r="254" spans="1:1" s="90" customFormat="1" x14ac:dyDescent="0.2">
      <c r="A254" s="86"/>
    </row>
    <row r="255" spans="1:1" s="90" customFormat="1" x14ac:dyDescent="0.2">
      <c r="A255" s="86"/>
    </row>
    <row r="256" spans="1:1" s="90" customFormat="1" x14ac:dyDescent="0.2">
      <c r="A256" s="86"/>
    </row>
    <row r="257" spans="1:1" s="90" customFormat="1" x14ac:dyDescent="0.2">
      <c r="A257" s="86"/>
    </row>
    <row r="258" spans="1:1" s="90" customFormat="1" x14ac:dyDescent="0.2">
      <c r="A258" s="86"/>
    </row>
    <row r="259" spans="1:1" s="90" customFormat="1" x14ac:dyDescent="0.2">
      <c r="A259" s="86"/>
    </row>
    <row r="260" spans="1:1" s="90" customFormat="1" x14ac:dyDescent="0.2">
      <c r="A260" s="86"/>
    </row>
    <row r="261" spans="1:1" s="90" customFormat="1" x14ac:dyDescent="0.2">
      <c r="A261" s="86"/>
    </row>
    <row r="262" spans="1:1" s="90" customFormat="1" x14ac:dyDescent="0.2">
      <c r="A262" s="86"/>
    </row>
    <row r="263" spans="1:1" s="90" customFormat="1" x14ac:dyDescent="0.2">
      <c r="A263" s="86"/>
    </row>
    <row r="264" spans="1:1" s="90" customFormat="1" x14ac:dyDescent="0.2">
      <c r="A264" s="86"/>
    </row>
    <row r="265" spans="1:1" s="90" customFormat="1" x14ac:dyDescent="0.2">
      <c r="A265" s="86"/>
    </row>
    <row r="266" spans="1:1" s="90" customFormat="1" x14ac:dyDescent="0.2">
      <c r="A266" s="86"/>
    </row>
    <row r="267" spans="1:1" s="90" customFormat="1" x14ac:dyDescent="0.2">
      <c r="A267" s="86"/>
    </row>
    <row r="268" spans="1:1" s="90" customFormat="1" x14ac:dyDescent="0.2">
      <c r="A268" s="86"/>
    </row>
    <row r="269" spans="1:1" s="90" customFormat="1" x14ac:dyDescent="0.2">
      <c r="A269" s="86"/>
    </row>
    <row r="270" spans="1:1" s="90" customFormat="1" x14ac:dyDescent="0.2">
      <c r="A270" s="86"/>
    </row>
    <row r="271" spans="1:1" s="90" customFormat="1" x14ac:dyDescent="0.2">
      <c r="A271" s="86"/>
    </row>
    <row r="272" spans="1:1" s="90" customFormat="1" x14ac:dyDescent="0.2">
      <c r="A272" s="86"/>
    </row>
    <row r="273" spans="1:1" s="90" customFormat="1" x14ac:dyDescent="0.2">
      <c r="A273" s="86"/>
    </row>
    <row r="274" spans="1:1" s="90" customFormat="1" x14ac:dyDescent="0.2">
      <c r="A274" s="86"/>
    </row>
    <row r="275" spans="1:1" s="90" customFormat="1" x14ac:dyDescent="0.2">
      <c r="A275" s="86"/>
    </row>
    <row r="276" spans="1:1" s="90" customFormat="1" x14ac:dyDescent="0.2">
      <c r="A276" s="86"/>
    </row>
    <row r="277" spans="1:1" s="90" customFormat="1" x14ac:dyDescent="0.2">
      <c r="A277" s="86"/>
    </row>
    <row r="278" spans="1:1" s="90" customFormat="1" x14ac:dyDescent="0.2">
      <c r="A278" s="86"/>
    </row>
    <row r="279" spans="1:1" s="90" customFormat="1" x14ac:dyDescent="0.2">
      <c r="A279" s="86"/>
    </row>
    <row r="280" spans="1:1" s="90" customFormat="1" x14ac:dyDescent="0.2">
      <c r="A280" s="86"/>
    </row>
    <row r="281" spans="1:1" s="90" customFormat="1" x14ac:dyDescent="0.2">
      <c r="A281" s="86"/>
    </row>
    <row r="282" spans="1:1" s="90" customFormat="1" x14ac:dyDescent="0.2">
      <c r="A282" s="86"/>
    </row>
    <row r="283" spans="1:1" s="90" customFormat="1" x14ac:dyDescent="0.2">
      <c r="A283" s="86"/>
    </row>
    <row r="284" spans="1:1" s="90" customFormat="1" x14ac:dyDescent="0.2">
      <c r="A284" s="86"/>
    </row>
    <row r="285" spans="1:1" s="90" customFormat="1" x14ac:dyDescent="0.2">
      <c r="A285" s="86"/>
    </row>
    <row r="286" spans="1:1" s="90" customFormat="1" x14ac:dyDescent="0.2">
      <c r="A286" s="86"/>
    </row>
    <row r="287" spans="1:1" s="90" customFormat="1" x14ac:dyDescent="0.2">
      <c r="A287" s="86"/>
    </row>
    <row r="288" spans="1:1" s="90" customFormat="1" x14ac:dyDescent="0.2">
      <c r="A288" s="86"/>
    </row>
    <row r="289" spans="1:1" s="90" customFormat="1" x14ac:dyDescent="0.2">
      <c r="A289" s="86"/>
    </row>
    <row r="290" spans="1:1" s="90" customFormat="1" x14ac:dyDescent="0.2">
      <c r="A290" s="86"/>
    </row>
    <row r="291" spans="1:1" s="90" customFormat="1" x14ac:dyDescent="0.2">
      <c r="A291" s="86"/>
    </row>
    <row r="292" spans="1:1" s="90" customFormat="1" x14ac:dyDescent="0.2">
      <c r="A292" s="86"/>
    </row>
    <row r="293" spans="1:1" s="90" customFormat="1" x14ac:dyDescent="0.2">
      <c r="A293" s="86"/>
    </row>
    <row r="294" spans="1:1" s="90" customFormat="1" x14ac:dyDescent="0.2">
      <c r="A294" s="86"/>
    </row>
    <row r="295" spans="1:1" s="90" customFormat="1" x14ac:dyDescent="0.2">
      <c r="A295" s="86"/>
    </row>
    <row r="296" spans="1:1" s="90" customFormat="1" x14ac:dyDescent="0.2">
      <c r="A296" s="86"/>
    </row>
    <row r="297" spans="1:1" s="90" customFormat="1" x14ac:dyDescent="0.2">
      <c r="A297" s="86"/>
    </row>
    <row r="298" spans="1:1" s="90" customFormat="1" x14ac:dyDescent="0.2">
      <c r="A298" s="86"/>
    </row>
    <row r="299" spans="1:1" s="90" customFormat="1" x14ac:dyDescent="0.2">
      <c r="A299" s="86"/>
    </row>
    <row r="300" spans="1:1" s="90" customFormat="1" x14ac:dyDescent="0.2">
      <c r="A300" s="86"/>
    </row>
    <row r="301" spans="1:1" s="90" customFormat="1" x14ac:dyDescent="0.2">
      <c r="A301" s="86"/>
    </row>
    <row r="302" spans="1:1" s="90" customFormat="1" x14ac:dyDescent="0.2">
      <c r="A302" s="86"/>
    </row>
    <row r="303" spans="1:1" s="90" customFormat="1" x14ac:dyDescent="0.2">
      <c r="A303" s="86"/>
    </row>
    <row r="304" spans="1:1" s="90" customFormat="1" x14ac:dyDescent="0.2">
      <c r="A304" s="86"/>
    </row>
    <row r="305" spans="1:1" s="90" customFormat="1" x14ac:dyDescent="0.2">
      <c r="A305" s="86"/>
    </row>
    <row r="306" spans="1:1" s="90" customFormat="1" x14ac:dyDescent="0.2">
      <c r="A306" s="86"/>
    </row>
    <row r="307" spans="1:1" s="90" customFormat="1" x14ac:dyDescent="0.2">
      <c r="A307" s="86"/>
    </row>
    <row r="308" spans="1:1" s="90" customFormat="1" x14ac:dyDescent="0.2">
      <c r="A308" s="86"/>
    </row>
    <row r="309" spans="1:1" s="90" customFormat="1" x14ac:dyDescent="0.2">
      <c r="A309" s="86"/>
    </row>
    <row r="310" spans="1:1" s="90" customFormat="1" x14ac:dyDescent="0.2">
      <c r="A310" s="86"/>
    </row>
    <row r="311" spans="1:1" s="90" customFormat="1" x14ac:dyDescent="0.2">
      <c r="A311" s="86"/>
    </row>
    <row r="312" spans="1:1" s="90" customFormat="1" x14ac:dyDescent="0.2">
      <c r="A312" s="86"/>
    </row>
    <row r="313" spans="1:1" s="90" customFormat="1" x14ac:dyDescent="0.2">
      <c r="A313" s="86"/>
    </row>
    <row r="314" spans="1:1" s="90" customFormat="1" x14ac:dyDescent="0.2">
      <c r="A314" s="86"/>
    </row>
    <row r="315" spans="1:1" s="90" customFormat="1" x14ac:dyDescent="0.2">
      <c r="A315" s="86"/>
    </row>
    <row r="316" spans="1:1" s="90" customFormat="1" x14ac:dyDescent="0.2">
      <c r="A316" s="86"/>
    </row>
    <row r="317" spans="1:1" s="90" customFormat="1" x14ac:dyDescent="0.2">
      <c r="A317" s="86"/>
    </row>
    <row r="318" spans="1:1" s="90" customFormat="1" x14ac:dyDescent="0.2">
      <c r="A318" s="86"/>
    </row>
    <row r="319" spans="1:1" s="90" customFormat="1" x14ac:dyDescent="0.2">
      <c r="A319" s="86"/>
    </row>
    <row r="320" spans="1:1" s="90" customFormat="1" x14ac:dyDescent="0.2">
      <c r="A320" s="86"/>
    </row>
    <row r="321" spans="1:1" s="90" customFormat="1" x14ac:dyDescent="0.2">
      <c r="A321" s="86"/>
    </row>
    <row r="322" spans="1:1" s="90" customFormat="1" x14ac:dyDescent="0.2">
      <c r="A322" s="86"/>
    </row>
    <row r="323" spans="1:1" s="90" customFormat="1" x14ac:dyDescent="0.2">
      <c r="A323" s="86"/>
    </row>
    <row r="324" spans="1:1" s="90" customFormat="1" x14ac:dyDescent="0.2">
      <c r="A324" s="86"/>
    </row>
    <row r="325" spans="1:1" s="90" customFormat="1" x14ac:dyDescent="0.2">
      <c r="A325" s="86"/>
    </row>
    <row r="326" spans="1:1" s="90" customFormat="1" x14ac:dyDescent="0.2">
      <c r="A326" s="86"/>
    </row>
    <row r="327" spans="1:1" s="90" customFormat="1" x14ac:dyDescent="0.2">
      <c r="A327" s="86"/>
    </row>
    <row r="328" spans="1:1" s="90" customFormat="1" x14ac:dyDescent="0.2">
      <c r="A328" s="86"/>
    </row>
    <row r="329" spans="1:1" s="90" customFormat="1" x14ac:dyDescent="0.2">
      <c r="A329" s="86"/>
    </row>
    <row r="330" spans="1:1" s="90" customFormat="1" x14ac:dyDescent="0.2">
      <c r="A330" s="86"/>
    </row>
    <row r="331" spans="1:1" s="90" customFormat="1" x14ac:dyDescent="0.2">
      <c r="A331" s="86"/>
    </row>
    <row r="332" spans="1:1" s="90" customFormat="1" x14ac:dyDescent="0.2">
      <c r="A332" s="86"/>
    </row>
    <row r="333" spans="1:1" s="90" customFormat="1" x14ac:dyDescent="0.2">
      <c r="A333" s="86"/>
    </row>
    <row r="334" spans="1:1" s="90" customFormat="1" x14ac:dyDescent="0.2">
      <c r="A334" s="86"/>
    </row>
    <row r="335" spans="1:1" s="90" customFormat="1" x14ac:dyDescent="0.2">
      <c r="A335" s="86"/>
    </row>
    <row r="336" spans="1:1" s="90" customFormat="1" x14ac:dyDescent="0.2">
      <c r="A336" s="86"/>
    </row>
    <row r="337" spans="1:1" s="90" customFormat="1" x14ac:dyDescent="0.2">
      <c r="A337" s="86"/>
    </row>
    <row r="338" spans="1:1" s="90" customFormat="1" x14ac:dyDescent="0.2">
      <c r="A338" s="86"/>
    </row>
    <row r="339" spans="1:1" s="90" customFormat="1" x14ac:dyDescent="0.2">
      <c r="A339" s="86"/>
    </row>
    <row r="340" spans="1:1" s="90" customFormat="1" x14ac:dyDescent="0.2">
      <c r="A340" s="86"/>
    </row>
    <row r="341" spans="1:1" s="90" customFormat="1" x14ac:dyDescent="0.2">
      <c r="A341" s="86"/>
    </row>
    <row r="342" spans="1:1" s="90" customFormat="1" x14ac:dyDescent="0.2">
      <c r="A342" s="86"/>
    </row>
    <row r="343" spans="1:1" s="90" customFormat="1" x14ac:dyDescent="0.2">
      <c r="A343" s="86"/>
    </row>
    <row r="344" spans="1:1" s="90" customFormat="1" x14ac:dyDescent="0.2">
      <c r="A344" s="86"/>
    </row>
    <row r="345" spans="1:1" s="90" customFormat="1" x14ac:dyDescent="0.2">
      <c r="A345" s="86"/>
    </row>
    <row r="346" spans="1:1" s="90" customFormat="1" x14ac:dyDescent="0.2">
      <c r="A346" s="86"/>
    </row>
    <row r="347" spans="1:1" s="90" customFormat="1" x14ac:dyDescent="0.2">
      <c r="A347" s="86"/>
    </row>
    <row r="348" spans="1:1" s="90" customFormat="1" x14ac:dyDescent="0.2">
      <c r="A348" s="86"/>
    </row>
    <row r="349" spans="1:1" s="90" customFormat="1" x14ac:dyDescent="0.2">
      <c r="A349" s="86"/>
    </row>
    <row r="350" spans="1:1" s="90" customFormat="1" x14ac:dyDescent="0.2">
      <c r="A350" s="86"/>
    </row>
    <row r="351" spans="1:1" s="90" customFormat="1" x14ac:dyDescent="0.2">
      <c r="A351" s="86"/>
    </row>
    <row r="352" spans="1:1" s="90" customFormat="1" x14ac:dyDescent="0.2">
      <c r="A352" s="86"/>
    </row>
    <row r="353" spans="1:1" s="90" customFormat="1" x14ac:dyDescent="0.2">
      <c r="A353" s="86"/>
    </row>
    <row r="354" spans="1:1" s="90" customFormat="1" x14ac:dyDescent="0.2">
      <c r="A354" s="86"/>
    </row>
    <row r="355" spans="1:1" s="90" customFormat="1" x14ac:dyDescent="0.2">
      <c r="A355" s="86"/>
    </row>
    <row r="356" spans="1:1" s="90" customFormat="1" x14ac:dyDescent="0.2">
      <c r="A356" s="86"/>
    </row>
    <row r="357" spans="1:1" s="90" customFormat="1" x14ac:dyDescent="0.2">
      <c r="A357" s="86"/>
    </row>
    <row r="358" spans="1:1" s="90" customFormat="1" x14ac:dyDescent="0.2">
      <c r="A358" s="86"/>
    </row>
    <row r="359" spans="1:1" s="90" customFormat="1" x14ac:dyDescent="0.2">
      <c r="A359" s="86"/>
    </row>
    <row r="360" spans="1:1" s="90" customFormat="1" x14ac:dyDescent="0.2">
      <c r="A360" s="86"/>
    </row>
    <row r="361" spans="1:1" s="90" customFormat="1" x14ac:dyDescent="0.2">
      <c r="A361" s="86"/>
    </row>
    <row r="362" spans="1:1" s="90" customFormat="1" x14ac:dyDescent="0.2">
      <c r="A362" s="86"/>
    </row>
    <row r="363" spans="1:1" s="90" customFormat="1" x14ac:dyDescent="0.2">
      <c r="A363" s="86"/>
    </row>
    <row r="364" spans="1:1" s="90" customFormat="1" x14ac:dyDescent="0.2">
      <c r="A364" s="86"/>
    </row>
    <row r="365" spans="1:1" s="90" customFormat="1" x14ac:dyDescent="0.2">
      <c r="A365" s="86"/>
    </row>
    <row r="366" spans="1:1" s="90" customFormat="1" x14ac:dyDescent="0.2">
      <c r="A366" s="86"/>
    </row>
    <row r="367" spans="1:1" s="90" customFormat="1" x14ac:dyDescent="0.2">
      <c r="A367" s="86"/>
    </row>
    <row r="368" spans="1:1" s="90" customFormat="1" x14ac:dyDescent="0.2">
      <c r="A368" s="86"/>
    </row>
    <row r="369" spans="1:1" s="90" customFormat="1" x14ac:dyDescent="0.2">
      <c r="A369" s="86"/>
    </row>
    <row r="370" spans="1:1" s="90" customFormat="1" x14ac:dyDescent="0.2">
      <c r="A370" s="86"/>
    </row>
    <row r="371" spans="1:1" s="90" customFormat="1" x14ac:dyDescent="0.2">
      <c r="A371" s="86"/>
    </row>
    <row r="372" spans="1:1" s="90" customFormat="1" x14ac:dyDescent="0.2">
      <c r="A372" s="86"/>
    </row>
    <row r="373" spans="1:1" s="90" customFormat="1" x14ac:dyDescent="0.2">
      <c r="A373" s="86"/>
    </row>
    <row r="374" spans="1:1" s="90" customFormat="1" x14ac:dyDescent="0.2">
      <c r="A374" s="86"/>
    </row>
    <row r="375" spans="1:1" s="90" customFormat="1" x14ac:dyDescent="0.2">
      <c r="A375" s="86"/>
    </row>
    <row r="376" spans="1:1" s="90" customFormat="1" x14ac:dyDescent="0.2">
      <c r="A376" s="86"/>
    </row>
    <row r="377" spans="1:1" s="90" customFormat="1" x14ac:dyDescent="0.2">
      <c r="A377" s="86"/>
    </row>
    <row r="378" spans="1:1" s="90" customFormat="1" x14ac:dyDescent="0.2">
      <c r="A378" s="86"/>
    </row>
    <row r="379" spans="1:1" s="90" customFormat="1" x14ac:dyDescent="0.2">
      <c r="A379" s="86"/>
    </row>
    <row r="380" spans="1:1" s="90" customFormat="1" x14ac:dyDescent="0.2">
      <c r="A380" s="86"/>
    </row>
    <row r="381" spans="1:1" s="90" customFormat="1" x14ac:dyDescent="0.2">
      <c r="A381" s="86"/>
    </row>
    <row r="382" spans="1:1" s="90" customFormat="1" x14ac:dyDescent="0.2">
      <c r="A382" s="86"/>
    </row>
    <row r="383" spans="1:1" s="90" customFormat="1" x14ac:dyDescent="0.2">
      <c r="A383" s="86"/>
    </row>
    <row r="384" spans="1:1" s="90" customFormat="1" x14ac:dyDescent="0.2">
      <c r="A384" s="86"/>
    </row>
    <row r="385" spans="1:1" s="90" customFormat="1" x14ac:dyDescent="0.2">
      <c r="A385" s="86"/>
    </row>
    <row r="386" spans="1:1" s="90" customFormat="1" x14ac:dyDescent="0.2">
      <c r="A386" s="86"/>
    </row>
    <row r="387" spans="1:1" s="90" customFormat="1" x14ac:dyDescent="0.2">
      <c r="A387" s="86"/>
    </row>
    <row r="388" spans="1:1" s="90" customFormat="1" x14ac:dyDescent="0.2">
      <c r="A388" s="86"/>
    </row>
    <row r="389" spans="1:1" s="90" customFormat="1" x14ac:dyDescent="0.2">
      <c r="A389" s="86"/>
    </row>
    <row r="390" spans="1:1" s="90" customFormat="1" x14ac:dyDescent="0.2">
      <c r="A390" s="86"/>
    </row>
    <row r="391" spans="1:1" s="90" customFormat="1" x14ac:dyDescent="0.2">
      <c r="A391" s="86"/>
    </row>
    <row r="392" spans="1:1" s="90" customFormat="1" x14ac:dyDescent="0.2">
      <c r="A392" s="86"/>
    </row>
    <row r="393" spans="1:1" s="90" customFormat="1" x14ac:dyDescent="0.2">
      <c r="A393" s="86"/>
    </row>
    <row r="394" spans="1:1" s="90" customFormat="1" x14ac:dyDescent="0.2">
      <c r="A394" s="86"/>
    </row>
    <row r="395" spans="1:1" s="90" customFormat="1" x14ac:dyDescent="0.2">
      <c r="A395" s="86"/>
    </row>
    <row r="396" spans="1:1" s="90" customFormat="1" x14ac:dyDescent="0.2">
      <c r="A396" s="86"/>
    </row>
    <row r="397" spans="1:1" s="90" customFormat="1" x14ac:dyDescent="0.2">
      <c r="A397" s="86"/>
    </row>
    <row r="398" spans="1:1" s="90" customFormat="1" x14ac:dyDescent="0.2">
      <c r="A398" s="86"/>
    </row>
    <row r="399" spans="1:1" s="90" customFormat="1" x14ac:dyDescent="0.2">
      <c r="A399" s="86"/>
    </row>
    <row r="400" spans="1:1" s="90" customFormat="1" x14ac:dyDescent="0.2">
      <c r="A400" s="86"/>
    </row>
    <row r="401" spans="1:1" s="90" customFormat="1" x14ac:dyDescent="0.2">
      <c r="A401" s="86"/>
    </row>
    <row r="402" spans="1:1" s="90" customFormat="1" x14ac:dyDescent="0.2">
      <c r="A402" s="86"/>
    </row>
    <row r="403" spans="1:1" s="90" customFormat="1" x14ac:dyDescent="0.2">
      <c r="A403" s="86"/>
    </row>
    <row r="404" spans="1:1" s="90" customFormat="1" x14ac:dyDescent="0.2">
      <c r="A404" s="86"/>
    </row>
    <row r="405" spans="1:1" s="90" customFormat="1" x14ac:dyDescent="0.2">
      <c r="A405" s="86"/>
    </row>
    <row r="406" spans="1:1" s="90" customFormat="1" x14ac:dyDescent="0.2">
      <c r="A406" s="86"/>
    </row>
    <row r="407" spans="1:1" s="90" customFormat="1" x14ac:dyDescent="0.2">
      <c r="A407" s="86"/>
    </row>
    <row r="408" spans="1:1" s="90" customFormat="1" x14ac:dyDescent="0.2">
      <c r="A408" s="86"/>
    </row>
    <row r="409" spans="1:1" s="90" customFormat="1" x14ac:dyDescent="0.2">
      <c r="A409" s="86"/>
    </row>
    <row r="410" spans="1:1" s="90" customFormat="1" x14ac:dyDescent="0.2">
      <c r="A410" s="86"/>
    </row>
    <row r="411" spans="1:1" s="90" customFormat="1" x14ac:dyDescent="0.2">
      <c r="A411" s="86"/>
    </row>
    <row r="412" spans="1:1" s="90" customFormat="1" x14ac:dyDescent="0.2">
      <c r="A412" s="86"/>
    </row>
    <row r="413" spans="1:1" s="90" customFormat="1" x14ac:dyDescent="0.2">
      <c r="A413" s="86"/>
    </row>
    <row r="414" spans="1:1" s="90" customFormat="1" x14ac:dyDescent="0.2">
      <c r="A414" s="86"/>
    </row>
    <row r="415" spans="1:1" s="90" customFormat="1" x14ac:dyDescent="0.2">
      <c r="A415" s="86"/>
    </row>
    <row r="416" spans="1:1" s="90" customFormat="1" x14ac:dyDescent="0.2">
      <c r="A416" s="86"/>
    </row>
    <row r="417" spans="1:1" s="90" customFormat="1" x14ac:dyDescent="0.2">
      <c r="A417" s="86"/>
    </row>
    <row r="418" spans="1:1" s="90" customFormat="1" x14ac:dyDescent="0.2">
      <c r="A418" s="86"/>
    </row>
    <row r="419" spans="1:1" s="90" customFormat="1" x14ac:dyDescent="0.2">
      <c r="A419" s="86"/>
    </row>
    <row r="420" spans="1:1" s="90" customFormat="1" x14ac:dyDescent="0.2">
      <c r="A420" s="86"/>
    </row>
    <row r="421" spans="1:1" s="90" customFormat="1" x14ac:dyDescent="0.2">
      <c r="A421" s="86"/>
    </row>
    <row r="422" spans="1:1" s="90" customFormat="1" x14ac:dyDescent="0.2">
      <c r="A422" s="86"/>
    </row>
  </sheetData>
  <sheetProtection sheet="1" objects="1" scenarios="1"/>
  <mergeCells count="417">
    <mergeCell ref="L1:Y2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X16:Y16"/>
    <mergeCell ref="H34:I34"/>
    <mergeCell ref="D12:E12"/>
    <mergeCell ref="D14:E14"/>
    <mergeCell ref="J37:K37"/>
    <mergeCell ref="H36:I36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F31:G31"/>
    <mergeCell ref="H31:I31"/>
    <mergeCell ref="J31:K31"/>
    <mergeCell ref="F28:G28"/>
    <mergeCell ref="H30:I30"/>
    <mergeCell ref="H29:I29"/>
    <mergeCell ref="F29:G29"/>
    <mergeCell ref="F30:G30"/>
    <mergeCell ref="F25:G25"/>
    <mergeCell ref="H25:I25"/>
    <mergeCell ref="D15:E15"/>
    <mergeCell ref="D17:E17"/>
    <mergeCell ref="D18:E18"/>
    <mergeCell ref="D19:E19"/>
    <mergeCell ref="D21:E21"/>
    <mergeCell ref="D22:E22"/>
    <mergeCell ref="J18:K18"/>
    <mergeCell ref="H15:I15"/>
    <mergeCell ref="J15:K15"/>
    <mergeCell ref="J21:K21"/>
    <mergeCell ref="J20:K20"/>
    <mergeCell ref="F20:G20"/>
    <mergeCell ref="H20:I20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J25:K25"/>
    <mergeCell ref="J29:K29"/>
    <mergeCell ref="J26:K26"/>
    <mergeCell ref="H26:I26"/>
    <mergeCell ref="F26:G26"/>
    <mergeCell ref="F27:G27"/>
    <mergeCell ref="H27:I27"/>
    <mergeCell ref="J27:K27"/>
    <mergeCell ref="R20:S20"/>
    <mergeCell ref="R25:S25"/>
    <mergeCell ref="R23:S23"/>
    <mergeCell ref="R24:S24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V22:W22"/>
    <mergeCell ref="V23:W23"/>
    <mergeCell ref="P22:Q22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P26:Q26"/>
    <mergeCell ref="N26:O26"/>
    <mergeCell ref="N28:O28"/>
    <mergeCell ref="P24:Q24"/>
    <mergeCell ref="P25:Q25"/>
    <mergeCell ref="N24:O24"/>
    <mergeCell ref="N25:O25"/>
    <mergeCell ref="P28:Q28"/>
    <mergeCell ref="L29:M29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T20:U20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10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 x14ac:dyDescent="0.15"/>
  <cols>
    <col min="1" max="1" width="11.6640625" bestFit="1" customWidth="1"/>
    <col min="2" max="4" width="7.6640625" style="2" bestFit="1" customWidth="1"/>
    <col min="5" max="5" width="8.6640625" style="2" bestFit="1" customWidth="1"/>
    <col min="6" max="6" width="2.5" customWidth="1"/>
    <col min="7" max="9" width="7.6640625" bestFit="1" customWidth="1"/>
    <col min="10" max="10" width="8.33203125" bestFit="1" customWidth="1"/>
    <col min="11" max="11" width="1.6640625" customWidth="1"/>
    <col min="12" max="14" width="7.6640625" bestFit="1" customWidth="1"/>
    <col min="15" max="15" width="8.33203125" bestFit="1" customWidth="1"/>
    <col min="16" max="16" width="1.83203125" customWidth="1"/>
    <col min="17" max="19" width="7.6640625" bestFit="1" customWidth="1"/>
    <col min="20" max="20" width="8.33203125" bestFit="1" customWidth="1"/>
  </cols>
  <sheetData>
    <row r="1" spans="1:20" x14ac:dyDescent="0.15">
      <c r="A1" s="381" t="s">
        <v>85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</row>
    <row r="2" spans="1:20" x14ac:dyDescent="0.15">
      <c r="B2" s="2" t="s">
        <v>2</v>
      </c>
      <c r="C2" s="2" t="s">
        <v>68</v>
      </c>
      <c r="D2" s="2" t="s">
        <v>4</v>
      </c>
      <c r="E2" s="2" t="s">
        <v>69</v>
      </c>
    </row>
    <row r="3" spans="1:20" x14ac:dyDescent="0.15">
      <c r="A3" s="1" t="s">
        <v>70</v>
      </c>
      <c r="B3" s="3">
        <f>Conventional!$B$30</f>
        <v>694.28966363636368</v>
      </c>
      <c r="C3" s="3">
        <f>Conventional!$D$30</f>
        <v>807.13298437500009</v>
      </c>
      <c r="D3" s="3">
        <f>Conventional!$F$30</f>
        <v>991.38681250000013</v>
      </c>
      <c r="E3" s="3">
        <f>Conventional!$H$30</f>
        <v>405.14216781250002</v>
      </c>
    </row>
    <row r="4" spans="1:20" x14ac:dyDescent="0.15">
      <c r="A4" s="1" t="s">
        <v>71</v>
      </c>
      <c r="B4" s="4">
        <f>Conventional!$B$7</f>
        <v>1200</v>
      </c>
      <c r="C4" s="4">
        <f>Conventional!$D$7</f>
        <v>4700</v>
      </c>
      <c r="D4" s="4">
        <f>Conventional!$F$7</f>
        <v>200</v>
      </c>
      <c r="E4" s="4">
        <f>Conventional!$H$7</f>
        <v>60</v>
      </c>
    </row>
    <row r="5" spans="1:20" s="5" customFormat="1" x14ac:dyDescent="0.15">
      <c r="B5" s="382" t="s">
        <v>74</v>
      </c>
      <c r="C5" s="382"/>
      <c r="D5" s="382"/>
      <c r="E5" s="382"/>
      <c r="G5" s="383" t="s">
        <v>75</v>
      </c>
      <c r="H5" s="383"/>
      <c r="I5" s="383"/>
      <c r="J5" s="383"/>
      <c r="L5" s="384" t="s">
        <v>76</v>
      </c>
      <c r="M5" s="384"/>
      <c r="N5" s="384"/>
      <c r="O5" s="384"/>
      <c r="Q5" s="385" t="s">
        <v>77</v>
      </c>
      <c r="R5" s="385"/>
      <c r="S5" s="385"/>
      <c r="T5" s="385"/>
    </row>
    <row r="6" spans="1:20" s="7" customFormat="1" ht="28" x14ac:dyDescent="0.15">
      <c r="A6" s="6"/>
      <c r="B6" s="23" t="s">
        <v>50</v>
      </c>
      <c r="C6" s="31" t="s">
        <v>78</v>
      </c>
      <c r="D6" s="31" t="s">
        <v>47</v>
      </c>
      <c r="E6" s="31" t="s">
        <v>79</v>
      </c>
      <c r="F6" s="27"/>
      <c r="G6" s="30" t="s">
        <v>50</v>
      </c>
      <c r="H6" s="24" t="s">
        <v>78</v>
      </c>
      <c r="I6" s="30" t="s">
        <v>47</v>
      </c>
      <c r="J6" s="30" t="s">
        <v>79</v>
      </c>
      <c r="K6" s="27"/>
      <c r="L6" s="29" t="s">
        <v>50</v>
      </c>
      <c r="M6" s="29" t="s">
        <v>78</v>
      </c>
      <c r="N6" s="25" t="s">
        <v>47</v>
      </c>
      <c r="O6" s="29" t="s">
        <v>79</v>
      </c>
      <c r="P6" s="27"/>
      <c r="Q6" s="28" t="s">
        <v>50</v>
      </c>
      <c r="R6" s="28" t="s">
        <v>78</v>
      </c>
      <c r="S6" s="26" t="s">
        <v>47</v>
      </c>
      <c r="T6" s="28" t="s">
        <v>79</v>
      </c>
    </row>
    <row r="7" spans="1:20" x14ac:dyDescent="0.15">
      <c r="B7" s="16">
        <f t="shared" ref="B7:B12" si="0">B8-0.025</f>
        <v>0.60499999999999987</v>
      </c>
      <c r="C7" s="17">
        <f t="shared" ref="C7:C21" si="1">(((B7*$B$4)-$B$3+$C$3)/$C$4)*2000</f>
        <v>356.95460456963247</v>
      </c>
      <c r="D7" s="16">
        <f t="shared" ref="D7:D21" si="2">(((B7*$B$4)-$B$3+$D$3)/$D$4)</f>
        <v>5.1154857443181818</v>
      </c>
      <c r="E7" s="16">
        <f>(((B7*$B$4)-$B$3+$E$3)/$E$4)</f>
        <v>7.2808750696022706</v>
      </c>
      <c r="G7" s="18">
        <f>(((H7*$C$4/2000)-$C$3+$B$3)/$B$4)</f>
        <v>0.69908889938446961</v>
      </c>
      <c r="H7" s="19">
        <f t="shared" ref="H7:H12" si="3">H8-10</f>
        <v>405</v>
      </c>
      <c r="I7" s="18">
        <f>(((H7*$C$4/2000)-$C$3+$D$3)/$D$4)</f>
        <v>5.6800191406249994</v>
      </c>
      <c r="J7" s="18">
        <f>(((H7*$C$4/2000)-$C$3+$E$3)/$E$4)</f>
        <v>9.1626530572916653</v>
      </c>
      <c r="L7" s="12">
        <f>(((N7*$D$4)-$D$3+$B$3)/$B$4)</f>
        <v>0.71075237594696927</v>
      </c>
      <c r="M7" s="13">
        <f>(((N7*$D$4)-$D$3+$C$3)/$C$4)*2000</f>
        <v>410.95581781914876</v>
      </c>
      <c r="N7" s="12">
        <f t="shared" ref="N7:N12" si="4">N8-0.15</f>
        <v>5.7499999999999973</v>
      </c>
      <c r="O7" s="12">
        <f>(((N7*$D$4)-$D$3+$E$3)/$E$4)</f>
        <v>9.3959225885416569</v>
      </c>
      <c r="Q7" s="8">
        <f>(((T7*$E$4)-$E$3+$B$3)/$B$4)</f>
        <v>0.80845624651988657</v>
      </c>
      <c r="R7" s="9">
        <f>(((T7*$E$4)-$E$3+$C$3)/$C$4)*2000</f>
        <v>460.84715598404262</v>
      </c>
      <c r="S7" s="8">
        <f>(((T7*$E$4)-$E$3+$D$3)/$D$4)</f>
        <v>6.3362232234375018</v>
      </c>
      <c r="T7" s="8">
        <f t="shared" ref="T7:T12" si="5">T8-0.35</f>
        <v>11.350000000000003</v>
      </c>
    </row>
    <row r="8" spans="1:20" x14ac:dyDescent="0.15">
      <c r="B8" s="16">
        <f t="shared" si="0"/>
        <v>0.62999999999999989</v>
      </c>
      <c r="C8" s="17">
        <f t="shared" si="1"/>
        <v>369.72056201644097</v>
      </c>
      <c r="D8" s="16">
        <f t="shared" si="2"/>
        <v>5.2654857443181822</v>
      </c>
      <c r="E8" s="16">
        <f>(((B8*$B$4)-$B$3+$E$3)/$E$4)</f>
        <v>7.7808750696022706</v>
      </c>
      <c r="G8" s="18">
        <f t="shared" ref="G8:G21" si="6">(((H8*$C$4/2000)-$C$3+$B$3)/$B$4)</f>
        <v>0.71867223271780301</v>
      </c>
      <c r="H8" s="19">
        <f t="shared" si="3"/>
        <v>415</v>
      </c>
      <c r="I8" s="18">
        <f t="shared" ref="I8:I21" si="7">(((H8*$C$4/2000)-$C$3+$D$3)/$D$4)</f>
        <v>5.797519140625</v>
      </c>
      <c r="J8" s="18">
        <f t="shared" ref="J8:J21" si="8">(((H8*$C$4/2000)-$C$3+$E$3)/$E$4)</f>
        <v>9.5543197239583328</v>
      </c>
      <c r="L8" s="12">
        <f t="shared" ref="L8:L21" si="9">(((N8*$D$4)-$D$3+$B$3)/$B$4)</f>
        <v>0.73575237594696929</v>
      </c>
      <c r="M8" s="13">
        <f t="shared" ref="M8:M21" si="10">(((N8*$D$4)-$D$3+$C$3)/$C$4)*2000</f>
        <v>423.72177526595721</v>
      </c>
      <c r="N8" s="12">
        <f t="shared" si="4"/>
        <v>5.8999999999999977</v>
      </c>
      <c r="O8" s="12">
        <f t="shared" ref="O8:O21" si="11">(((N8*$D$4)-$D$3+$E$3)/$E$4)</f>
        <v>9.8959225885416569</v>
      </c>
      <c r="Q8" s="8">
        <f t="shared" ref="Q8:Q21" si="12">(((T8*$E$4)-$E$3+$B$3)/$B$4)</f>
        <v>0.82595624651988653</v>
      </c>
      <c r="R8" s="9">
        <f t="shared" ref="R8:R21" si="13">(((T8*$E$4)-$E$3+$C$3)/$C$4)*2000</f>
        <v>469.78332619680856</v>
      </c>
      <c r="S8" s="8">
        <f t="shared" ref="S8:S21" si="14">(((T8*$E$4)-$E$3+$D$3)/$D$4)</f>
        <v>6.4412232234375013</v>
      </c>
      <c r="T8" s="8">
        <f t="shared" si="5"/>
        <v>11.700000000000003</v>
      </c>
    </row>
    <row r="9" spans="1:20" x14ac:dyDescent="0.15">
      <c r="B9" s="16">
        <f t="shared" si="0"/>
        <v>0.65499999999999992</v>
      </c>
      <c r="C9" s="17">
        <f t="shared" si="1"/>
        <v>382.48651946324946</v>
      </c>
      <c r="D9" s="16">
        <f t="shared" si="2"/>
        <v>5.4154857443181825</v>
      </c>
      <c r="E9" s="16">
        <f t="shared" ref="E9:E21" si="15">(((B9*$B$4)-$B$3+$E$3)/$E$4)</f>
        <v>8.2808750696022706</v>
      </c>
      <c r="G9" s="18">
        <f t="shared" si="6"/>
        <v>0.73825556605113629</v>
      </c>
      <c r="H9" s="19">
        <f t="shared" si="3"/>
        <v>425</v>
      </c>
      <c r="I9" s="18">
        <f t="shared" si="7"/>
        <v>5.9150191406249997</v>
      </c>
      <c r="J9" s="18">
        <f t="shared" si="8"/>
        <v>9.9459863906249986</v>
      </c>
      <c r="L9" s="12">
        <f t="shared" si="9"/>
        <v>0.76075237594696921</v>
      </c>
      <c r="M9" s="13">
        <f t="shared" si="10"/>
        <v>436.48773271276582</v>
      </c>
      <c r="N9" s="12">
        <f t="shared" si="4"/>
        <v>6.049999999999998</v>
      </c>
      <c r="O9" s="12">
        <f t="shared" si="11"/>
        <v>10.395922588541657</v>
      </c>
      <c r="Q9" s="8">
        <f t="shared" si="12"/>
        <v>0.84345624651988649</v>
      </c>
      <c r="R9" s="9">
        <f t="shared" si="13"/>
        <v>478.71949640957456</v>
      </c>
      <c r="S9" s="8">
        <f t="shared" si="14"/>
        <v>6.5462232234375008</v>
      </c>
      <c r="T9" s="8">
        <f t="shared" si="5"/>
        <v>12.050000000000002</v>
      </c>
    </row>
    <row r="10" spans="1:20" x14ac:dyDescent="0.15">
      <c r="B10" s="16">
        <f t="shared" si="0"/>
        <v>0.67999999999999994</v>
      </c>
      <c r="C10" s="17">
        <f t="shared" si="1"/>
        <v>395.25247691005796</v>
      </c>
      <c r="D10" s="16">
        <f t="shared" si="2"/>
        <v>5.565485744318182</v>
      </c>
      <c r="E10" s="16">
        <f t="shared" si="15"/>
        <v>8.7808750696022706</v>
      </c>
      <c r="G10" s="18">
        <f t="shared" si="6"/>
        <v>0.75783889938446969</v>
      </c>
      <c r="H10" s="19">
        <f t="shared" si="3"/>
        <v>435</v>
      </c>
      <c r="I10" s="18">
        <f t="shared" si="7"/>
        <v>6.0325191406249994</v>
      </c>
      <c r="J10" s="18">
        <f t="shared" si="8"/>
        <v>10.337653057291666</v>
      </c>
      <c r="L10" s="12">
        <f t="shared" si="9"/>
        <v>0.78575237594696945</v>
      </c>
      <c r="M10" s="13">
        <f t="shared" si="10"/>
        <v>449.25369015957426</v>
      </c>
      <c r="N10" s="12">
        <f t="shared" si="4"/>
        <v>6.1999999999999984</v>
      </c>
      <c r="O10" s="12">
        <f t="shared" si="11"/>
        <v>10.89592258854166</v>
      </c>
      <c r="Q10" s="8">
        <f t="shared" si="12"/>
        <v>0.86095624651988634</v>
      </c>
      <c r="R10" s="9">
        <f t="shared" si="13"/>
        <v>487.6556666223405</v>
      </c>
      <c r="S10" s="8">
        <f t="shared" si="14"/>
        <v>6.6512232234375004</v>
      </c>
      <c r="T10" s="8">
        <f t="shared" si="5"/>
        <v>12.400000000000002</v>
      </c>
    </row>
    <row r="11" spans="1:20" x14ac:dyDescent="0.15">
      <c r="B11" s="16">
        <f t="shared" si="0"/>
        <v>0.70499999999999996</v>
      </c>
      <c r="C11" s="17">
        <f t="shared" si="1"/>
        <v>408.01843435686658</v>
      </c>
      <c r="D11" s="16">
        <f t="shared" si="2"/>
        <v>5.7154857443181823</v>
      </c>
      <c r="E11" s="16">
        <f t="shared" si="15"/>
        <v>9.2808750696022724</v>
      </c>
      <c r="G11" s="18">
        <f t="shared" si="6"/>
        <v>0.77742223271780297</v>
      </c>
      <c r="H11" s="19">
        <f t="shared" si="3"/>
        <v>445</v>
      </c>
      <c r="I11" s="18">
        <f t="shared" si="7"/>
        <v>6.150019140625</v>
      </c>
      <c r="J11" s="18">
        <f t="shared" si="8"/>
        <v>10.729319723958332</v>
      </c>
      <c r="L11" s="12">
        <f t="shared" si="9"/>
        <v>0.81075237594696947</v>
      </c>
      <c r="M11" s="13">
        <f t="shared" si="10"/>
        <v>462.01964760638282</v>
      </c>
      <c r="N11" s="12">
        <f t="shared" si="4"/>
        <v>6.3499999999999988</v>
      </c>
      <c r="O11" s="12">
        <f t="shared" si="11"/>
        <v>11.39592258854166</v>
      </c>
      <c r="Q11" s="8">
        <f t="shared" si="12"/>
        <v>0.87845624651988641</v>
      </c>
      <c r="R11" s="9">
        <f t="shared" si="13"/>
        <v>496.59183683510645</v>
      </c>
      <c r="S11" s="8">
        <f t="shared" si="14"/>
        <v>6.7562232234375008</v>
      </c>
      <c r="T11" s="8">
        <f t="shared" si="5"/>
        <v>12.750000000000002</v>
      </c>
    </row>
    <row r="12" spans="1:20" x14ac:dyDescent="0.15">
      <c r="B12" s="16">
        <f t="shared" si="0"/>
        <v>0.73</v>
      </c>
      <c r="C12" s="17">
        <f t="shared" si="1"/>
        <v>420.78439180367508</v>
      </c>
      <c r="D12" s="16">
        <f t="shared" si="2"/>
        <v>5.8654857443181818</v>
      </c>
      <c r="E12" s="16">
        <f t="shared" si="15"/>
        <v>9.7808750696022724</v>
      </c>
      <c r="G12" s="18">
        <f t="shared" si="6"/>
        <v>0.79700556605113637</v>
      </c>
      <c r="H12" s="19">
        <f t="shared" si="3"/>
        <v>455</v>
      </c>
      <c r="I12" s="18">
        <f t="shared" si="7"/>
        <v>6.2675191406249997</v>
      </c>
      <c r="J12" s="18">
        <f t="shared" si="8"/>
        <v>11.120986390624999</v>
      </c>
      <c r="L12" s="12">
        <f t="shared" si="9"/>
        <v>0.83575237594696938</v>
      </c>
      <c r="M12" s="13">
        <f t="shared" si="10"/>
        <v>474.78560505319132</v>
      </c>
      <c r="N12" s="12">
        <f t="shared" si="4"/>
        <v>6.4999999999999991</v>
      </c>
      <c r="O12" s="12">
        <f t="shared" si="11"/>
        <v>11.89592258854166</v>
      </c>
      <c r="Q12" s="8">
        <f t="shared" si="12"/>
        <v>0.89595624651988637</v>
      </c>
      <c r="R12" s="9">
        <f t="shared" si="13"/>
        <v>505.52800704787239</v>
      </c>
      <c r="S12" s="8">
        <f t="shared" si="14"/>
        <v>6.8612232234375004</v>
      </c>
      <c r="T12" s="8">
        <f t="shared" si="5"/>
        <v>13.100000000000001</v>
      </c>
    </row>
    <row r="13" spans="1:20" ht="14" thickBot="1" x14ac:dyDescent="0.2">
      <c r="B13" s="16">
        <f>B14-0.025</f>
        <v>0.755</v>
      </c>
      <c r="C13" s="17">
        <f t="shared" si="1"/>
        <v>433.55034925048358</v>
      </c>
      <c r="D13" s="16">
        <f t="shared" si="2"/>
        <v>6.0154857443181822</v>
      </c>
      <c r="E13" s="16">
        <f t="shared" si="15"/>
        <v>10.280875069602272</v>
      </c>
      <c r="G13" s="18">
        <f t="shared" si="6"/>
        <v>0.81658889938446966</v>
      </c>
      <c r="H13" s="19">
        <f>H14-10</f>
        <v>465</v>
      </c>
      <c r="I13" s="18">
        <f t="shared" si="7"/>
        <v>6.3850191406249994</v>
      </c>
      <c r="J13" s="18">
        <f t="shared" si="8"/>
        <v>11.512653057291665</v>
      </c>
      <c r="L13" s="12">
        <f t="shared" si="9"/>
        <v>0.86075237594696963</v>
      </c>
      <c r="M13" s="13">
        <f t="shared" si="10"/>
        <v>487.55156250000005</v>
      </c>
      <c r="N13" s="12">
        <f>N14-0.15</f>
        <v>6.6499999999999995</v>
      </c>
      <c r="O13" s="12">
        <f t="shared" si="11"/>
        <v>12.395922588541664</v>
      </c>
      <c r="Q13" s="8">
        <f t="shared" si="12"/>
        <v>0.91345624651988644</v>
      </c>
      <c r="R13" s="9">
        <f t="shared" si="13"/>
        <v>514.46417726063839</v>
      </c>
      <c r="S13" s="8">
        <f t="shared" si="14"/>
        <v>6.9662232234375008</v>
      </c>
      <c r="T13" s="8">
        <f>T14-0.35</f>
        <v>13.450000000000001</v>
      </c>
    </row>
    <row r="14" spans="1:20" ht="14" thickBot="1" x14ac:dyDescent="0.2">
      <c r="B14" s="22">
        <f>Conventional!$B$8</f>
        <v>0.78</v>
      </c>
      <c r="C14" s="17">
        <f>(((B14*$B$4)-$B$3+$C$3)/$C$4)*2000</f>
        <v>446.31630669729213</v>
      </c>
      <c r="D14" s="16">
        <f t="shared" si="2"/>
        <v>6.1654857443181825</v>
      </c>
      <c r="E14" s="16">
        <f t="shared" si="15"/>
        <v>10.780875069602272</v>
      </c>
      <c r="G14" s="18">
        <f t="shared" si="6"/>
        <v>0.83617223271780294</v>
      </c>
      <c r="H14" s="20">
        <f>Conventional!$D$8</f>
        <v>475</v>
      </c>
      <c r="I14" s="18">
        <f t="shared" si="7"/>
        <v>6.502519140625</v>
      </c>
      <c r="J14" s="18">
        <f t="shared" si="8"/>
        <v>11.904319723958332</v>
      </c>
      <c r="L14" s="12">
        <f t="shared" si="9"/>
        <v>0.88575237594696965</v>
      </c>
      <c r="M14" s="13">
        <f t="shared" si="10"/>
        <v>500.31751994680849</v>
      </c>
      <c r="N14" s="14">
        <f>Conventional!$F$8</f>
        <v>6.8</v>
      </c>
      <c r="O14" s="12">
        <f t="shared" si="11"/>
        <v>12.895922588541664</v>
      </c>
      <c r="Q14" s="8">
        <f t="shared" si="12"/>
        <v>0.9309562465198864</v>
      </c>
      <c r="R14" s="9">
        <f t="shared" si="13"/>
        <v>523.40034747340439</v>
      </c>
      <c r="S14" s="8">
        <f t="shared" si="14"/>
        <v>7.0712232234375003</v>
      </c>
      <c r="T14" s="10">
        <f>Conventional!$H$8</f>
        <v>13.8</v>
      </c>
    </row>
    <row r="15" spans="1:20" x14ac:dyDescent="0.15">
      <c r="B15" s="16">
        <f>B14+0.025</f>
        <v>0.80500000000000005</v>
      </c>
      <c r="C15" s="17">
        <f t="shared" si="1"/>
        <v>459.08226414410063</v>
      </c>
      <c r="D15" s="16">
        <f t="shared" si="2"/>
        <v>6.315485744318182</v>
      </c>
      <c r="E15" s="16">
        <f t="shared" si="15"/>
        <v>11.280875069602274</v>
      </c>
      <c r="G15" s="18">
        <f t="shared" si="6"/>
        <v>0.85575556605113623</v>
      </c>
      <c r="H15" s="19">
        <f>H14+10</f>
        <v>485</v>
      </c>
      <c r="I15" s="18">
        <f t="shared" si="7"/>
        <v>6.6200191406249997</v>
      </c>
      <c r="J15" s="18">
        <f t="shared" si="8"/>
        <v>12.295986390624998</v>
      </c>
      <c r="L15" s="12">
        <f t="shared" si="9"/>
        <v>0.91075237594696967</v>
      </c>
      <c r="M15" s="13">
        <f t="shared" si="10"/>
        <v>513.08347739361704</v>
      </c>
      <c r="N15" s="12">
        <f>N14+0.15</f>
        <v>6.95</v>
      </c>
      <c r="O15" s="12">
        <f t="shared" si="11"/>
        <v>13.395922588541664</v>
      </c>
      <c r="Q15" s="8">
        <f t="shared" si="12"/>
        <v>0.94845624651988636</v>
      </c>
      <c r="R15" s="9">
        <f t="shared" si="13"/>
        <v>532.33651768617028</v>
      </c>
      <c r="S15" s="8">
        <f t="shared" si="14"/>
        <v>7.1762232234375007</v>
      </c>
      <c r="T15" s="8">
        <f>T14+0.35</f>
        <v>14.15</v>
      </c>
    </row>
    <row r="16" spans="1:20" x14ac:dyDescent="0.15">
      <c r="B16" s="16">
        <f t="shared" ref="B16:B21" si="16">B15+0.025</f>
        <v>0.83000000000000007</v>
      </c>
      <c r="C16" s="17">
        <f t="shared" si="1"/>
        <v>471.84822159090919</v>
      </c>
      <c r="D16" s="16">
        <f t="shared" si="2"/>
        <v>6.4654857443181823</v>
      </c>
      <c r="E16" s="16">
        <f t="shared" si="15"/>
        <v>11.780875069602274</v>
      </c>
      <c r="G16" s="18">
        <f t="shared" si="6"/>
        <v>0.87533889938446952</v>
      </c>
      <c r="H16" s="19">
        <f t="shared" ref="H16:H21" si="17">H15+10</f>
        <v>495</v>
      </c>
      <c r="I16" s="18">
        <f t="shared" si="7"/>
        <v>6.7375191406249995</v>
      </c>
      <c r="J16" s="18">
        <f t="shared" si="8"/>
        <v>12.687653057291666</v>
      </c>
      <c r="L16" s="12">
        <f t="shared" si="9"/>
        <v>0.93575237594696958</v>
      </c>
      <c r="M16" s="13">
        <f t="shared" si="10"/>
        <v>525.8494348404256</v>
      </c>
      <c r="N16" s="12">
        <f t="shared" ref="N16:N21" si="18">N15+0.15</f>
        <v>7.1000000000000005</v>
      </c>
      <c r="O16" s="12">
        <f t="shared" si="11"/>
        <v>13.895922588541664</v>
      </c>
      <c r="Q16" s="8">
        <f t="shared" si="12"/>
        <v>0.96595624651988643</v>
      </c>
      <c r="R16" s="9">
        <f t="shared" si="13"/>
        <v>541.27268789893628</v>
      </c>
      <c r="S16" s="8">
        <f t="shared" si="14"/>
        <v>7.2812232234375003</v>
      </c>
      <c r="T16" s="8">
        <f t="shared" ref="T16:T21" si="19">T15+0.35</f>
        <v>14.5</v>
      </c>
    </row>
    <row r="17" spans="1:20" x14ac:dyDescent="0.15">
      <c r="B17" s="16">
        <f t="shared" si="16"/>
        <v>0.85500000000000009</v>
      </c>
      <c r="C17" s="17">
        <f t="shared" si="1"/>
        <v>484.61417903771769</v>
      </c>
      <c r="D17" s="16">
        <f t="shared" si="2"/>
        <v>6.6154857443181818</v>
      </c>
      <c r="E17" s="16">
        <f t="shared" si="15"/>
        <v>12.280875069602272</v>
      </c>
      <c r="G17" s="18">
        <f t="shared" si="6"/>
        <v>0.89492223271780291</v>
      </c>
      <c r="H17" s="19">
        <f t="shared" si="17"/>
        <v>505</v>
      </c>
      <c r="I17" s="18">
        <f t="shared" si="7"/>
        <v>6.8550191406250001</v>
      </c>
      <c r="J17" s="18">
        <f t="shared" si="8"/>
        <v>13.079319723958331</v>
      </c>
      <c r="L17" s="12">
        <f t="shared" si="9"/>
        <v>0.96075237594696983</v>
      </c>
      <c r="M17" s="13">
        <f t="shared" si="10"/>
        <v>538.61539228723404</v>
      </c>
      <c r="N17" s="12">
        <f t="shared" si="18"/>
        <v>7.2500000000000009</v>
      </c>
      <c r="O17" s="12">
        <f t="shared" si="11"/>
        <v>14.395922588541669</v>
      </c>
      <c r="Q17" s="8">
        <f t="shared" si="12"/>
        <v>0.98345624651988639</v>
      </c>
      <c r="R17" s="9">
        <f t="shared" si="13"/>
        <v>550.20885811170217</v>
      </c>
      <c r="S17" s="8">
        <f t="shared" si="14"/>
        <v>7.3862232234375007</v>
      </c>
      <c r="T17" s="8">
        <f t="shared" si="19"/>
        <v>14.85</v>
      </c>
    </row>
    <row r="18" spans="1:20" x14ac:dyDescent="0.15">
      <c r="B18" s="16">
        <f t="shared" si="16"/>
        <v>0.88000000000000012</v>
      </c>
      <c r="C18" s="17">
        <f t="shared" si="1"/>
        <v>497.38013648452619</v>
      </c>
      <c r="D18" s="16">
        <f t="shared" si="2"/>
        <v>6.7654857443181831</v>
      </c>
      <c r="E18" s="16">
        <f t="shared" si="15"/>
        <v>12.780875069602276</v>
      </c>
      <c r="G18" s="18">
        <f t="shared" si="6"/>
        <v>0.9145055660511362</v>
      </c>
      <c r="H18" s="19">
        <f t="shared" si="17"/>
        <v>515</v>
      </c>
      <c r="I18" s="18">
        <f t="shared" si="7"/>
        <v>6.9725191406249998</v>
      </c>
      <c r="J18" s="18">
        <f t="shared" si="8"/>
        <v>13.470986390624999</v>
      </c>
      <c r="L18" s="12">
        <f t="shared" si="9"/>
        <v>0.98575237594696985</v>
      </c>
      <c r="M18" s="13">
        <f t="shared" si="10"/>
        <v>551.3813497340426</v>
      </c>
      <c r="N18" s="12">
        <f t="shared" si="18"/>
        <v>7.4000000000000012</v>
      </c>
      <c r="O18" s="12">
        <f t="shared" si="11"/>
        <v>14.895922588541669</v>
      </c>
      <c r="Q18" s="8">
        <f t="shared" si="12"/>
        <v>1.0009562465198865</v>
      </c>
      <c r="R18" s="9">
        <f t="shared" si="13"/>
        <v>559.14502832446817</v>
      </c>
      <c r="S18" s="8">
        <f t="shared" si="14"/>
        <v>7.4912232234375002</v>
      </c>
      <c r="T18" s="8">
        <f t="shared" si="19"/>
        <v>15.2</v>
      </c>
    </row>
    <row r="19" spans="1:20" x14ac:dyDescent="0.15">
      <c r="B19" s="16">
        <f t="shared" si="16"/>
        <v>0.90500000000000014</v>
      </c>
      <c r="C19" s="17">
        <f t="shared" si="1"/>
        <v>510.14609393133469</v>
      </c>
      <c r="D19" s="16">
        <f t="shared" si="2"/>
        <v>6.9154857443181834</v>
      </c>
      <c r="E19" s="16">
        <f t="shared" si="15"/>
        <v>13.280875069602276</v>
      </c>
      <c r="G19" s="18">
        <f t="shared" si="6"/>
        <v>0.9340888993844696</v>
      </c>
      <c r="H19" s="19">
        <f t="shared" si="17"/>
        <v>525</v>
      </c>
      <c r="I19" s="18">
        <f t="shared" si="7"/>
        <v>7.0900191406249995</v>
      </c>
      <c r="J19" s="18">
        <f t="shared" si="8"/>
        <v>13.862653057291665</v>
      </c>
      <c r="L19" s="12">
        <f t="shared" si="9"/>
        <v>1.0107523759469699</v>
      </c>
      <c r="M19" s="13">
        <f t="shared" si="10"/>
        <v>564.14730718085104</v>
      </c>
      <c r="N19" s="12">
        <f t="shared" si="18"/>
        <v>7.5500000000000016</v>
      </c>
      <c r="O19" s="12">
        <f t="shared" si="11"/>
        <v>15.395922588541669</v>
      </c>
      <c r="Q19" s="8">
        <f t="shared" si="12"/>
        <v>1.0184562465198863</v>
      </c>
      <c r="R19" s="9">
        <f t="shared" si="13"/>
        <v>568.08119853723406</v>
      </c>
      <c r="S19" s="8">
        <f t="shared" si="14"/>
        <v>7.5962232234375007</v>
      </c>
      <c r="T19" s="8">
        <f t="shared" si="19"/>
        <v>15.549999999999999</v>
      </c>
    </row>
    <row r="20" spans="1:20" x14ac:dyDescent="0.15">
      <c r="B20" s="16">
        <f t="shared" si="16"/>
        <v>0.93000000000000016</v>
      </c>
      <c r="C20" s="17">
        <f t="shared" si="1"/>
        <v>522.91205137814325</v>
      </c>
      <c r="D20" s="16">
        <f t="shared" si="2"/>
        <v>7.0654857443181838</v>
      </c>
      <c r="E20" s="16">
        <f t="shared" si="15"/>
        <v>13.780875069602276</v>
      </c>
      <c r="G20" s="18">
        <f t="shared" si="6"/>
        <v>0.95367223271780288</v>
      </c>
      <c r="H20" s="19">
        <f t="shared" si="17"/>
        <v>535</v>
      </c>
      <c r="I20" s="18">
        <f t="shared" si="7"/>
        <v>7.2075191406249992</v>
      </c>
      <c r="J20" s="18">
        <f t="shared" si="8"/>
        <v>14.254319723958332</v>
      </c>
      <c r="L20" s="12">
        <f t="shared" si="9"/>
        <v>1.03575237594697</v>
      </c>
      <c r="M20" s="13">
        <f t="shared" si="10"/>
        <v>576.91326462765983</v>
      </c>
      <c r="N20" s="12">
        <f t="shared" si="18"/>
        <v>7.700000000000002</v>
      </c>
      <c r="O20" s="12">
        <f t="shared" si="11"/>
        <v>15.895922588541673</v>
      </c>
      <c r="Q20" s="8">
        <f t="shared" si="12"/>
        <v>1.0359562465198864</v>
      </c>
      <c r="R20" s="9">
        <f t="shared" si="13"/>
        <v>577.01736874999995</v>
      </c>
      <c r="S20" s="8">
        <f t="shared" si="14"/>
        <v>7.7012232234375002</v>
      </c>
      <c r="T20" s="8">
        <f t="shared" si="19"/>
        <v>15.899999999999999</v>
      </c>
    </row>
    <row r="21" spans="1:20" x14ac:dyDescent="0.15">
      <c r="B21" s="16">
        <f t="shared" si="16"/>
        <v>0.95500000000000018</v>
      </c>
      <c r="C21" s="17">
        <f t="shared" si="1"/>
        <v>535.6780088249518</v>
      </c>
      <c r="D21" s="16">
        <f t="shared" si="2"/>
        <v>7.2154857443181832</v>
      </c>
      <c r="E21" s="16">
        <f t="shared" si="15"/>
        <v>14.280875069602276</v>
      </c>
      <c r="G21" s="18">
        <f t="shared" si="6"/>
        <v>0.97325556605113628</v>
      </c>
      <c r="H21" s="19">
        <f t="shared" si="17"/>
        <v>545</v>
      </c>
      <c r="I21" s="18">
        <f t="shared" si="7"/>
        <v>7.3250191406249998</v>
      </c>
      <c r="J21" s="18">
        <f t="shared" si="8"/>
        <v>14.645986390625</v>
      </c>
      <c r="L21" s="12">
        <f t="shared" si="9"/>
        <v>1.0607523759469699</v>
      </c>
      <c r="M21" s="13">
        <f t="shared" si="10"/>
        <v>589.67922207446827</v>
      </c>
      <c r="N21" s="12">
        <f t="shared" si="18"/>
        <v>7.8500000000000023</v>
      </c>
      <c r="O21" s="12">
        <f t="shared" si="11"/>
        <v>16.395922588541673</v>
      </c>
      <c r="Q21" s="8">
        <f t="shared" si="12"/>
        <v>1.0534562465198865</v>
      </c>
      <c r="R21" s="9">
        <f t="shared" si="13"/>
        <v>585.95353896276606</v>
      </c>
      <c r="S21" s="8">
        <f t="shared" si="14"/>
        <v>7.8062232234375006</v>
      </c>
      <c r="T21" s="8">
        <f t="shared" si="19"/>
        <v>16.25</v>
      </c>
    </row>
    <row r="22" spans="1:20" x14ac:dyDescent="0.15">
      <c r="B22" s="16"/>
      <c r="C22" s="17"/>
      <c r="D22" s="16"/>
      <c r="E22" s="16"/>
      <c r="G22" s="21"/>
      <c r="H22" s="21"/>
      <c r="I22" s="21"/>
      <c r="J22" s="21"/>
      <c r="L22" s="15"/>
      <c r="M22" s="15"/>
      <c r="N22" s="15"/>
      <c r="O22" s="15"/>
      <c r="Q22" s="11"/>
      <c r="R22" s="11"/>
      <c r="S22" s="11"/>
      <c r="T22" s="11"/>
    </row>
    <row r="23" spans="1:20" x14ac:dyDescent="0.15">
      <c r="B23" s="2" t="s">
        <v>2</v>
      </c>
      <c r="C23" s="2" t="s">
        <v>68</v>
      </c>
      <c r="D23" s="2" t="s">
        <v>4</v>
      </c>
      <c r="E23" s="2" t="s">
        <v>69</v>
      </c>
      <c r="G23" s="21"/>
      <c r="H23" s="21"/>
      <c r="I23" s="21"/>
      <c r="J23" s="21"/>
      <c r="L23" s="15"/>
      <c r="M23" s="15"/>
      <c r="N23" s="15"/>
      <c r="O23" s="15"/>
      <c r="Q23" s="11"/>
      <c r="R23" s="11"/>
      <c r="S23" s="11"/>
      <c r="T23" s="11"/>
    </row>
    <row r="24" spans="1:20" x14ac:dyDescent="0.15">
      <c r="A24" s="1" t="s">
        <v>72</v>
      </c>
      <c r="B24" s="49">
        <f>Conventional!$L$30</f>
        <v>555.05786789772731</v>
      </c>
      <c r="C24" s="49">
        <f>Conventional!$N$30</f>
        <v>687.20049999999992</v>
      </c>
      <c r="D24" s="49">
        <f>Conventional!$P$30</f>
        <v>478.18485031249998</v>
      </c>
      <c r="E24" s="49">
        <f>Conventional!$R$30</f>
        <v>325.45332312500005</v>
      </c>
      <c r="G24" s="21"/>
      <c r="H24" s="21"/>
      <c r="I24" s="21"/>
      <c r="J24" s="21"/>
      <c r="L24" s="15"/>
      <c r="M24" s="15"/>
      <c r="N24" s="15"/>
      <c r="O24" s="15"/>
      <c r="Q24" s="11"/>
      <c r="R24" s="11"/>
      <c r="S24" s="11"/>
      <c r="T24" s="11"/>
    </row>
    <row r="25" spans="1:20" x14ac:dyDescent="0.15">
      <c r="A25" s="1" t="s">
        <v>73</v>
      </c>
      <c r="B25" s="4">
        <f>Conventional!$L$7</f>
        <v>750</v>
      </c>
      <c r="C25" s="4">
        <f>Conventional!$N$7</f>
        <v>3400</v>
      </c>
      <c r="D25" s="4">
        <f>Conventional!$P$7</f>
        <v>85</v>
      </c>
      <c r="E25" s="4">
        <f>Conventional!$R$7</f>
        <v>30</v>
      </c>
      <c r="G25" s="21"/>
      <c r="H25" s="21"/>
      <c r="I25" s="21"/>
      <c r="J25" s="21"/>
      <c r="L25" s="15"/>
      <c r="M25" s="15"/>
      <c r="N25" s="15"/>
      <c r="O25" s="15"/>
      <c r="Q25" s="11"/>
      <c r="R25" s="11"/>
      <c r="S25" s="11"/>
      <c r="T25" s="11"/>
    </row>
    <row r="26" spans="1:20" s="5" customFormat="1" x14ac:dyDescent="0.15">
      <c r="B26" s="382" t="s">
        <v>74</v>
      </c>
      <c r="C26" s="382"/>
      <c r="D26" s="382"/>
      <c r="E26" s="382"/>
      <c r="G26" s="383" t="s">
        <v>75</v>
      </c>
      <c r="H26" s="383"/>
      <c r="I26" s="383"/>
      <c r="J26" s="383"/>
      <c r="L26" s="384" t="s">
        <v>76</v>
      </c>
      <c r="M26" s="384"/>
      <c r="N26" s="384"/>
      <c r="O26" s="384"/>
      <c r="Q26" s="385" t="s">
        <v>77</v>
      </c>
      <c r="R26" s="385"/>
      <c r="S26" s="385"/>
      <c r="T26" s="385"/>
    </row>
    <row r="27" spans="1:20" s="7" customFormat="1" ht="42" x14ac:dyDescent="0.15">
      <c r="B27" s="23" t="s">
        <v>83</v>
      </c>
      <c r="C27" s="23" t="s">
        <v>80</v>
      </c>
      <c r="D27" s="23" t="s">
        <v>81</v>
      </c>
      <c r="E27" s="23" t="s">
        <v>82</v>
      </c>
      <c r="G27" s="24" t="s">
        <v>83</v>
      </c>
      <c r="H27" s="24" t="s">
        <v>80</v>
      </c>
      <c r="I27" s="24" t="s">
        <v>81</v>
      </c>
      <c r="J27" s="24" t="s">
        <v>82</v>
      </c>
      <c r="L27" s="25" t="s">
        <v>83</v>
      </c>
      <c r="M27" s="25" t="s">
        <v>80</v>
      </c>
      <c r="N27" s="25" t="s">
        <v>81</v>
      </c>
      <c r="O27" s="25" t="s">
        <v>82</v>
      </c>
      <c r="Q27" s="26" t="s">
        <v>83</v>
      </c>
      <c r="R27" s="26" t="s">
        <v>80</v>
      </c>
      <c r="S27" s="26" t="s">
        <v>81</v>
      </c>
      <c r="T27" s="26" t="s">
        <v>82</v>
      </c>
    </row>
    <row r="28" spans="1:20" x14ac:dyDescent="0.15">
      <c r="B28" s="16">
        <f t="shared" ref="B28:B33" si="20">B29-0.025</f>
        <v>0.60499999999999987</v>
      </c>
      <c r="C28" s="17">
        <f t="shared" ref="C28:C42" si="21">(((B28*$B$25)-$B$24+$C$24)/$C$25)*2000</f>
        <v>344.64272476604265</v>
      </c>
      <c r="D28" s="16">
        <f t="shared" ref="D28:D42" si="22">(((B28*$B$25)-$B$24+$D$24)/$D$25)</f>
        <v>4.433846851938501</v>
      </c>
      <c r="E28" s="16">
        <f t="shared" ref="E28:E42" si="23">(((B28*$B$25)-$B$24+$E$24)/$E$25)</f>
        <v>7.4715151742424215</v>
      </c>
      <c r="G28" s="18">
        <f>(((H28*$C$25/2000)-$C$24+$B$24)/$B$25)</f>
        <v>0.74180982386363647</v>
      </c>
      <c r="H28" s="19">
        <f t="shared" ref="H28:H33" si="24">H29-10</f>
        <v>405</v>
      </c>
      <c r="I28" s="18">
        <f>(((H28*$C$25/2000)-$C$24+$D$24)/$D$25)</f>
        <v>5.6409923566176481</v>
      </c>
      <c r="J28" s="18">
        <f>(((H28*$C$25/2000)-$C$24+$E$24)/$E$25)</f>
        <v>10.891760770833338</v>
      </c>
      <c r="L28" s="12">
        <f>(((N28*$D$25)-$D$24+$B$24)/$B$25)</f>
        <v>0.75416402344696942</v>
      </c>
      <c r="M28" s="13">
        <f>(((N28*$D$25)-$D$24+$C$24)/$C$25)*2000</f>
        <v>410.45038216911752</v>
      </c>
      <c r="N28" s="12">
        <f t="shared" ref="N28:N33" si="25">N29-0.15</f>
        <v>5.7499999999999973</v>
      </c>
      <c r="O28" s="12">
        <f>(((N28*$D$25)-$D$24+$E$24)/$E$25)</f>
        <v>11.200615760416662</v>
      </c>
      <c r="Q28" s="8">
        <f>(((T28*$E$25)-$E$24+$B$24)/$B$25)</f>
        <v>0.7601393930303032</v>
      </c>
      <c r="R28" s="9">
        <f>(((T28*$E$25)-$E$24+$C$24)/$C$25)*2000</f>
        <v>413.08657463235289</v>
      </c>
      <c r="S28" s="8">
        <f>(((T28*$E$25)-$E$24+$D$24)/$D$25)</f>
        <v>5.802723849264706</v>
      </c>
      <c r="T28" s="8">
        <f t="shared" ref="T28:T33" si="26">T29-0.35</f>
        <v>11.350000000000003</v>
      </c>
    </row>
    <row r="29" spans="1:20" x14ac:dyDescent="0.15">
      <c r="B29" s="16">
        <f t="shared" si="20"/>
        <v>0.62999999999999989</v>
      </c>
      <c r="C29" s="17">
        <f t="shared" si="21"/>
        <v>355.6721365307485</v>
      </c>
      <c r="D29" s="16">
        <f t="shared" si="22"/>
        <v>4.6544350872326188</v>
      </c>
      <c r="E29" s="16">
        <f t="shared" si="23"/>
        <v>8.0965151742424233</v>
      </c>
      <c r="G29" s="18">
        <f t="shared" ref="G29:G42" si="27">(((H29*$C$25/2000)-$C$24+$B$24)/$B$25)</f>
        <v>0.7644764905303032</v>
      </c>
      <c r="H29" s="19">
        <f t="shared" si="24"/>
        <v>415</v>
      </c>
      <c r="I29" s="18">
        <f t="shared" ref="I29:I42" si="28">(((H29*$C$25/2000)-$C$24+$D$24)/$D$25)</f>
        <v>5.8409923566176474</v>
      </c>
      <c r="J29" s="18">
        <f t="shared" ref="J29:J42" si="29">(((H29*$C$25/2000)-$C$24+$E$24)/$E$25)</f>
        <v>11.458427437500005</v>
      </c>
      <c r="L29" s="12">
        <f t="shared" ref="L29:L42" si="30">(((N29*$D$25)-$D$24+$B$24)/$B$25)</f>
        <v>0.77116402344696966</v>
      </c>
      <c r="M29" s="13">
        <f t="shared" ref="M29:M42" si="31">(((N29*$D$25)-$D$24+$C$24)/$C$25)*2000</f>
        <v>417.95038216911752</v>
      </c>
      <c r="N29" s="12">
        <f t="shared" si="25"/>
        <v>5.8999999999999977</v>
      </c>
      <c r="O29" s="12">
        <f t="shared" ref="O29:O42" si="32">(((N29*$D$25)-$D$24+$E$24)/$E$25)</f>
        <v>11.625615760416663</v>
      </c>
      <c r="Q29" s="8">
        <f t="shared" ref="Q29:Q42" si="33">(((T29*$E$25)-$E$24+$B$24)/$B$25)</f>
        <v>0.77413939303030321</v>
      </c>
      <c r="R29" s="9">
        <f t="shared" ref="R29:R42" si="34">(((T29*$E$25)-$E$24+$C$24)/$C$25)*2000</f>
        <v>419.2630452205882</v>
      </c>
      <c r="S29" s="8">
        <f t="shared" ref="S29:S42" si="35">(((T29*$E$25)-$E$24+$D$24)/$D$25)</f>
        <v>5.9262532610294123</v>
      </c>
      <c r="T29" s="8">
        <f t="shared" si="26"/>
        <v>11.700000000000003</v>
      </c>
    </row>
    <row r="30" spans="1:20" x14ac:dyDescent="0.15">
      <c r="B30" s="16">
        <f t="shared" si="20"/>
        <v>0.65499999999999992</v>
      </c>
      <c r="C30" s="17">
        <f t="shared" si="21"/>
        <v>366.70154829545442</v>
      </c>
      <c r="D30" s="16">
        <f t="shared" si="22"/>
        <v>4.8750233225267365</v>
      </c>
      <c r="E30" s="16">
        <f t="shared" si="23"/>
        <v>8.7215151742424233</v>
      </c>
      <c r="G30" s="18">
        <f t="shared" si="27"/>
        <v>0.78714315719696981</v>
      </c>
      <c r="H30" s="19">
        <f t="shared" si="24"/>
        <v>425</v>
      </c>
      <c r="I30" s="18">
        <f t="shared" si="28"/>
        <v>6.0409923566176476</v>
      </c>
      <c r="J30" s="18">
        <f t="shared" si="29"/>
        <v>12.025094104166671</v>
      </c>
      <c r="L30" s="12">
        <f t="shared" si="30"/>
        <v>0.78816402344696967</v>
      </c>
      <c r="M30" s="13">
        <f t="shared" si="31"/>
        <v>425.45038216911757</v>
      </c>
      <c r="N30" s="12">
        <f t="shared" si="25"/>
        <v>6.049999999999998</v>
      </c>
      <c r="O30" s="12">
        <f t="shared" si="32"/>
        <v>12.050615760416665</v>
      </c>
      <c r="Q30" s="8">
        <f t="shared" si="33"/>
        <v>0.78813939303030311</v>
      </c>
      <c r="R30" s="9">
        <f t="shared" si="34"/>
        <v>425.4395158088235</v>
      </c>
      <c r="S30" s="8">
        <f t="shared" si="35"/>
        <v>6.0497826727941177</v>
      </c>
      <c r="T30" s="8">
        <f t="shared" si="26"/>
        <v>12.050000000000002</v>
      </c>
    </row>
    <row r="31" spans="1:20" x14ac:dyDescent="0.15">
      <c r="B31" s="16">
        <f t="shared" si="20"/>
        <v>0.67999999999999994</v>
      </c>
      <c r="C31" s="17">
        <f t="shared" si="21"/>
        <v>377.73096006016027</v>
      </c>
      <c r="D31" s="16">
        <f t="shared" si="22"/>
        <v>5.0956115578208543</v>
      </c>
      <c r="E31" s="16">
        <f t="shared" si="23"/>
        <v>9.3465151742424233</v>
      </c>
      <c r="G31" s="18">
        <f t="shared" si="27"/>
        <v>0.80980982386363654</v>
      </c>
      <c r="H31" s="19">
        <f t="shared" si="24"/>
        <v>435</v>
      </c>
      <c r="I31" s="18">
        <f t="shared" si="28"/>
        <v>6.2409923566176477</v>
      </c>
      <c r="J31" s="18">
        <f t="shared" si="29"/>
        <v>12.591760770833337</v>
      </c>
      <c r="L31" s="12">
        <f t="shared" si="30"/>
        <v>0.80516402344696958</v>
      </c>
      <c r="M31" s="13">
        <f t="shared" si="31"/>
        <v>432.95038216911752</v>
      </c>
      <c r="N31" s="12">
        <f t="shared" si="25"/>
        <v>6.1999999999999984</v>
      </c>
      <c r="O31" s="12">
        <f t="shared" si="32"/>
        <v>12.475615760416666</v>
      </c>
      <c r="Q31" s="8">
        <f t="shared" si="33"/>
        <v>0.80213939303030313</v>
      </c>
      <c r="R31" s="9">
        <f t="shared" si="34"/>
        <v>431.6159863970588</v>
      </c>
      <c r="S31" s="8">
        <f t="shared" si="35"/>
        <v>6.1733120845588232</v>
      </c>
      <c r="T31" s="8">
        <f t="shared" si="26"/>
        <v>12.400000000000002</v>
      </c>
    </row>
    <row r="32" spans="1:20" x14ac:dyDescent="0.15">
      <c r="B32" s="16">
        <f t="shared" si="20"/>
        <v>0.70499999999999996</v>
      </c>
      <c r="C32" s="17">
        <f t="shared" si="21"/>
        <v>388.76037182486624</v>
      </c>
      <c r="D32" s="16">
        <f t="shared" si="22"/>
        <v>5.3161997931149729</v>
      </c>
      <c r="E32" s="16">
        <f t="shared" si="23"/>
        <v>9.9715151742424251</v>
      </c>
      <c r="G32" s="18">
        <f t="shared" si="27"/>
        <v>0.83247649053030315</v>
      </c>
      <c r="H32" s="19">
        <f t="shared" si="24"/>
        <v>445</v>
      </c>
      <c r="I32" s="18">
        <f t="shared" si="28"/>
        <v>6.4409923566176479</v>
      </c>
      <c r="J32" s="18">
        <f t="shared" si="29"/>
        <v>13.158427437500004</v>
      </c>
      <c r="L32" s="12">
        <f t="shared" si="30"/>
        <v>0.82216402344696959</v>
      </c>
      <c r="M32" s="13">
        <f t="shared" si="31"/>
        <v>440.45038216911752</v>
      </c>
      <c r="N32" s="12">
        <f t="shared" si="25"/>
        <v>6.3499999999999988</v>
      </c>
      <c r="O32" s="12">
        <f t="shared" si="32"/>
        <v>12.900615760416665</v>
      </c>
      <c r="Q32" s="8">
        <f t="shared" si="33"/>
        <v>0.81613939303030303</v>
      </c>
      <c r="R32" s="9">
        <f t="shared" si="34"/>
        <v>437.79245698529405</v>
      </c>
      <c r="S32" s="8">
        <f t="shared" si="35"/>
        <v>6.2968414963235295</v>
      </c>
      <c r="T32" s="8">
        <f t="shared" si="26"/>
        <v>12.750000000000002</v>
      </c>
    </row>
    <row r="33" spans="1:20" x14ac:dyDescent="0.15">
      <c r="B33" s="16">
        <f t="shared" si="20"/>
        <v>0.73</v>
      </c>
      <c r="C33" s="17">
        <f t="shared" si="21"/>
        <v>399.7897835895721</v>
      </c>
      <c r="D33" s="16">
        <f t="shared" si="22"/>
        <v>5.5367880284090898</v>
      </c>
      <c r="E33" s="16">
        <f t="shared" si="23"/>
        <v>10.596515174242425</v>
      </c>
      <c r="G33" s="18">
        <f t="shared" si="27"/>
        <v>0.85514315719696987</v>
      </c>
      <c r="H33" s="19">
        <f t="shared" si="24"/>
        <v>455</v>
      </c>
      <c r="I33" s="18">
        <f t="shared" si="28"/>
        <v>6.6409923566176481</v>
      </c>
      <c r="J33" s="18">
        <f t="shared" si="29"/>
        <v>13.72509410416667</v>
      </c>
      <c r="L33" s="12">
        <f t="shared" si="30"/>
        <v>0.83916402344696961</v>
      </c>
      <c r="M33" s="13">
        <f t="shared" si="31"/>
        <v>447.95038216911752</v>
      </c>
      <c r="N33" s="12">
        <f t="shared" si="25"/>
        <v>6.4999999999999991</v>
      </c>
      <c r="O33" s="12">
        <f t="shared" si="32"/>
        <v>13.325615760416666</v>
      </c>
      <c r="Q33" s="8">
        <f t="shared" si="33"/>
        <v>0.83013939303030304</v>
      </c>
      <c r="R33" s="9">
        <f t="shared" si="34"/>
        <v>443.96892757352936</v>
      </c>
      <c r="S33" s="8">
        <f t="shared" si="35"/>
        <v>6.420370908088235</v>
      </c>
      <c r="T33" s="8">
        <f t="shared" si="26"/>
        <v>13.100000000000001</v>
      </c>
    </row>
    <row r="34" spans="1:20" ht="14" thickBot="1" x14ac:dyDescent="0.2">
      <c r="B34" s="16">
        <f>B35-0.025</f>
        <v>0.755</v>
      </c>
      <c r="C34" s="17">
        <f t="shared" si="21"/>
        <v>410.81919535427801</v>
      </c>
      <c r="D34" s="16">
        <f t="shared" si="22"/>
        <v>5.7573762637032075</v>
      </c>
      <c r="E34" s="16">
        <f t="shared" si="23"/>
        <v>11.221515174242425</v>
      </c>
      <c r="G34" s="18">
        <f t="shared" si="27"/>
        <v>0.87780982386363648</v>
      </c>
      <c r="H34" s="19">
        <f>H35-10</f>
        <v>465</v>
      </c>
      <c r="I34" s="18">
        <f t="shared" si="28"/>
        <v>6.8409923566176474</v>
      </c>
      <c r="J34" s="18">
        <f t="shared" si="29"/>
        <v>14.291760770833339</v>
      </c>
      <c r="L34" s="12">
        <f t="shared" si="30"/>
        <v>0.85616402344696974</v>
      </c>
      <c r="M34" s="13">
        <f t="shared" si="31"/>
        <v>455.45038216911757</v>
      </c>
      <c r="N34" s="12">
        <f>N35-0.15</f>
        <v>6.6499999999999995</v>
      </c>
      <c r="O34" s="12">
        <f t="shared" si="32"/>
        <v>13.75061576041667</v>
      </c>
      <c r="Q34" s="8">
        <f t="shared" si="33"/>
        <v>0.84413939303030305</v>
      </c>
      <c r="R34" s="9">
        <f t="shared" si="34"/>
        <v>450.14539816176466</v>
      </c>
      <c r="S34" s="8">
        <f t="shared" si="35"/>
        <v>6.5439003198529413</v>
      </c>
      <c r="T34" s="8">
        <f>T35-0.35</f>
        <v>13.450000000000001</v>
      </c>
    </row>
    <row r="35" spans="1:20" ht="14" thickBot="1" x14ac:dyDescent="0.2">
      <c r="B35" s="22">
        <f>Conventional!$B$8</f>
        <v>0.78</v>
      </c>
      <c r="C35" s="17">
        <f t="shared" si="21"/>
        <v>421.84860711898386</v>
      </c>
      <c r="D35" s="16">
        <f t="shared" si="22"/>
        <v>5.9779644989973253</v>
      </c>
      <c r="E35" s="16">
        <f t="shared" si="23"/>
        <v>11.846515174242425</v>
      </c>
      <c r="G35" s="18">
        <f t="shared" si="27"/>
        <v>0.90047649053030321</v>
      </c>
      <c r="H35" s="20">
        <f>Conventional!$D$8</f>
        <v>475</v>
      </c>
      <c r="I35" s="18">
        <f t="shared" si="28"/>
        <v>7.0409923566176476</v>
      </c>
      <c r="J35" s="18">
        <f t="shared" si="29"/>
        <v>14.858427437500005</v>
      </c>
      <c r="L35" s="12">
        <f t="shared" si="30"/>
        <v>0.87316402344696975</v>
      </c>
      <c r="M35" s="13">
        <f t="shared" si="31"/>
        <v>462.95038216911757</v>
      </c>
      <c r="N35" s="14">
        <f>Conventional!$F$8</f>
        <v>6.8</v>
      </c>
      <c r="O35" s="12">
        <f t="shared" si="32"/>
        <v>14.175615760416669</v>
      </c>
      <c r="Q35" s="8">
        <f t="shared" si="33"/>
        <v>0.85813939303030295</v>
      </c>
      <c r="R35" s="9">
        <f t="shared" si="34"/>
        <v>456.32186874999996</v>
      </c>
      <c r="S35" s="8">
        <f t="shared" si="35"/>
        <v>6.6674297316176467</v>
      </c>
      <c r="T35" s="10">
        <f>Conventional!$H$8</f>
        <v>13.8</v>
      </c>
    </row>
    <row r="36" spans="1:20" x14ac:dyDescent="0.15">
      <c r="B36" s="16">
        <f>B35+0.025</f>
        <v>0.80500000000000005</v>
      </c>
      <c r="C36" s="17">
        <f t="shared" si="21"/>
        <v>432.87801888368978</v>
      </c>
      <c r="D36" s="16">
        <f t="shared" si="22"/>
        <v>6.198552734291443</v>
      </c>
      <c r="E36" s="16">
        <f t="shared" si="23"/>
        <v>12.471515174242425</v>
      </c>
      <c r="G36" s="18">
        <f t="shared" si="27"/>
        <v>0.92314315719696982</v>
      </c>
      <c r="H36" s="19">
        <f>H35+10</f>
        <v>485</v>
      </c>
      <c r="I36" s="18">
        <f t="shared" si="28"/>
        <v>7.2409923566176477</v>
      </c>
      <c r="J36" s="18">
        <f t="shared" si="29"/>
        <v>15.425094104166671</v>
      </c>
      <c r="L36" s="12">
        <f t="shared" si="30"/>
        <v>0.89016402344696977</v>
      </c>
      <c r="M36" s="13">
        <f t="shared" si="31"/>
        <v>470.45038216911763</v>
      </c>
      <c r="N36" s="12">
        <f>N35+0.15</f>
        <v>6.95</v>
      </c>
      <c r="O36" s="12">
        <f t="shared" si="32"/>
        <v>14.60061576041667</v>
      </c>
      <c r="Q36" s="8">
        <f t="shared" si="33"/>
        <v>0.87213939303030297</v>
      </c>
      <c r="R36" s="9">
        <f t="shared" si="34"/>
        <v>462.49833933823527</v>
      </c>
      <c r="S36" s="8">
        <f t="shared" si="35"/>
        <v>6.7909591433823531</v>
      </c>
      <c r="T36" s="8">
        <f>T35+0.35</f>
        <v>14.15</v>
      </c>
    </row>
    <row r="37" spans="1:20" x14ac:dyDescent="0.15">
      <c r="B37" s="16">
        <f t="shared" ref="B37:B42" si="36">B36+0.025</f>
        <v>0.83000000000000007</v>
      </c>
      <c r="C37" s="17">
        <f t="shared" si="21"/>
        <v>443.90743064839569</v>
      </c>
      <c r="D37" s="16">
        <f t="shared" si="22"/>
        <v>6.4191409695855608</v>
      </c>
      <c r="E37" s="16">
        <f t="shared" si="23"/>
        <v>13.096515174242425</v>
      </c>
      <c r="G37" s="18">
        <f t="shared" si="27"/>
        <v>0.94580982386363655</v>
      </c>
      <c r="H37" s="19">
        <f t="shared" ref="H37:H42" si="37">H36+10</f>
        <v>495</v>
      </c>
      <c r="I37" s="18">
        <f t="shared" si="28"/>
        <v>7.4409923566176479</v>
      </c>
      <c r="J37" s="18">
        <f t="shared" si="29"/>
        <v>15.991760770833338</v>
      </c>
      <c r="L37" s="12">
        <f t="shared" si="30"/>
        <v>0.90716402344696978</v>
      </c>
      <c r="M37" s="13">
        <f t="shared" si="31"/>
        <v>477.95038216911763</v>
      </c>
      <c r="N37" s="12">
        <f t="shared" ref="N37:N42" si="38">N36+0.15</f>
        <v>7.1000000000000005</v>
      </c>
      <c r="O37" s="12">
        <f t="shared" si="32"/>
        <v>15.025615760416668</v>
      </c>
      <c r="Q37" s="8">
        <f t="shared" si="33"/>
        <v>0.88613939303030298</v>
      </c>
      <c r="R37" s="9">
        <f t="shared" si="34"/>
        <v>468.67480992647052</v>
      </c>
      <c r="S37" s="8">
        <f t="shared" si="35"/>
        <v>6.9144885551470585</v>
      </c>
      <c r="T37" s="8">
        <f t="shared" ref="T37:T42" si="39">T36+0.35</f>
        <v>14.5</v>
      </c>
    </row>
    <row r="38" spans="1:20" x14ac:dyDescent="0.15">
      <c r="B38" s="16">
        <f t="shared" si="36"/>
        <v>0.85500000000000009</v>
      </c>
      <c r="C38" s="17">
        <f t="shared" si="21"/>
        <v>454.9368424131016</v>
      </c>
      <c r="D38" s="16">
        <f t="shared" si="22"/>
        <v>6.6397292048796794</v>
      </c>
      <c r="E38" s="16">
        <f t="shared" si="23"/>
        <v>13.721515174242429</v>
      </c>
      <c r="G38" s="18">
        <f t="shared" si="27"/>
        <v>0.96847649053030316</v>
      </c>
      <c r="H38" s="19">
        <f t="shared" si="37"/>
        <v>505</v>
      </c>
      <c r="I38" s="18">
        <f t="shared" si="28"/>
        <v>7.6409923566176481</v>
      </c>
      <c r="J38" s="18">
        <f t="shared" si="29"/>
        <v>16.558427437500004</v>
      </c>
      <c r="L38" s="12">
        <f t="shared" si="30"/>
        <v>0.92416402344696991</v>
      </c>
      <c r="M38" s="13">
        <f t="shared" si="31"/>
        <v>485.45038216911769</v>
      </c>
      <c r="N38" s="12">
        <f t="shared" si="38"/>
        <v>7.2500000000000009</v>
      </c>
      <c r="O38" s="12">
        <f t="shared" si="32"/>
        <v>15.450615760416673</v>
      </c>
      <c r="Q38" s="8">
        <f t="shared" si="33"/>
        <v>0.90013939303030288</v>
      </c>
      <c r="R38" s="9">
        <f t="shared" si="34"/>
        <v>474.85128051470582</v>
      </c>
      <c r="S38" s="8">
        <f t="shared" si="35"/>
        <v>7.0380179669117648</v>
      </c>
      <c r="T38" s="8">
        <f t="shared" si="39"/>
        <v>14.85</v>
      </c>
    </row>
    <row r="39" spans="1:20" x14ac:dyDescent="0.15">
      <c r="B39" s="16">
        <f t="shared" si="36"/>
        <v>0.88000000000000012</v>
      </c>
      <c r="C39" s="17">
        <f t="shared" si="21"/>
        <v>465.96625417780746</v>
      </c>
      <c r="D39" s="16">
        <f t="shared" si="22"/>
        <v>6.8603174401737972</v>
      </c>
      <c r="E39" s="16">
        <f t="shared" si="23"/>
        <v>14.346515174242429</v>
      </c>
      <c r="G39" s="18">
        <f t="shared" si="27"/>
        <v>0.99114315719696988</v>
      </c>
      <c r="H39" s="19">
        <f t="shared" si="37"/>
        <v>515</v>
      </c>
      <c r="I39" s="18">
        <f t="shared" si="28"/>
        <v>7.8409923566176474</v>
      </c>
      <c r="J39" s="18">
        <f t="shared" si="29"/>
        <v>17.125094104166671</v>
      </c>
      <c r="L39" s="12">
        <f t="shared" si="30"/>
        <v>0.94116402344696992</v>
      </c>
      <c r="M39" s="13">
        <f t="shared" si="31"/>
        <v>492.95038216911769</v>
      </c>
      <c r="N39" s="12">
        <f t="shared" si="38"/>
        <v>7.4000000000000012</v>
      </c>
      <c r="O39" s="12">
        <f t="shared" si="32"/>
        <v>15.875615760416673</v>
      </c>
      <c r="Q39" s="8">
        <f t="shared" si="33"/>
        <v>0.91413939303030289</v>
      </c>
      <c r="R39" s="9">
        <f t="shared" si="34"/>
        <v>481.02775110294112</v>
      </c>
      <c r="S39" s="8">
        <f t="shared" si="35"/>
        <v>7.1615473786764703</v>
      </c>
      <c r="T39" s="8">
        <f t="shared" si="39"/>
        <v>15.2</v>
      </c>
    </row>
    <row r="40" spans="1:20" x14ac:dyDescent="0.15">
      <c r="B40" s="16">
        <f t="shared" si="36"/>
        <v>0.90500000000000014</v>
      </c>
      <c r="C40" s="17">
        <f t="shared" si="21"/>
        <v>476.99566594251337</v>
      </c>
      <c r="D40" s="16">
        <f t="shared" si="22"/>
        <v>7.0809056754679149</v>
      </c>
      <c r="E40" s="16">
        <f t="shared" si="23"/>
        <v>14.971515174242429</v>
      </c>
      <c r="G40" s="18">
        <f t="shared" si="27"/>
        <v>1.0138098238636366</v>
      </c>
      <c r="H40" s="19">
        <f t="shared" si="37"/>
        <v>525</v>
      </c>
      <c r="I40" s="18">
        <f t="shared" si="28"/>
        <v>8.0409923566176484</v>
      </c>
      <c r="J40" s="18">
        <f t="shared" si="29"/>
        <v>17.691760770833337</v>
      </c>
      <c r="L40" s="12">
        <f t="shared" si="30"/>
        <v>0.95816402344696994</v>
      </c>
      <c r="M40" s="13">
        <f t="shared" si="31"/>
        <v>500.45038216911763</v>
      </c>
      <c r="N40" s="12">
        <f t="shared" si="38"/>
        <v>7.5500000000000016</v>
      </c>
      <c r="O40" s="12">
        <f t="shared" si="32"/>
        <v>16.300615760416672</v>
      </c>
      <c r="Q40" s="8">
        <f t="shared" si="33"/>
        <v>0.92813939303030291</v>
      </c>
      <c r="R40" s="9">
        <f t="shared" si="34"/>
        <v>487.20422169117631</v>
      </c>
      <c r="S40" s="8">
        <f t="shared" si="35"/>
        <v>7.2850767904411748</v>
      </c>
      <c r="T40" s="8">
        <f t="shared" si="39"/>
        <v>15.549999999999999</v>
      </c>
    </row>
    <row r="41" spans="1:20" x14ac:dyDescent="0.15">
      <c r="B41" s="32">
        <f t="shared" si="36"/>
        <v>0.93000000000000016</v>
      </c>
      <c r="C41" s="33">
        <f t="shared" si="21"/>
        <v>488.02507770721928</v>
      </c>
      <c r="D41" s="32">
        <f t="shared" si="22"/>
        <v>7.3014939107620327</v>
      </c>
      <c r="E41" s="32">
        <f t="shared" si="23"/>
        <v>15.596515174242429</v>
      </c>
      <c r="G41" s="34">
        <f t="shared" si="27"/>
        <v>1.0364764905303032</v>
      </c>
      <c r="H41" s="35">
        <f t="shared" si="37"/>
        <v>535</v>
      </c>
      <c r="I41" s="34">
        <f t="shared" si="28"/>
        <v>8.2409923566176477</v>
      </c>
      <c r="J41" s="34">
        <f t="shared" si="29"/>
        <v>18.258427437500004</v>
      </c>
      <c r="L41" s="36">
        <f t="shared" si="30"/>
        <v>0.97516402344696995</v>
      </c>
      <c r="M41" s="37">
        <f t="shared" si="31"/>
        <v>507.95038216911769</v>
      </c>
      <c r="N41" s="36">
        <f t="shared" si="38"/>
        <v>7.700000000000002</v>
      </c>
      <c r="O41" s="36">
        <f t="shared" si="32"/>
        <v>16.725615760416673</v>
      </c>
      <c r="Q41" s="38">
        <f t="shared" si="33"/>
        <v>0.94213939303030292</v>
      </c>
      <c r="R41" s="39">
        <f t="shared" si="34"/>
        <v>493.38069227941168</v>
      </c>
      <c r="S41" s="38">
        <f t="shared" si="35"/>
        <v>7.4086062022058812</v>
      </c>
      <c r="T41" s="38">
        <f t="shared" si="39"/>
        <v>15.899999999999999</v>
      </c>
    </row>
    <row r="42" spans="1:20" x14ac:dyDescent="0.15">
      <c r="A42" s="40"/>
      <c r="B42" s="41">
        <f t="shared" si="36"/>
        <v>0.95500000000000018</v>
      </c>
      <c r="C42" s="42">
        <f t="shared" si="21"/>
        <v>499.05448947192514</v>
      </c>
      <c r="D42" s="41">
        <f t="shared" si="22"/>
        <v>7.5220821460561504</v>
      </c>
      <c r="E42" s="41">
        <f t="shared" si="23"/>
        <v>16.22151517424243</v>
      </c>
      <c r="F42" s="40"/>
      <c r="G42" s="43">
        <f t="shared" si="27"/>
        <v>1.0591431571969698</v>
      </c>
      <c r="H42" s="44">
        <f t="shared" si="37"/>
        <v>545</v>
      </c>
      <c r="I42" s="43">
        <f t="shared" si="28"/>
        <v>8.440992356617647</v>
      </c>
      <c r="J42" s="43">
        <f t="shared" si="29"/>
        <v>18.82509410416667</v>
      </c>
      <c r="K42" s="40"/>
      <c r="L42" s="45">
        <f t="shared" si="30"/>
        <v>0.99216402344697008</v>
      </c>
      <c r="M42" s="46">
        <f t="shared" si="31"/>
        <v>515.4503821691178</v>
      </c>
      <c r="N42" s="45">
        <f t="shared" si="38"/>
        <v>7.8500000000000023</v>
      </c>
      <c r="O42" s="45">
        <f t="shared" si="32"/>
        <v>17.150615760416674</v>
      </c>
      <c r="P42" s="40"/>
      <c r="Q42" s="47">
        <f t="shared" si="33"/>
        <v>0.95613939303030293</v>
      </c>
      <c r="R42" s="48">
        <f t="shared" si="34"/>
        <v>499.55716286764704</v>
      </c>
      <c r="S42" s="47">
        <f t="shared" si="35"/>
        <v>7.5321356139705884</v>
      </c>
      <c r="T42" s="47">
        <f t="shared" si="39"/>
        <v>16.25</v>
      </c>
    </row>
    <row r="43" spans="1:20" x14ac:dyDescent="0.15">
      <c r="A43" s="381" t="s">
        <v>84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</row>
    <row r="44" spans="1:20" x14ac:dyDescent="0.15">
      <c r="B44" s="2" t="s">
        <v>2</v>
      </c>
      <c r="C44" s="2" t="s">
        <v>68</v>
      </c>
      <c r="D44" s="2" t="s">
        <v>4</v>
      </c>
      <c r="E44" s="2" t="s">
        <v>69</v>
      </c>
    </row>
    <row r="45" spans="1:20" x14ac:dyDescent="0.15">
      <c r="A45" s="1" t="s">
        <v>70</v>
      </c>
      <c r="B45" s="3">
        <f>'Strip-Till'!B$31</f>
        <v>704.4629995738635</v>
      </c>
      <c r="C45" s="3">
        <f>'Strip-Till'!D$31</f>
        <v>770.41132031250004</v>
      </c>
      <c r="D45" s="3">
        <f>'Strip-Till'!F$31</f>
        <v>988.48246093750004</v>
      </c>
      <c r="E45" s="3">
        <f>'Strip-Till'!H$31</f>
        <v>376.60119125</v>
      </c>
    </row>
    <row r="46" spans="1:20" x14ac:dyDescent="0.15">
      <c r="A46" s="1" t="s">
        <v>71</v>
      </c>
      <c r="B46" s="4">
        <f>'Strip-Till'!B$7</f>
        <v>1200</v>
      </c>
      <c r="C46" s="4">
        <f>'Strip-Till'!D$7</f>
        <v>4700</v>
      </c>
      <c r="D46" s="4">
        <f>'Strip-Till'!F$7</f>
        <v>200</v>
      </c>
      <c r="E46" s="4">
        <f>'Strip-Till'!H$7</f>
        <v>60</v>
      </c>
    </row>
    <row r="47" spans="1:20" x14ac:dyDescent="0.15">
      <c r="A47" s="5"/>
      <c r="B47" s="382" t="s">
        <v>74</v>
      </c>
      <c r="C47" s="382"/>
      <c r="D47" s="382"/>
      <c r="E47" s="382"/>
      <c r="F47" s="5"/>
      <c r="G47" s="383" t="s">
        <v>75</v>
      </c>
      <c r="H47" s="383"/>
      <c r="I47" s="383"/>
      <c r="J47" s="383"/>
      <c r="K47" s="5"/>
      <c r="L47" s="384" t="s">
        <v>76</v>
      </c>
      <c r="M47" s="384"/>
      <c r="N47" s="384"/>
      <c r="O47" s="384"/>
      <c r="P47" s="5"/>
      <c r="Q47" s="385" t="s">
        <v>77</v>
      </c>
      <c r="R47" s="385"/>
      <c r="S47" s="385"/>
      <c r="T47" s="385"/>
    </row>
    <row r="48" spans="1:20" ht="28" x14ac:dyDescent="0.15">
      <c r="A48" s="6"/>
      <c r="B48" s="23" t="s">
        <v>50</v>
      </c>
      <c r="C48" s="31" t="s">
        <v>78</v>
      </c>
      <c r="D48" s="31" t="s">
        <v>47</v>
      </c>
      <c r="E48" s="31" t="s">
        <v>79</v>
      </c>
      <c r="F48" s="27"/>
      <c r="G48" s="30" t="s">
        <v>50</v>
      </c>
      <c r="H48" s="24" t="s">
        <v>78</v>
      </c>
      <c r="I48" s="30" t="s">
        <v>47</v>
      </c>
      <c r="J48" s="30" t="s">
        <v>79</v>
      </c>
      <c r="K48" s="27"/>
      <c r="L48" s="29" t="s">
        <v>50</v>
      </c>
      <c r="M48" s="29" t="s">
        <v>78</v>
      </c>
      <c r="N48" s="25" t="s">
        <v>47</v>
      </c>
      <c r="O48" s="29" t="s">
        <v>79</v>
      </c>
      <c r="P48" s="27"/>
      <c r="Q48" s="28" t="s">
        <v>50</v>
      </c>
      <c r="R48" s="28" t="s">
        <v>78</v>
      </c>
      <c r="S48" s="26" t="s">
        <v>47</v>
      </c>
      <c r="T48" s="28" t="s">
        <v>79</v>
      </c>
    </row>
    <row r="49" spans="2:20" x14ac:dyDescent="0.15">
      <c r="B49" s="16">
        <f t="shared" ref="B49:B54" si="40">B50-0.025</f>
        <v>0.60499999999999987</v>
      </c>
      <c r="C49" s="17">
        <f>(((B49*$B$46)-$B$45+$C$45)/$C$46)*2000</f>
        <v>336.99928542069637</v>
      </c>
      <c r="D49" s="16">
        <f>(((B49*$B$46)-$B$45+$D$45)/$D$46)</f>
        <v>5.0500973068181825</v>
      </c>
      <c r="E49" s="16">
        <f>(((B49*$B$46)-$B$45+$E$45)/$E$46)</f>
        <v>6.6356365279356062</v>
      </c>
      <c r="G49" s="18">
        <f>(((H49*$C$46/2000)-$C$45+$B$45)/$B$46)</f>
        <v>0.73816806605113616</v>
      </c>
      <c r="H49" s="19">
        <f t="shared" ref="H49:H54" si="41">H50-10</f>
        <v>405</v>
      </c>
      <c r="I49" s="18">
        <f>(((H49*$C$46/2000)-$C$45+$D$45)/$D$46)</f>
        <v>5.8491057031249998</v>
      </c>
      <c r="J49" s="18">
        <f>(((H49*$C$46/2000)-$C$45+$E$45)/$E$46)</f>
        <v>9.2989978489583329</v>
      </c>
      <c r="L49" s="12">
        <f>(((N49*$D$46)-$D$45+$B$45)/$B$46)</f>
        <v>0.72165044886363583</v>
      </c>
      <c r="M49" s="13">
        <f>(((N49*$D$46)-$D$45+$C$45)/$C$46)*2000</f>
        <v>396.56547207446789</v>
      </c>
      <c r="N49" s="12">
        <f t="shared" ref="N49:N54" si="42">N50-0.15</f>
        <v>5.7499999999999973</v>
      </c>
      <c r="O49" s="12">
        <f>(((N49*$D$46)-$D$45+$E$45)/$E$46)</f>
        <v>8.9686455052083254</v>
      </c>
      <c r="Q49" s="8">
        <f>(((T49*$E$46)-$E$45+$B$45)/$B$46)</f>
        <v>0.84071817360321976</v>
      </c>
      <c r="R49" s="9">
        <f>(((T49*$E$46)-$E$45+$C$45)/$C$46)*2000</f>
        <v>457.36601236702137</v>
      </c>
      <c r="S49" s="8">
        <f>(((T49*$E$46)-$E$45+$D$45)/$D$46)</f>
        <v>6.4644063484375014</v>
      </c>
      <c r="T49" s="8">
        <f t="shared" ref="T49:T54" si="43">T50-0.35</f>
        <v>11.350000000000003</v>
      </c>
    </row>
    <row r="50" spans="2:20" x14ac:dyDescent="0.15">
      <c r="B50" s="16">
        <f t="shared" si="40"/>
        <v>0.62999999999999989</v>
      </c>
      <c r="C50" s="17">
        <f t="shared" ref="C50:C63" si="44">(((B50*$B$46)-$B$45+$C$45)/$C$46)*2000</f>
        <v>349.76524286750487</v>
      </c>
      <c r="D50" s="16">
        <f t="shared" ref="D50:D63" si="45">(((B50*$B$46)-$B$45+$D$45)/$D$46)</f>
        <v>5.2000973068181819</v>
      </c>
      <c r="E50" s="16">
        <f t="shared" ref="E50:E63" si="46">(((B50*$B$46)-$B$45+$E$45)/$E$46)</f>
        <v>7.1356365279356062</v>
      </c>
      <c r="G50" s="18">
        <f t="shared" ref="G50:G63" si="47">(((H50*$C$46/2000)-$C$45+$B$45)/$B$46)</f>
        <v>0.75775139938446956</v>
      </c>
      <c r="H50" s="19">
        <f t="shared" si="41"/>
        <v>415</v>
      </c>
      <c r="I50" s="18">
        <f t="shared" ref="I50:I63" si="48">(((H50*$C$46/2000)-$C$45+$D$45)/$D$46)</f>
        <v>5.9666057031250004</v>
      </c>
      <c r="J50" s="18">
        <f t="shared" ref="J50:J63" si="49">(((H50*$C$46/2000)-$C$45+$E$45)/$E$46)</f>
        <v>9.6906645156250004</v>
      </c>
      <c r="L50" s="12">
        <f t="shared" ref="L50:L63" si="50">(((N50*$D$46)-$D$45+$B$45)/$B$46)</f>
        <v>0.74665044886363585</v>
      </c>
      <c r="M50" s="13">
        <f t="shared" ref="M50:M63" si="51">(((N50*$D$46)-$D$45+$C$45)/$C$46)*2000</f>
        <v>409.33142952127639</v>
      </c>
      <c r="N50" s="12">
        <f t="shared" si="42"/>
        <v>5.8999999999999977</v>
      </c>
      <c r="O50" s="12">
        <f t="shared" ref="O50:O63" si="52">(((N50*$D$46)-$D$45+$E$45)/$E$46)</f>
        <v>9.4686455052083254</v>
      </c>
      <c r="Q50" s="8">
        <f t="shared" ref="Q50:Q63" si="53">(((T50*$E$46)-$E$45+$B$45)/$B$46)</f>
        <v>0.85821817360321973</v>
      </c>
      <c r="R50" s="9">
        <f t="shared" ref="R50:R63" si="54">(((T50*$E$46)-$E$45+$C$45)/$C$46)*2000</f>
        <v>466.30218257978731</v>
      </c>
      <c r="S50" s="8">
        <f t="shared" ref="S50:S63" si="55">(((T50*$E$46)-$E$45+$D$45)/$D$46)</f>
        <v>6.5694063484375009</v>
      </c>
      <c r="T50" s="8">
        <f t="shared" si="43"/>
        <v>11.700000000000003</v>
      </c>
    </row>
    <row r="51" spans="2:20" x14ac:dyDescent="0.15">
      <c r="B51" s="16">
        <f t="shared" si="40"/>
        <v>0.65499999999999992</v>
      </c>
      <c r="C51" s="17">
        <f t="shared" si="44"/>
        <v>362.53120031431337</v>
      </c>
      <c r="D51" s="16">
        <f t="shared" si="45"/>
        <v>5.3500973068181814</v>
      </c>
      <c r="E51" s="16">
        <f t="shared" si="46"/>
        <v>7.6356365279356062</v>
      </c>
      <c r="G51" s="18">
        <f t="shared" si="47"/>
        <v>0.77733473271780285</v>
      </c>
      <c r="H51" s="19">
        <f t="shared" si="41"/>
        <v>425</v>
      </c>
      <c r="I51" s="18">
        <f t="shared" si="48"/>
        <v>6.0841057031250001</v>
      </c>
      <c r="J51" s="18">
        <f t="shared" si="49"/>
        <v>10.082331182291666</v>
      </c>
      <c r="L51" s="12">
        <f t="shared" si="50"/>
        <v>0.77165044886363587</v>
      </c>
      <c r="M51" s="13">
        <f t="shared" si="51"/>
        <v>422.09738696808489</v>
      </c>
      <c r="N51" s="12">
        <f t="shared" si="42"/>
        <v>6.049999999999998</v>
      </c>
      <c r="O51" s="12">
        <f t="shared" si="52"/>
        <v>9.9686455052083254</v>
      </c>
      <c r="Q51" s="8">
        <f t="shared" si="53"/>
        <v>0.87571817360321969</v>
      </c>
      <c r="R51" s="9">
        <f t="shared" si="54"/>
        <v>475.23835279255326</v>
      </c>
      <c r="S51" s="8">
        <f t="shared" si="55"/>
        <v>6.6744063484375014</v>
      </c>
      <c r="T51" s="8">
        <f t="shared" si="43"/>
        <v>12.050000000000002</v>
      </c>
    </row>
    <row r="52" spans="2:20" x14ac:dyDescent="0.15">
      <c r="B52" s="16">
        <f t="shared" si="40"/>
        <v>0.67999999999999994</v>
      </c>
      <c r="C52" s="17">
        <f t="shared" si="44"/>
        <v>375.29715776112187</v>
      </c>
      <c r="D52" s="16">
        <f t="shared" si="45"/>
        <v>5.5000973068181818</v>
      </c>
      <c r="E52" s="16">
        <f t="shared" si="46"/>
        <v>8.1356365279356062</v>
      </c>
      <c r="G52" s="18">
        <f t="shared" si="47"/>
        <v>0.79691806605113624</v>
      </c>
      <c r="H52" s="19">
        <f t="shared" si="41"/>
        <v>435</v>
      </c>
      <c r="I52" s="18">
        <f t="shared" si="48"/>
        <v>6.2016057031249998</v>
      </c>
      <c r="J52" s="18">
        <f t="shared" si="49"/>
        <v>10.473997848958334</v>
      </c>
      <c r="L52" s="12">
        <f t="shared" si="50"/>
        <v>0.79665044886363601</v>
      </c>
      <c r="M52" s="13">
        <f t="shared" si="51"/>
        <v>434.8633444148935</v>
      </c>
      <c r="N52" s="12">
        <f t="shared" si="42"/>
        <v>6.1999999999999984</v>
      </c>
      <c r="O52" s="12">
        <f t="shared" si="52"/>
        <v>10.468645505208331</v>
      </c>
      <c r="Q52" s="8">
        <f t="shared" si="53"/>
        <v>0.89321817360321976</v>
      </c>
      <c r="R52" s="9">
        <f t="shared" si="54"/>
        <v>484.1745230053192</v>
      </c>
      <c r="S52" s="8">
        <f t="shared" si="55"/>
        <v>6.7794063484375009</v>
      </c>
      <c r="T52" s="8">
        <f t="shared" si="43"/>
        <v>12.400000000000002</v>
      </c>
    </row>
    <row r="53" spans="2:20" x14ac:dyDescent="0.15">
      <c r="B53" s="16">
        <f t="shared" si="40"/>
        <v>0.70499999999999996</v>
      </c>
      <c r="C53" s="17">
        <f t="shared" si="44"/>
        <v>388.06311520793048</v>
      </c>
      <c r="D53" s="16">
        <f t="shared" si="45"/>
        <v>5.650097306818183</v>
      </c>
      <c r="E53" s="16">
        <f t="shared" si="46"/>
        <v>8.6356365279356098</v>
      </c>
      <c r="G53" s="18">
        <f t="shared" si="47"/>
        <v>0.81650139938446953</v>
      </c>
      <c r="H53" s="19">
        <f t="shared" si="41"/>
        <v>445</v>
      </c>
      <c r="I53" s="18">
        <f t="shared" si="48"/>
        <v>6.3191057031250004</v>
      </c>
      <c r="J53" s="18">
        <f t="shared" si="49"/>
        <v>10.865664515625001</v>
      </c>
      <c r="L53" s="12">
        <f t="shared" si="50"/>
        <v>0.82165044886363603</v>
      </c>
      <c r="M53" s="13">
        <f t="shared" si="51"/>
        <v>447.629301861702</v>
      </c>
      <c r="N53" s="12">
        <f t="shared" si="42"/>
        <v>6.3499999999999988</v>
      </c>
      <c r="O53" s="12">
        <f t="shared" si="52"/>
        <v>10.968645505208331</v>
      </c>
      <c r="Q53" s="8">
        <f t="shared" si="53"/>
        <v>0.91071817360321972</v>
      </c>
      <c r="R53" s="9">
        <f t="shared" si="54"/>
        <v>493.1106932180852</v>
      </c>
      <c r="S53" s="8">
        <f t="shared" si="55"/>
        <v>6.8844063484375013</v>
      </c>
      <c r="T53" s="8">
        <f t="shared" si="43"/>
        <v>12.750000000000002</v>
      </c>
    </row>
    <row r="54" spans="2:20" x14ac:dyDescent="0.15">
      <c r="B54" s="16">
        <f t="shared" si="40"/>
        <v>0.73</v>
      </c>
      <c r="C54" s="17">
        <f t="shared" si="44"/>
        <v>400.82907265473892</v>
      </c>
      <c r="D54" s="16">
        <f t="shared" si="45"/>
        <v>5.8000973068181825</v>
      </c>
      <c r="E54" s="16">
        <f t="shared" si="46"/>
        <v>9.1356365279356098</v>
      </c>
      <c r="G54" s="18">
        <f t="shared" si="47"/>
        <v>0.83608473271780293</v>
      </c>
      <c r="H54" s="19">
        <f t="shared" si="41"/>
        <v>455</v>
      </c>
      <c r="I54" s="18">
        <f t="shared" si="48"/>
        <v>6.4366057031250001</v>
      </c>
      <c r="J54" s="18">
        <f t="shared" si="49"/>
        <v>11.257331182291667</v>
      </c>
      <c r="L54" s="12">
        <f t="shared" si="50"/>
        <v>0.84665044886363605</v>
      </c>
      <c r="M54" s="13">
        <f t="shared" si="51"/>
        <v>460.39525930851056</v>
      </c>
      <c r="N54" s="12">
        <f t="shared" si="42"/>
        <v>6.4999999999999991</v>
      </c>
      <c r="O54" s="12">
        <f t="shared" si="52"/>
        <v>11.468645505208331</v>
      </c>
      <c r="Q54" s="8">
        <f t="shared" si="53"/>
        <v>0.92821817360321968</v>
      </c>
      <c r="R54" s="9">
        <f t="shared" si="54"/>
        <v>502.04686343085115</v>
      </c>
      <c r="S54" s="8">
        <f t="shared" si="55"/>
        <v>6.9894063484375009</v>
      </c>
      <c r="T54" s="8">
        <f t="shared" si="43"/>
        <v>13.100000000000001</v>
      </c>
    </row>
    <row r="55" spans="2:20" ht="14" thickBot="1" x14ac:dyDescent="0.2">
      <c r="B55" s="16">
        <f>B56-0.025</f>
        <v>0.755</v>
      </c>
      <c r="C55" s="17">
        <f t="shared" si="44"/>
        <v>413.59503010154748</v>
      </c>
      <c r="D55" s="16">
        <f t="shared" si="45"/>
        <v>5.9500973068181828</v>
      </c>
      <c r="E55" s="16">
        <f t="shared" si="46"/>
        <v>9.6356365279356098</v>
      </c>
      <c r="G55" s="18">
        <f t="shared" si="47"/>
        <v>0.85566806605113621</v>
      </c>
      <c r="H55" s="19">
        <f>H56-10</f>
        <v>465</v>
      </c>
      <c r="I55" s="18">
        <f t="shared" si="48"/>
        <v>6.5541057031249998</v>
      </c>
      <c r="J55" s="18">
        <f t="shared" si="49"/>
        <v>11.648997848958334</v>
      </c>
      <c r="L55" s="12">
        <f t="shared" si="50"/>
        <v>0.87165044886363618</v>
      </c>
      <c r="M55" s="13">
        <f t="shared" si="51"/>
        <v>473.16121675531912</v>
      </c>
      <c r="N55" s="12">
        <f>N56-0.15</f>
        <v>6.6499999999999995</v>
      </c>
      <c r="O55" s="12">
        <f t="shared" si="52"/>
        <v>11.968645505208334</v>
      </c>
      <c r="Q55" s="8">
        <f t="shared" si="53"/>
        <v>0.94571817360321975</v>
      </c>
      <c r="R55" s="9">
        <f t="shared" si="54"/>
        <v>510.98303364361709</v>
      </c>
      <c r="S55" s="8">
        <f t="shared" si="55"/>
        <v>7.0944063484375013</v>
      </c>
      <c r="T55" s="8">
        <f>T56-0.35</f>
        <v>13.450000000000001</v>
      </c>
    </row>
    <row r="56" spans="2:20" ht="14" thickBot="1" x14ac:dyDescent="0.2">
      <c r="B56" s="22">
        <f>Conventional!$B$8</f>
        <v>0.78</v>
      </c>
      <c r="C56" s="17">
        <f t="shared" si="44"/>
        <v>426.36098754835598</v>
      </c>
      <c r="D56" s="16">
        <f t="shared" si="45"/>
        <v>6.1000973068181823</v>
      </c>
      <c r="E56" s="16">
        <f t="shared" si="46"/>
        <v>10.13563652793561</v>
      </c>
      <c r="G56" s="18">
        <f t="shared" si="47"/>
        <v>0.8752513993844695</v>
      </c>
      <c r="H56" s="20">
        <f>Conventional!$D$8</f>
        <v>475</v>
      </c>
      <c r="I56" s="18">
        <f t="shared" si="48"/>
        <v>6.6716057031249996</v>
      </c>
      <c r="J56" s="18">
        <f t="shared" si="49"/>
        <v>12.040664515625</v>
      </c>
      <c r="L56" s="12">
        <f t="shared" si="50"/>
        <v>0.89665044886363621</v>
      </c>
      <c r="M56" s="13">
        <f t="shared" si="51"/>
        <v>485.92717420212767</v>
      </c>
      <c r="N56" s="14">
        <f>Conventional!$F$8</f>
        <v>6.8</v>
      </c>
      <c r="O56" s="12">
        <f t="shared" si="52"/>
        <v>12.468645505208334</v>
      </c>
      <c r="Q56" s="8">
        <f t="shared" si="53"/>
        <v>0.96321817360321949</v>
      </c>
      <c r="R56" s="9">
        <f t="shared" si="54"/>
        <v>519.91920385638298</v>
      </c>
      <c r="S56" s="8">
        <f t="shared" si="55"/>
        <v>7.1994063484374999</v>
      </c>
      <c r="T56" s="10">
        <f>Conventional!$H$8</f>
        <v>13.8</v>
      </c>
    </row>
    <row r="57" spans="2:20" x14ac:dyDescent="0.15">
      <c r="B57" s="16">
        <f>B56+0.025</f>
        <v>0.80500000000000005</v>
      </c>
      <c r="C57" s="17">
        <f t="shared" si="44"/>
        <v>439.12694499516448</v>
      </c>
      <c r="D57" s="16">
        <f t="shared" si="45"/>
        <v>6.2500973068181835</v>
      </c>
      <c r="E57" s="16">
        <f t="shared" si="46"/>
        <v>10.63563652793561</v>
      </c>
      <c r="G57" s="18">
        <f t="shared" si="47"/>
        <v>0.89483473271780289</v>
      </c>
      <c r="H57" s="19">
        <f>H56+10</f>
        <v>485</v>
      </c>
      <c r="I57" s="18">
        <f t="shared" si="48"/>
        <v>6.7891057031250002</v>
      </c>
      <c r="J57" s="18">
        <f t="shared" si="49"/>
        <v>12.432331182291668</v>
      </c>
      <c r="L57" s="12">
        <f t="shared" si="50"/>
        <v>0.92165044886363623</v>
      </c>
      <c r="M57" s="13">
        <f t="shared" si="51"/>
        <v>498.69313164893617</v>
      </c>
      <c r="N57" s="12">
        <f>N56+0.15</f>
        <v>6.95</v>
      </c>
      <c r="O57" s="12">
        <f t="shared" si="52"/>
        <v>12.968645505208334</v>
      </c>
      <c r="Q57" s="8">
        <f t="shared" si="53"/>
        <v>0.98071817360321956</v>
      </c>
      <c r="R57" s="9">
        <f t="shared" si="54"/>
        <v>528.85537406914898</v>
      </c>
      <c r="S57" s="8">
        <f t="shared" si="55"/>
        <v>7.3044063484374995</v>
      </c>
      <c r="T57" s="8">
        <f>T56+0.35</f>
        <v>14.15</v>
      </c>
    </row>
    <row r="58" spans="2:20" x14ac:dyDescent="0.15">
      <c r="B58" s="16">
        <f t="shared" ref="B58:B63" si="56">B57+0.025</f>
        <v>0.83000000000000007</v>
      </c>
      <c r="C58" s="17">
        <f t="shared" si="44"/>
        <v>451.89290244197298</v>
      </c>
      <c r="D58" s="16">
        <f t="shared" si="45"/>
        <v>6.4000973068181839</v>
      </c>
      <c r="E58" s="16">
        <f t="shared" si="46"/>
        <v>11.13563652793561</v>
      </c>
      <c r="G58" s="18">
        <f t="shared" si="47"/>
        <v>0.91441806605113618</v>
      </c>
      <c r="H58" s="19">
        <f t="shared" ref="H58:H63" si="57">H57+10</f>
        <v>495</v>
      </c>
      <c r="I58" s="18">
        <f t="shared" si="48"/>
        <v>6.9066057031249999</v>
      </c>
      <c r="J58" s="18">
        <f t="shared" si="49"/>
        <v>12.823997848958333</v>
      </c>
      <c r="L58" s="12">
        <f t="shared" si="50"/>
        <v>0.94665044886363625</v>
      </c>
      <c r="M58" s="13">
        <f t="shared" si="51"/>
        <v>511.45908909574467</v>
      </c>
      <c r="N58" s="12">
        <f t="shared" ref="N58:N63" si="58">N57+0.15</f>
        <v>7.1000000000000005</v>
      </c>
      <c r="O58" s="12">
        <f t="shared" si="52"/>
        <v>13.468645505208334</v>
      </c>
      <c r="Q58" s="8">
        <f t="shared" si="53"/>
        <v>0.99821817360321952</v>
      </c>
      <c r="R58" s="9">
        <f t="shared" si="54"/>
        <v>537.79154428191487</v>
      </c>
      <c r="S58" s="8">
        <f t="shared" si="55"/>
        <v>7.4094063484374999</v>
      </c>
      <c r="T58" s="8">
        <f t="shared" ref="T58:T63" si="59">T57+0.35</f>
        <v>14.5</v>
      </c>
    </row>
    <row r="59" spans="2:20" x14ac:dyDescent="0.15">
      <c r="B59" s="16">
        <f t="shared" si="56"/>
        <v>0.85500000000000009</v>
      </c>
      <c r="C59" s="17">
        <f t="shared" si="44"/>
        <v>464.65885988878154</v>
      </c>
      <c r="D59" s="16">
        <f t="shared" si="45"/>
        <v>6.5500973068181825</v>
      </c>
      <c r="E59" s="16">
        <f t="shared" si="46"/>
        <v>11.63563652793561</v>
      </c>
      <c r="G59" s="18">
        <f t="shared" si="47"/>
        <v>0.93400139938446958</v>
      </c>
      <c r="H59" s="19">
        <f t="shared" si="57"/>
        <v>505</v>
      </c>
      <c r="I59" s="18">
        <f t="shared" si="48"/>
        <v>7.0241057031249996</v>
      </c>
      <c r="J59" s="18">
        <f t="shared" si="49"/>
        <v>13.215664515625001</v>
      </c>
      <c r="L59" s="12">
        <f t="shared" si="50"/>
        <v>0.97165044886363638</v>
      </c>
      <c r="M59" s="13">
        <f t="shared" si="51"/>
        <v>524.22504654255329</v>
      </c>
      <c r="N59" s="12">
        <f t="shared" si="58"/>
        <v>7.2500000000000009</v>
      </c>
      <c r="O59" s="12">
        <f t="shared" si="52"/>
        <v>13.968645505208338</v>
      </c>
      <c r="Q59" s="8">
        <f t="shared" si="53"/>
        <v>1.0157181736032195</v>
      </c>
      <c r="R59" s="9">
        <f t="shared" si="54"/>
        <v>546.72771449468087</v>
      </c>
      <c r="S59" s="8">
        <f t="shared" si="55"/>
        <v>7.5144063484375003</v>
      </c>
      <c r="T59" s="8">
        <f t="shared" si="59"/>
        <v>14.85</v>
      </c>
    </row>
    <row r="60" spans="2:20" x14ac:dyDescent="0.15">
      <c r="B60" s="16">
        <f t="shared" si="56"/>
        <v>0.88000000000000012</v>
      </c>
      <c r="C60" s="17">
        <f t="shared" si="44"/>
        <v>477.42481733559009</v>
      </c>
      <c r="D60" s="16">
        <f t="shared" si="45"/>
        <v>6.7000973068181837</v>
      </c>
      <c r="E60" s="16">
        <f t="shared" si="46"/>
        <v>12.135636527935613</v>
      </c>
      <c r="G60" s="18">
        <f t="shared" si="47"/>
        <v>0.95358473271780286</v>
      </c>
      <c r="H60" s="19">
        <f t="shared" si="57"/>
        <v>515</v>
      </c>
      <c r="I60" s="18">
        <f t="shared" si="48"/>
        <v>7.1416057031250002</v>
      </c>
      <c r="J60" s="18">
        <f t="shared" si="49"/>
        <v>13.607331182291666</v>
      </c>
      <c r="L60" s="12">
        <f t="shared" si="50"/>
        <v>0.99665044886363641</v>
      </c>
      <c r="M60" s="13">
        <f t="shared" si="51"/>
        <v>536.99100398936184</v>
      </c>
      <c r="N60" s="12">
        <f t="shared" si="58"/>
        <v>7.4000000000000012</v>
      </c>
      <c r="O60" s="12">
        <f t="shared" si="52"/>
        <v>14.468645505208338</v>
      </c>
      <c r="Q60" s="8">
        <f t="shared" si="53"/>
        <v>1.0332181736032195</v>
      </c>
      <c r="R60" s="9">
        <f t="shared" si="54"/>
        <v>555.66388470744675</v>
      </c>
      <c r="S60" s="8">
        <f t="shared" si="55"/>
        <v>7.6194063484374999</v>
      </c>
      <c r="T60" s="8">
        <f t="shared" si="59"/>
        <v>15.2</v>
      </c>
    </row>
    <row r="61" spans="2:20" x14ac:dyDescent="0.15">
      <c r="B61" s="16">
        <f t="shared" si="56"/>
        <v>0.90500000000000014</v>
      </c>
      <c r="C61" s="17">
        <f t="shared" si="44"/>
        <v>490.19077478239865</v>
      </c>
      <c r="D61" s="16">
        <f t="shared" si="45"/>
        <v>6.8500973068181841</v>
      </c>
      <c r="E61" s="16">
        <f t="shared" si="46"/>
        <v>12.635636527935613</v>
      </c>
      <c r="G61" s="18">
        <f t="shared" si="47"/>
        <v>0.97316806605113626</v>
      </c>
      <c r="H61" s="19">
        <f t="shared" si="57"/>
        <v>525</v>
      </c>
      <c r="I61" s="18">
        <f t="shared" si="48"/>
        <v>7.2591057031249999</v>
      </c>
      <c r="J61" s="18">
        <f t="shared" si="49"/>
        <v>13.998997848958334</v>
      </c>
      <c r="L61" s="12">
        <f t="shared" si="50"/>
        <v>1.0216504488636364</v>
      </c>
      <c r="M61" s="13">
        <f t="shared" si="51"/>
        <v>549.75696143617029</v>
      </c>
      <c r="N61" s="12">
        <f t="shared" si="58"/>
        <v>7.5500000000000016</v>
      </c>
      <c r="O61" s="12">
        <f t="shared" si="52"/>
        <v>14.968645505208338</v>
      </c>
      <c r="Q61" s="8">
        <f t="shared" si="53"/>
        <v>1.0507181736032196</v>
      </c>
      <c r="R61" s="9">
        <f t="shared" si="54"/>
        <v>564.60005492021287</v>
      </c>
      <c r="S61" s="8">
        <f t="shared" si="55"/>
        <v>7.7244063484375003</v>
      </c>
      <c r="T61" s="8">
        <f t="shared" si="59"/>
        <v>15.549999999999999</v>
      </c>
    </row>
    <row r="62" spans="2:20" x14ac:dyDescent="0.15">
      <c r="B62" s="16">
        <f t="shared" si="56"/>
        <v>0.93000000000000016</v>
      </c>
      <c r="C62" s="17">
        <f t="shared" si="44"/>
        <v>502.95673222920709</v>
      </c>
      <c r="D62" s="16">
        <f t="shared" si="45"/>
        <v>7.0000973068181835</v>
      </c>
      <c r="E62" s="16">
        <f t="shared" si="46"/>
        <v>13.135636527935613</v>
      </c>
      <c r="G62" s="18">
        <f t="shared" si="47"/>
        <v>0.99275139938446955</v>
      </c>
      <c r="H62" s="19">
        <f t="shared" si="57"/>
        <v>535</v>
      </c>
      <c r="I62" s="18">
        <f t="shared" si="48"/>
        <v>7.3766057031249996</v>
      </c>
      <c r="J62" s="18">
        <f t="shared" si="49"/>
        <v>14.390664515625</v>
      </c>
      <c r="L62" s="12">
        <f t="shared" si="50"/>
        <v>1.0466504488636366</v>
      </c>
      <c r="M62" s="13">
        <f t="shared" si="51"/>
        <v>562.52291888297884</v>
      </c>
      <c r="N62" s="12">
        <f t="shared" si="58"/>
        <v>7.700000000000002</v>
      </c>
      <c r="O62" s="12">
        <f t="shared" si="52"/>
        <v>15.468645505208341</v>
      </c>
      <c r="Q62" s="8">
        <f t="shared" si="53"/>
        <v>1.0682181736032195</v>
      </c>
      <c r="R62" s="9">
        <f t="shared" si="54"/>
        <v>573.53622513297876</v>
      </c>
      <c r="S62" s="8">
        <f t="shared" si="55"/>
        <v>7.8294063484374998</v>
      </c>
      <c r="T62" s="8">
        <f t="shared" si="59"/>
        <v>15.899999999999999</v>
      </c>
    </row>
    <row r="63" spans="2:20" x14ac:dyDescent="0.15">
      <c r="B63" s="16">
        <f t="shared" si="56"/>
        <v>0.95500000000000018</v>
      </c>
      <c r="C63" s="17">
        <f t="shared" si="44"/>
        <v>515.72268967601565</v>
      </c>
      <c r="D63" s="16">
        <f t="shared" si="45"/>
        <v>7.1500973068181839</v>
      </c>
      <c r="E63" s="16">
        <f t="shared" si="46"/>
        <v>13.635636527935613</v>
      </c>
      <c r="G63" s="18">
        <f t="shared" si="47"/>
        <v>1.0123347327178029</v>
      </c>
      <c r="H63" s="19">
        <f t="shared" si="57"/>
        <v>545</v>
      </c>
      <c r="I63" s="18">
        <f t="shared" si="48"/>
        <v>7.4941057031250002</v>
      </c>
      <c r="J63" s="18">
        <f t="shared" si="49"/>
        <v>14.782331182291667</v>
      </c>
      <c r="L63" s="12">
        <f t="shared" si="50"/>
        <v>1.0716504488636367</v>
      </c>
      <c r="M63" s="13">
        <f t="shared" si="51"/>
        <v>575.2888763297874</v>
      </c>
      <c r="N63" s="12">
        <f t="shared" si="58"/>
        <v>7.8500000000000023</v>
      </c>
      <c r="O63" s="12">
        <f t="shared" si="52"/>
        <v>15.968645505208341</v>
      </c>
      <c r="Q63" s="8">
        <f t="shared" si="53"/>
        <v>1.0857181736032195</v>
      </c>
      <c r="R63" s="9">
        <f t="shared" si="54"/>
        <v>582.47239534574464</v>
      </c>
      <c r="S63" s="8">
        <f t="shared" si="55"/>
        <v>7.9344063484375003</v>
      </c>
      <c r="T63" s="8">
        <f t="shared" si="59"/>
        <v>16.25</v>
      </c>
    </row>
    <row r="64" spans="2:20" x14ac:dyDescent="0.15">
      <c r="B64" s="16"/>
      <c r="C64" s="17"/>
      <c r="D64" s="16"/>
      <c r="E64" s="16"/>
      <c r="G64" s="21"/>
      <c r="H64" s="21"/>
      <c r="I64" s="21"/>
      <c r="J64" s="21"/>
      <c r="L64" s="15"/>
      <c r="M64" s="15"/>
      <c r="N64" s="15"/>
      <c r="O64" s="15"/>
      <c r="Q64" s="11"/>
      <c r="R64" s="11"/>
      <c r="S64" s="11"/>
      <c r="T64" s="11"/>
    </row>
    <row r="65" spans="1:20" x14ac:dyDescent="0.15">
      <c r="B65" s="2" t="s">
        <v>2</v>
      </c>
      <c r="C65" s="2" t="s">
        <v>68</v>
      </c>
      <c r="D65" s="2" t="s">
        <v>4</v>
      </c>
      <c r="E65" s="2" t="s">
        <v>69</v>
      </c>
      <c r="G65" s="21"/>
      <c r="H65" s="21"/>
      <c r="I65" s="21"/>
      <c r="J65" s="21"/>
      <c r="L65" s="15"/>
      <c r="M65" s="15"/>
      <c r="N65" s="15"/>
      <c r="O65" s="15"/>
      <c r="Q65" s="11"/>
      <c r="R65" s="11"/>
      <c r="S65" s="11"/>
      <c r="T65" s="11"/>
    </row>
    <row r="66" spans="1:20" x14ac:dyDescent="0.15">
      <c r="A66" s="1" t="s">
        <v>72</v>
      </c>
      <c r="B66" s="49">
        <f>'Strip-Till'!L$31</f>
        <v>579.06561789772707</v>
      </c>
      <c r="C66" s="49">
        <f>'Strip-Till'!N$31</f>
        <v>663.57662500000004</v>
      </c>
      <c r="D66" s="49">
        <f>'Strip-Till'!P$31</f>
        <v>476.34328781250008</v>
      </c>
      <c r="E66" s="49">
        <f>'Strip-Till'!R$31</f>
        <v>310.84013562500002</v>
      </c>
      <c r="G66" s="21"/>
      <c r="H66" s="21"/>
      <c r="I66" s="21"/>
      <c r="J66" s="21"/>
      <c r="L66" s="15"/>
      <c r="M66" s="15"/>
      <c r="N66" s="15"/>
      <c r="O66" s="15"/>
      <c r="Q66" s="11"/>
      <c r="R66" s="11"/>
      <c r="S66" s="11"/>
      <c r="T66" s="11"/>
    </row>
    <row r="67" spans="1:20" x14ac:dyDescent="0.15">
      <c r="A67" s="1" t="s">
        <v>73</v>
      </c>
      <c r="B67" s="4">
        <f>'Strip-Till'!L$7</f>
        <v>750</v>
      </c>
      <c r="C67" s="4">
        <f>'Strip-Till'!N$7</f>
        <v>3400</v>
      </c>
      <c r="D67" s="4">
        <f>'Strip-Till'!P$7</f>
        <v>85</v>
      </c>
      <c r="E67" s="4">
        <f>'Strip-Till'!R$7</f>
        <v>30</v>
      </c>
      <c r="G67" s="21"/>
      <c r="H67" s="21"/>
      <c r="I67" s="21"/>
      <c r="J67" s="21"/>
      <c r="L67" s="15"/>
      <c r="M67" s="15"/>
      <c r="N67" s="15"/>
      <c r="O67" s="15"/>
      <c r="Q67" s="11"/>
      <c r="R67" s="11"/>
      <c r="S67" s="11"/>
      <c r="T67" s="11"/>
    </row>
    <row r="68" spans="1:20" x14ac:dyDescent="0.15">
      <c r="A68" s="5"/>
      <c r="B68" s="382" t="s">
        <v>74</v>
      </c>
      <c r="C68" s="382"/>
      <c r="D68" s="382"/>
      <c r="E68" s="382"/>
      <c r="F68" s="5"/>
      <c r="G68" s="383" t="s">
        <v>75</v>
      </c>
      <c r="H68" s="383"/>
      <c r="I68" s="383"/>
      <c r="J68" s="383"/>
      <c r="K68" s="5"/>
      <c r="L68" s="384" t="s">
        <v>76</v>
      </c>
      <c r="M68" s="384"/>
      <c r="N68" s="384"/>
      <c r="O68" s="384"/>
      <c r="P68" s="5"/>
      <c r="Q68" s="385" t="s">
        <v>77</v>
      </c>
      <c r="R68" s="385"/>
      <c r="S68" s="385"/>
      <c r="T68" s="385"/>
    </row>
    <row r="69" spans="1:20" ht="42" x14ac:dyDescent="0.15">
      <c r="A69" s="7"/>
      <c r="B69" s="23" t="s">
        <v>83</v>
      </c>
      <c r="C69" s="23" t="s">
        <v>80</v>
      </c>
      <c r="D69" s="23" t="s">
        <v>81</v>
      </c>
      <c r="E69" s="23" t="s">
        <v>82</v>
      </c>
      <c r="F69" s="7"/>
      <c r="G69" s="24" t="s">
        <v>83</v>
      </c>
      <c r="H69" s="24" t="s">
        <v>80</v>
      </c>
      <c r="I69" s="24" t="s">
        <v>81</v>
      </c>
      <c r="J69" s="24" t="s">
        <v>82</v>
      </c>
      <c r="K69" s="7"/>
      <c r="L69" s="25" t="s">
        <v>83</v>
      </c>
      <c r="M69" s="25" t="s">
        <v>80</v>
      </c>
      <c r="N69" s="25" t="s">
        <v>81</v>
      </c>
      <c r="O69" s="25" t="s">
        <v>82</v>
      </c>
      <c r="P69" s="7"/>
      <c r="Q69" s="26" t="s">
        <v>83</v>
      </c>
      <c r="R69" s="26" t="s">
        <v>80</v>
      </c>
      <c r="S69" s="26" t="s">
        <v>81</v>
      </c>
      <c r="T69" s="26" t="s">
        <v>82</v>
      </c>
    </row>
    <row r="70" spans="1:20" x14ac:dyDescent="0.15">
      <c r="B70" s="16">
        <f t="shared" ref="B70:B75" si="60">B71-0.025</f>
        <v>0.60499999999999987</v>
      </c>
      <c r="C70" s="17">
        <f>(((B70*$B$67)-$B$66+$C$66)/$C$67)*2000</f>
        <v>316.62412182486639</v>
      </c>
      <c r="D70" s="16">
        <f>(((B70*$B$67)-$B$66+$D$66)/$D$67)</f>
        <v>4.1297372931149754</v>
      </c>
      <c r="E70" s="16">
        <f>(((B70*$B$67)-$B$66+$E$66)/$E$67)</f>
        <v>6.1841505909090948</v>
      </c>
      <c r="G70" s="18">
        <f>(((H70*$C$67/2000)-$C$66+$B$66)/$B$67)</f>
        <v>0.80531865719696938</v>
      </c>
      <c r="H70" s="19">
        <f t="shared" ref="H70:H75" si="61">H71-10</f>
        <v>405</v>
      </c>
      <c r="I70" s="18">
        <f>(((H70*$C$67/2000)-$C$66+$D$66)/$D$67)</f>
        <v>5.8972548566176473</v>
      </c>
      <c r="J70" s="18">
        <f>(((H70*$C$67/2000)-$C$66+$E$66)/$E$67)</f>
        <v>11.192117020833333</v>
      </c>
      <c r="L70" s="12">
        <f>(((N70*$D$67)-$D$66+$B$66)/$B$67)</f>
        <v>0.78862977344696905</v>
      </c>
      <c r="M70" s="13">
        <f>(((N70*$D$67)-$D$66+$C$66)/$C$67)*2000</f>
        <v>397.63725716911745</v>
      </c>
      <c r="N70" s="12">
        <f t="shared" ref="N70:N75" si="62">N71-0.15</f>
        <v>5.7499999999999973</v>
      </c>
      <c r="O70" s="12">
        <f>(((N70*$D$67)-$D$66+$E$66)/$E$67)</f>
        <v>10.774894927083324</v>
      </c>
      <c r="Q70" s="8">
        <f>(((T70*$E$67)-$E$66+$B$66)/$B$67)</f>
        <v>0.81163397636363621</v>
      </c>
      <c r="R70" s="9">
        <f>(((T70*$E$67)-$E$66+$C$66)/$C$67)*2000</f>
        <v>407.7861702205883</v>
      </c>
      <c r="S70" s="8">
        <f>(((T70*$E$67)-$E$66+$D$66)/$D$67)</f>
        <v>5.952978261029414</v>
      </c>
      <c r="T70" s="8">
        <f t="shared" ref="T70:T75" si="63">T71-0.35</f>
        <v>11.350000000000003</v>
      </c>
    </row>
    <row r="71" spans="1:20" x14ac:dyDescent="0.15">
      <c r="B71" s="16">
        <f t="shared" si="60"/>
        <v>0.62999999999999989</v>
      </c>
      <c r="C71" s="17">
        <f t="shared" ref="C71:C84" si="64">(((B71*$B$67)-$B$66+$C$66)/$C$67)*2000</f>
        <v>327.65353358957231</v>
      </c>
      <c r="D71" s="16">
        <f t="shared" ref="D71:D84" si="65">(((B71*$B$67)-$B$66+$D$66)/$D$67)</f>
        <v>4.350325528409094</v>
      </c>
      <c r="E71" s="16">
        <f t="shared" ref="E71:E84" si="66">(((B71*$B$67)-$B$66+$E$66)/$E$67)</f>
        <v>6.8091505909090966</v>
      </c>
      <c r="G71" s="18">
        <f t="shared" ref="G71:G84" si="67">(((H71*$C$67/2000)-$C$66+$B$66)/$B$67)</f>
        <v>0.82798532386363599</v>
      </c>
      <c r="H71" s="19">
        <f t="shared" si="61"/>
        <v>415</v>
      </c>
      <c r="I71" s="18">
        <f t="shared" ref="I71:I84" si="68">(((H71*$C$67/2000)-$C$66+$D$66)/$D$67)</f>
        <v>6.0972548566176474</v>
      </c>
      <c r="J71" s="18">
        <f t="shared" ref="J71:J84" si="69">(((H71*$C$67/2000)-$C$66+$E$66)/$E$67)</f>
        <v>11.758783687499999</v>
      </c>
      <c r="L71" s="12">
        <f t="shared" ref="L71:L84" si="70">(((N71*$D$67)-$D$66+$B$66)/$B$67)</f>
        <v>0.80562977344696907</v>
      </c>
      <c r="M71" s="13">
        <f t="shared" ref="M71:M84" si="71">(((N71*$D$67)-$D$66+$C$66)/$C$67)*2000</f>
        <v>405.13725716911745</v>
      </c>
      <c r="N71" s="12">
        <f t="shared" si="62"/>
        <v>5.8999999999999977</v>
      </c>
      <c r="O71" s="12">
        <f t="shared" ref="O71:O84" si="72">(((N71*$D$67)-$D$66+$E$66)/$E$67)</f>
        <v>11.199894927083326</v>
      </c>
      <c r="Q71" s="8">
        <f t="shared" ref="Q71:Q84" si="73">(((T71*$E$67)-$E$66+$B$66)/$B$67)</f>
        <v>0.82563397636363622</v>
      </c>
      <c r="R71" s="9">
        <f t="shared" ref="R71:R84" si="74">(((T71*$E$67)-$E$66+$C$66)/$C$67)*2000</f>
        <v>413.96264080882361</v>
      </c>
      <c r="S71" s="8">
        <f t="shared" ref="S71:S84" si="75">(((T71*$E$67)-$E$66+$D$66)/$D$67)</f>
        <v>6.0765076727941194</v>
      </c>
      <c r="T71" s="8">
        <f t="shared" si="63"/>
        <v>11.700000000000003</v>
      </c>
    </row>
    <row r="72" spans="1:20" x14ac:dyDescent="0.15">
      <c r="B72" s="16">
        <f t="shared" si="60"/>
        <v>0.65499999999999992</v>
      </c>
      <c r="C72" s="17">
        <f t="shared" si="64"/>
        <v>338.68294535427822</v>
      </c>
      <c r="D72" s="16">
        <f t="shared" si="65"/>
        <v>4.5709137637032109</v>
      </c>
      <c r="E72" s="16">
        <f t="shared" si="66"/>
        <v>7.4341505909090966</v>
      </c>
      <c r="G72" s="18">
        <f t="shared" si="67"/>
        <v>0.85065199053030272</v>
      </c>
      <c r="H72" s="19">
        <f t="shared" si="61"/>
        <v>425</v>
      </c>
      <c r="I72" s="18">
        <f t="shared" si="68"/>
        <v>6.2972548566176476</v>
      </c>
      <c r="J72" s="18">
        <f t="shared" si="69"/>
        <v>12.325450354166666</v>
      </c>
      <c r="L72" s="12">
        <f t="shared" si="70"/>
        <v>0.82262977344696919</v>
      </c>
      <c r="M72" s="13">
        <f t="shared" si="71"/>
        <v>412.63725716911756</v>
      </c>
      <c r="N72" s="12">
        <f t="shared" si="62"/>
        <v>6.049999999999998</v>
      </c>
      <c r="O72" s="12">
        <f t="shared" si="72"/>
        <v>11.624894927083327</v>
      </c>
      <c r="Q72" s="8">
        <f t="shared" si="73"/>
        <v>0.83963397636363601</v>
      </c>
      <c r="R72" s="9">
        <f t="shared" si="74"/>
        <v>420.13911139705885</v>
      </c>
      <c r="S72" s="8">
        <f t="shared" si="75"/>
        <v>6.200037084558824</v>
      </c>
      <c r="T72" s="8">
        <f t="shared" si="63"/>
        <v>12.050000000000002</v>
      </c>
    </row>
    <row r="73" spans="1:20" x14ac:dyDescent="0.15">
      <c r="B73" s="16">
        <f t="shared" si="60"/>
        <v>0.67999999999999994</v>
      </c>
      <c r="C73" s="17">
        <f t="shared" si="64"/>
        <v>349.71235711898407</v>
      </c>
      <c r="D73" s="16">
        <f t="shared" si="65"/>
        <v>4.7915019989973286</v>
      </c>
      <c r="E73" s="16">
        <f t="shared" si="66"/>
        <v>8.0591505909090966</v>
      </c>
      <c r="G73" s="18">
        <f t="shared" si="67"/>
        <v>0.87331865719696933</v>
      </c>
      <c r="H73" s="19">
        <f t="shared" si="61"/>
        <v>435</v>
      </c>
      <c r="I73" s="18">
        <f t="shared" si="68"/>
        <v>6.4972548566176478</v>
      </c>
      <c r="J73" s="18">
        <f t="shared" si="69"/>
        <v>12.892117020833332</v>
      </c>
      <c r="L73" s="12">
        <f t="shared" si="70"/>
        <v>0.83962977344696921</v>
      </c>
      <c r="M73" s="13">
        <f t="shared" si="71"/>
        <v>420.13725716911756</v>
      </c>
      <c r="N73" s="12">
        <f t="shared" si="62"/>
        <v>6.1999999999999984</v>
      </c>
      <c r="O73" s="12">
        <f t="shared" si="72"/>
        <v>12.049894927083328</v>
      </c>
      <c r="Q73" s="8">
        <f t="shared" si="73"/>
        <v>0.85363397636363603</v>
      </c>
      <c r="R73" s="9">
        <f t="shared" si="74"/>
        <v>426.3155819852941</v>
      </c>
      <c r="S73" s="8">
        <f t="shared" si="75"/>
        <v>6.3235664963235303</v>
      </c>
      <c r="T73" s="8">
        <f t="shared" si="63"/>
        <v>12.400000000000002</v>
      </c>
    </row>
    <row r="74" spans="1:20" x14ac:dyDescent="0.15">
      <c r="B74" s="16">
        <f t="shared" si="60"/>
        <v>0.70499999999999996</v>
      </c>
      <c r="C74" s="17">
        <f t="shared" si="64"/>
        <v>360.74176888368999</v>
      </c>
      <c r="D74" s="16">
        <f t="shared" si="65"/>
        <v>5.0120902342914473</v>
      </c>
      <c r="E74" s="16">
        <f t="shared" si="66"/>
        <v>8.6841505909090984</v>
      </c>
      <c r="G74" s="18">
        <f t="shared" si="67"/>
        <v>0.89598532386363605</v>
      </c>
      <c r="H74" s="19">
        <f t="shared" si="61"/>
        <v>445</v>
      </c>
      <c r="I74" s="18">
        <f t="shared" si="68"/>
        <v>6.697254856617648</v>
      </c>
      <c r="J74" s="18">
        <f t="shared" si="69"/>
        <v>13.458783687499999</v>
      </c>
      <c r="L74" s="12">
        <f t="shared" si="70"/>
        <v>0.85662977344696911</v>
      </c>
      <c r="M74" s="13">
        <f t="shared" si="71"/>
        <v>427.63725716911756</v>
      </c>
      <c r="N74" s="12">
        <f t="shared" si="62"/>
        <v>6.3499999999999988</v>
      </c>
      <c r="O74" s="12">
        <f t="shared" si="72"/>
        <v>12.474894927083328</v>
      </c>
      <c r="Q74" s="8">
        <f t="shared" si="73"/>
        <v>0.86763397636363604</v>
      </c>
      <c r="R74" s="9">
        <f t="shared" si="74"/>
        <v>432.49205257352941</v>
      </c>
      <c r="S74" s="8">
        <f t="shared" si="75"/>
        <v>6.4470959080882357</v>
      </c>
      <c r="T74" s="8">
        <f t="shared" si="63"/>
        <v>12.750000000000002</v>
      </c>
    </row>
    <row r="75" spans="1:20" x14ac:dyDescent="0.15">
      <c r="B75" s="16">
        <f t="shared" si="60"/>
        <v>0.73</v>
      </c>
      <c r="C75" s="17">
        <f t="shared" si="64"/>
        <v>371.7711806483959</v>
      </c>
      <c r="D75" s="16">
        <f t="shared" si="65"/>
        <v>5.232678469585565</v>
      </c>
      <c r="E75" s="16">
        <f t="shared" si="66"/>
        <v>9.3091505909090984</v>
      </c>
      <c r="G75" s="18">
        <f t="shared" si="67"/>
        <v>0.91865199053030266</v>
      </c>
      <c r="H75" s="19">
        <f t="shared" si="61"/>
        <v>455</v>
      </c>
      <c r="I75" s="18">
        <f t="shared" si="68"/>
        <v>6.8972548566176473</v>
      </c>
      <c r="J75" s="18">
        <f t="shared" si="69"/>
        <v>14.025450354166667</v>
      </c>
      <c r="L75" s="12">
        <f t="shared" si="70"/>
        <v>0.87362977344696913</v>
      </c>
      <c r="M75" s="13">
        <f t="shared" si="71"/>
        <v>435.13725716911756</v>
      </c>
      <c r="N75" s="12">
        <f t="shared" si="62"/>
        <v>6.4999999999999991</v>
      </c>
      <c r="O75" s="12">
        <f t="shared" si="72"/>
        <v>12.899894927083327</v>
      </c>
      <c r="Q75" s="8">
        <f t="shared" si="73"/>
        <v>0.88163397636363605</v>
      </c>
      <c r="R75" s="9">
        <f t="shared" si="74"/>
        <v>438.66852316176471</v>
      </c>
      <c r="S75" s="8">
        <f t="shared" si="75"/>
        <v>6.5706253198529421</v>
      </c>
      <c r="T75" s="8">
        <f t="shared" si="63"/>
        <v>13.100000000000001</v>
      </c>
    </row>
    <row r="76" spans="1:20" ht="14" thickBot="1" x14ac:dyDescent="0.2">
      <c r="B76" s="16">
        <f>B77-0.025</f>
        <v>0.755</v>
      </c>
      <c r="C76" s="17">
        <f t="shared" si="64"/>
        <v>382.80059241310175</v>
      </c>
      <c r="D76" s="16">
        <f t="shared" si="65"/>
        <v>5.4532667048796828</v>
      </c>
      <c r="E76" s="16">
        <f t="shared" si="66"/>
        <v>9.9341505909090984</v>
      </c>
      <c r="G76" s="18">
        <f t="shared" si="67"/>
        <v>0.94131865719696939</v>
      </c>
      <c r="H76" s="19">
        <f>H77-10</f>
        <v>465</v>
      </c>
      <c r="I76" s="18">
        <f t="shared" si="68"/>
        <v>7.0972548566176474</v>
      </c>
      <c r="J76" s="18">
        <f t="shared" si="69"/>
        <v>14.592117020833333</v>
      </c>
      <c r="L76" s="12">
        <f t="shared" si="70"/>
        <v>0.89062977344696936</v>
      </c>
      <c r="M76" s="13">
        <f t="shared" si="71"/>
        <v>442.63725716911762</v>
      </c>
      <c r="N76" s="12">
        <f>N77-0.15</f>
        <v>6.6499999999999995</v>
      </c>
      <c r="O76" s="12">
        <f t="shared" si="72"/>
        <v>13.324894927083331</v>
      </c>
      <c r="Q76" s="8">
        <f t="shared" si="73"/>
        <v>0.89563397636363606</v>
      </c>
      <c r="R76" s="9">
        <f t="shared" si="74"/>
        <v>444.84499375000001</v>
      </c>
      <c r="S76" s="8">
        <f t="shared" si="75"/>
        <v>6.6941547316176475</v>
      </c>
      <c r="T76" s="8">
        <f>T77-0.35</f>
        <v>13.450000000000001</v>
      </c>
    </row>
    <row r="77" spans="1:20" ht="14" thickBot="1" x14ac:dyDescent="0.2">
      <c r="B77" s="22">
        <f>Conventional!$B$8</f>
        <v>0.78</v>
      </c>
      <c r="C77" s="17">
        <f t="shared" si="64"/>
        <v>393.83000417780761</v>
      </c>
      <c r="D77" s="16">
        <f t="shared" si="65"/>
        <v>5.6738549401738005</v>
      </c>
      <c r="E77" s="16">
        <f t="shared" si="66"/>
        <v>10.559150590909098</v>
      </c>
      <c r="G77" s="18">
        <f t="shared" si="67"/>
        <v>0.963985323863636</v>
      </c>
      <c r="H77" s="20">
        <f>Conventional!$D$8</f>
        <v>475</v>
      </c>
      <c r="I77" s="18">
        <f t="shared" si="68"/>
        <v>7.2972548566176476</v>
      </c>
      <c r="J77" s="18">
        <f t="shared" si="69"/>
        <v>15.1587836875</v>
      </c>
      <c r="L77" s="12">
        <f t="shared" si="70"/>
        <v>0.90762977344696927</v>
      </c>
      <c r="M77" s="13">
        <f t="shared" si="71"/>
        <v>450.13725716911762</v>
      </c>
      <c r="N77" s="14">
        <f>Conventional!$F$8</f>
        <v>6.8</v>
      </c>
      <c r="O77" s="12">
        <f t="shared" si="72"/>
        <v>13.74989492708333</v>
      </c>
      <c r="Q77" s="8">
        <f t="shared" si="73"/>
        <v>0.90963397636363608</v>
      </c>
      <c r="R77" s="9">
        <f t="shared" si="74"/>
        <v>451.02146433823532</v>
      </c>
      <c r="S77" s="8">
        <f t="shared" si="75"/>
        <v>6.8176841433823538</v>
      </c>
      <c r="T77" s="10">
        <f>Conventional!$H$8</f>
        <v>13.8</v>
      </c>
    </row>
    <row r="78" spans="1:20" x14ac:dyDescent="0.15">
      <c r="B78" s="16">
        <f>B77+0.025</f>
        <v>0.80500000000000005</v>
      </c>
      <c r="C78" s="17">
        <f t="shared" si="64"/>
        <v>404.85941594251352</v>
      </c>
      <c r="D78" s="16">
        <f t="shared" si="65"/>
        <v>5.8944431754679174</v>
      </c>
      <c r="E78" s="16">
        <f t="shared" si="66"/>
        <v>11.184150590909098</v>
      </c>
      <c r="G78" s="18">
        <f t="shared" si="67"/>
        <v>0.98665199053030272</v>
      </c>
      <c r="H78" s="19">
        <f>H77+10</f>
        <v>485</v>
      </c>
      <c r="I78" s="18">
        <f t="shared" si="68"/>
        <v>7.4972548566176478</v>
      </c>
      <c r="J78" s="18">
        <f t="shared" si="69"/>
        <v>15.725450354166666</v>
      </c>
      <c r="L78" s="12">
        <f t="shared" si="70"/>
        <v>0.92462977344696928</v>
      </c>
      <c r="M78" s="13">
        <f t="shared" si="71"/>
        <v>457.63725716911762</v>
      </c>
      <c r="N78" s="12">
        <f>N77+0.15</f>
        <v>6.95</v>
      </c>
      <c r="O78" s="12">
        <f t="shared" si="72"/>
        <v>14.174894927083331</v>
      </c>
      <c r="Q78" s="8">
        <f t="shared" si="73"/>
        <v>0.92363397636363609</v>
      </c>
      <c r="R78" s="9">
        <f t="shared" si="74"/>
        <v>457.19793492647062</v>
      </c>
      <c r="S78" s="8">
        <f t="shared" si="75"/>
        <v>6.9412135551470593</v>
      </c>
      <c r="T78" s="8">
        <f>T77+0.35</f>
        <v>14.15</v>
      </c>
    </row>
    <row r="79" spans="1:20" x14ac:dyDescent="0.15">
      <c r="B79" s="16">
        <f t="shared" ref="B79:B84" si="76">B78+0.025</f>
        <v>0.83000000000000007</v>
      </c>
      <c r="C79" s="17">
        <f t="shared" si="64"/>
        <v>415.88882770721943</v>
      </c>
      <c r="D79" s="16">
        <f t="shared" si="65"/>
        <v>6.1150314107620352</v>
      </c>
      <c r="E79" s="16">
        <f t="shared" si="66"/>
        <v>11.809150590909098</v>
      </c>
      <c r="G79" s="18">
        <f t="shared" si="67"/>
        <v>1.0093186571969694</v>
      </c>
      <c r="H79" s="19">
        <f t="shared" ref="H79:H84" si="77">H78+10</f>
        <v>495</v>
      </c>
      <c r="I79" s="18">
        <f t="shared" si="68"/>
        <v>7.697254856617648</v>
      </c>
      <c r="J79" s="18">
        <f t="shared" si="69"/>
        <v>16.292117020833334</v>
      </c>
      <c r="L79" s="12">
        <f t="shared" si="70"/>
        <v>0.9416297734469693</v>
      </c>
      <c r="M79" s="13">
        <f t="shared" si="71"/>
        <v>465.13725716911762</v>
      </c>
      <c r="N79" s="12">
        <f t="shared" ref="N79:N84" si="78">N78+0.15</f>
        <v>7.1000000000000005</v>
      </c>
      <c r="O79" s="12">
        <f t="shared" si="72"/>
        <v>14.599894927083332</v>
      </c>
      <c r="Q79" s="8">
        <f t="shared" si="73"/>
        <v>0.9376339763636361</v>
      </c>
      <c r="R79" s="9">
        <f t="shared" si="74"/>
        <v>463.37440551470587</v>
      </c>
      <c r="S79" s="8">
        <f t="shared" si="75"/>
        <v>7.0647429669117656</v>
      </c>
      <c r="T79" s="8">
        <f t="shared" ref="T79:T84" si="79">T78+0.35</f>
        <v>14.5</v>
      </c>
    </row>
    <row r="80" spans="1:20" x14ac:dyDescent="0.15">
      <c r="B80" s="16">
        <f t="shared" si="76"/>
        <v>0.85500000000000009</v>
      </c>
      <c r="C80" s="17">
        <f t="shared" si="64"/>
        <v>426.91823947192535</v>
      </c>
      <c r="D80" s="16">
        <f t="shared" si="65"/>
        <v>6.3356196460561547</v>
      </c>
      <c r="E80" s="16">
        <f t="shared" si="66"/>
        <v>12.434150590909102</v>
      </c>
      <c r="G80" s="18">
        <f t="shared" si="67"/>
        <v>1.0319853238636361</v>
      </c>
      <c r="H80" s="19">
        <f t="shared" si="77"/>
        <v>505</v>
      </c>
      <c r="I80" s="18">
        <f t="shared" si="68"/>
        <v>7.8972548566176473</v>
      </c>
      <c r="J80" s="18">
        <f t="shared" si="69"/>
        <v>16.858783687500001</v>
      </c>
      <c r="L80" s="12">
        <f t="shared" si="70"/>
        <v>0.95862977344696942</v>
      </c>
      <c r="M80" s="13">
        <f t="shared" si="71"/>
        <v>472.63725716911767</v>
      </c>
      <c r="N80" s="12">
        <f t="shared" si="78"/>
        <v>7.2500000000000009</v>
      </c>
      <c r="O80" s="12">
        <f t="shared" si="72"/>
        <v>15.024894927083334</v>
      </c>
      <c r="Q80" s="8">
        <f t="shared" si="73"/>
        <v>0.95163397636363611</v>
      </c>
      <c r="R80" s="9">
        <f t="shared" si="74"/>
        <v>469.55087610294117</v>
      </c>
      <c r="S80" s="8">
        <f t="shared" si="75"/>
        <v>7.1882723786764711</v>
      </c>
      <c r="T80" s="8">
        <f t="shared" si="79"/>
        <v>14.85</v>
      </c>
    </row>
    <row r="81" spans="1:20" x14ac:dyDescent="0.15">
      <c r="B81" s="16">
        <f t="shared" si="76"/>
        <v>0.88000000000000012</v>
      </c>
      <c r="C81" s="17">
        <f t="shared" si="64"/>
        <v>437.9476512366312</v>
      </c>
      <c r="D81" s="16">
        <f t="shared" si="65"/>
        <v>6.5562078813502724</v>
      </c>
      <c r="E81" s="16">
        <f t="shared" si="66"/>
        <v>13.059150590909102</v>
      </c>
      <c r="G81" s="18">
        <f t="shared" si="67"/>
        <v>1.0546519905303027</v>
      </c>
      <c r="H81" s="19">
        <f t="shared" si="77"/>
        <v>515</v>
      </c>
      <c r="I81" s="18">
        <f t="shared" si="68"/>
        <v>8.0972548566176474</v>
      </c>
      <c r="J81" s="18">
        <f t="shared" si="69"/>
        <v>17.425450354166667</v>
      </c>
      <c r="L81" s="12">
        <f t="shared" si="70"/>
        <v>0.97562977344696944</v>
      </c>
      <c r="M81" s="13">
        <f t="shared" si="71"/>
        <v>480.13725716911773</v>
      </c>
      <c r="N81" s="12">
        <f t="shared" si="78"/>
        <v>7.4000000000000012</v>
      </c>
      <c r="O81" s="12">
        <f t="shared" si="72"/>
        <v>15.449894927083335</v>
      </c>
      <c r="Q81" s="8">
        <f t="shared" si="73"/>
        <v>0.96563397636363602</v>
      </c>
      <c r="R81" s="9">
        <f t="shared" si="74"/>
        <v>475.72734669117648</v>
      </c>
      <c r="S81" s="8">
        <f t="shared" si="75"/>
        <v>7.3118017904411774</v>
      </c>
      <c r="T81" s="8">
        <f t="shared" si="79"/>
        <v>15.2</v>
      </c>
    </row>
    <row r="82" spans="1:20" x14ac:dyDescent="0.15">
      <c r="B82" s="16">
        <f t="shared" si="76"/>
        <v>0.90500000000000014</v>
      </c>
      <c r="C82" s="17">
        <f t="shared" si="64"/>
        <v>448.97706300133711</v>
      </c>
      <c r="D82" s="16">
        <f t="shared" si="65"/>
        <v>6.7767961166443893</v>
      </c>
      <c r="E82" s="16">
        <f t="shared" si="66"/>
        <v>13.684150590909102</v>
      </c>
      <c r="G82" s="18">
        <f t="shared" si="67"/>
        <v>1.0773186571969693</v>
      </c>
      <c r="H82" s="19">
        <f t="shared" si="77"/>
        <v>525</v>
      </c>
      <c r="I82" s="18">
        <f t="shared" si="68"/>
        <v>8.2972548566176467</v>
      </c>
      <c r="J82" s="18">
        <f t="shared" si="69"/>
        <v>17.992117020833334</v>
      </c>
      <c r="L82" s="12">
        <f t="shared" si="70"/>
        <v>0.99262977344696945</v>
      </c>
      <c r="M82" s="13">
        <f t="shared" si="71"/>
        <v>487.63725716911773</v>
      </c>
      <c r="N82" s="12">
        <f t="shared" si="78"/>
        <v>7.5500000000000016</v>
      </c>
      <c r="O82" s="12">
        <f t="shared" si="72"/>
        <v>15.874894927083336</v>
      </c>
      <c r="Q82" s="8">
        <f t="shared" si="73"/>
        <v>0.97963397636363603</v>
      </c>
      <c r="R82" s="9">
        <f t="shared" si="74"/>
        <v>481.90381727941178</v>
      </c>
      <c r="S82" s="8">
        <f t="shared" si="75"/>
        <v>7.4353312022058828</v>
      </c>
      <c r="T82" s="8">
        <f t="shared" si="79"/>
        <v>15.549999999999999</v>
      </c>
    </row>
    <row r="83" spans="1:20" x14ac:dyDescent="0.15">
      <c r="B83" s="16">
        <f t="shared" si="76"/>
        <v>0.93000000000000016</v>
      </c>
      <c r="C83" s="17">
        <f t="shared" si="64"/>
        <v>460.00647476604303</v>
      </c>
      <c r="D83" s="16">
        <f t="shared" si="65"/>
        <v>6.9973843519385071</v>
      </c>
      <c r="E83" s="16">
        <f t="shared" si="66"/>
        <v>14.309150590909102</v>
      </c>
      <c r="G83" s="18">
        <f t="shared" si="67"/>
        <v>1.0999853238636361</v>
      </c>
      <c r="H83" s="19">
        <f t="shared" si="77"/>
        <v>535</v>
      </c>
      <c r="I83" s="18">
        <f t="shared" si="68"/>
        <v>8.4972548566176478</v>
      </c>
      <c r="J83" s="18">
        <f t="shared" si="69"/>
        <v>18.5587836875</v>
      </c>
      <c r="L83" s="12">
        <f t="shared" si="70"/>
        <v>1.0096297734469695</v>
      </c>
      <c r="M83" s="13">
        <f t="shared" si="71"/>
        <v>495.13725716911767</v>
      </c>
      <c r="N83" s="12">
        <f t="shared" si="78"/>
        <v>7.700000000000002</v>
      </c>
      <c r="O83" s="12">
        <f t="shared" si="72"/>
        <v>16.299894927083336</v>
      </c>
      <c r="Q83" s="8">
        <f t="shared" si="73"/>
        <v>0.99363397636363604</v>
      </c>
      <c r="R83" s="9">
        <f t="shared" si="74"/>
        <v>488.08028786764709</v>
      </c>
      <c r="S83" s="8">
        <f t="shared" si="75"/>
        <v>7.5588606139705892</v>
      </c>
      <c r="T83" s="8">
        <f t="shared" si="79"/>
        <v>15.899999999999999</v>
      </c>
    </row>
    <row r="84" spans="1:20" x14ac:dyDescent="0.15">
      <c r="A84" s="40"/>
      <c r="B84" s="41">
        <f t="shared" si="76"/>
        <v>0.95500000000000018</v>
      </c>
      <c r="C84" s="42">
        <f t="shared" si="64"/>
        <v>471.03588653074883</v>
      </c>
      <c r="D84" s="41">
        <f t="shared" si="65"/>
        <v>7.2179725872326248</v>
      </c>
      <c r="E84" s="41">
        <f t="shared" si="66"/>
        <v>14.934150590909102</v>
      </c>
      <c r="F84" s="40"/>
      <c r="G84" s="43">
        <f t="shared" si="67"/>
        <v>1.1226519905303027</v>
      </c>
      <c r="H84" s="44">
        <f t="shared" si="77"/>
        <v>545</v>
      </c>
      <c r="I84" s="43">
        <f t="shared" si="68"/>
        <v>8.6972548566176471</v>
      </c>
      <c r="J84" s="43">
        <f t="shared" si="69"/>
        <v>19.125450354166667</v>
      </c>
      <c r="K84" s="40"/>
      <c r="L84" s="45">
        <f t="shared" si="70"/>
        <v>1.0266297734469696</v>
      </c>
      <c r="M84" s="46">
        <f t="shared" si="71"/>
        <v>502.63725716911779</v>
      </c>
      <c r="N84" s="45">
        <f t="shared" si="78"/>
        <v>7.8500000000000023</v>
      </c>
      <c r="O84" s="45">
        <f t="shared" si="72"/>
        <v>16.724894927083337</v>
      </c>
      <c r="P84" s="40"/>
      <c r="Q84" s="47">
        <f t="shared" si="73"/>
        <v>1.0076339763636362</v>
      </c>
      <c r="R84" s="48">
        <f t="shared" si="74"/>
        <v>494.25675845588233</v>
      </c>
      <c r="S84" s="47">
        <f t="shared" si="75"/>
        <v>7.6823900257352946</v>
      </c>
      <c r="T84" s="47">
        <f t="shared" si="79"/>
        <v>16.25</v>
      </c>
    </row>
  </sheetData>
  <mergeCells count="18">
    <mergeCell ref="B68:E68"/>
    <mergeCell ref="G68:J68"/>
    <mergeCell ref="L68:O68"/>
    <mergeCell ref="Q68:T68"/>
    <mergeCell ref="B5:E5"/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H218"/>
  <sheetViews>
    <sheetView zoomScale="140" zoomScaleNormal="140" zoomScalePageLayoutView="170" workbookViewId="0">
      <pane xSplit="1" ySplit="8" topLeftCell="B9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baseColWidth="10" defaultColWidth="8.83203125" defaultRowHeight="14" x14ac:dyDescent="0.2"/>
  <cols>
    <col min="1" max="1" width="28.33203125" style="87" customWidth="1"/>
    <col min="2" max="2" width="7.5" style="91" bestFit="1" customWidth="1"/>
    <col min="3" max="3" width="3" style="91" bestFit="1" customWidth="1"/>
    <col min="4" max="4" width="5.5" style="91" bestFit="1" customWidth="1"/>
    <col min="5" max="5" width="4" style="91" bestFit="1" customWidth="1"/>
    <col min="6" max="6" width="5.5" style="91" bestFit="1" customWidth="1"/>
    <col min="7" max="7" width="3.5" style="91" bestFit="1" customWidth="1"/>
    <col min="8" max="8" width="5.83203125" style="91" bestFit="1" customWidth="1"/>
    <col min="9" max="9" width="3.5" style="91" bestFit="1" customWidth="1"/>
    <col min="10" max="10" width="5.5" style="91" bestFit="1" customWidth="1"/>
    <col min="11" max="11" width="3.5" style="91" bestFit="1" customWidth="1"/>
    <col min="12" max="12" width="5.5" style="91" bestFit="1" customWidth="1"/>
    <col min="13" max="13" width="3" style="91" bestFit="1" customWidth="1"/>
    <col min="14" max="14" width="5.5" style="91" bestFit="1" customWidth="1"/>
    <col min="15" max="15" width="4" style="91" bestFit="1" customWidth="1"/>
    <col min="16" max="16" width="5.5" style="91" bestFit="1" customWidth="1"/>
    <col min="17" max="17" width="3.5" style="91" bestFit="1" customWidth="1"/>
    <col min="18" max="18" width="5.83203125" style="91" bestFit="1" customWidth="1"/>
    <col min="19" max="19" width="3.5" style="91" bestFit="1" customWidth="1"/>
    <col min="20" max="20" width="5.5" style="91" bestFit="1" customWidth="1"/>
    <col min="21" max="21" width="3.5" style="91" bestFit="1" customWidth="1"/>
    <col min="22" max="22" width="8.83203125" style="91"/>
    <col min="23" max="23" width="9.1640625" style="90" bestFit="1" customWidth="1"/>
    <col min="24" max="24" width="7.5" style="90" bestFit="1" customWidth="1"/>
    <col min="25" max="25" width="6.1640625" style="90" bestFit="1" customWidth="1"/>
    <col min="26" max="26" width="7.5" style="90" bestFit="1" customWidth="1"/>
    <col min="27" max="27" width="7.1640625" style="90" bestFit="1" customWidth="1"/>
    <col min="28" max="28" width="6.6640625" style="90" bestFit="1" customWidth="1"/>
    <col min="29" max="29" width="9.1640625" style="90" bestFit="1" customWidth="1"/>
    <col min="30" max="30" width="6.6640625" style="90" bestFit="1" customWidth="1"/>
    <col min="31" max="31" width="7.1640625" style="90" bestFit="1" customWidth="1"/>
    <col min="32" max="32" width="7.5" style="90" bestFit="1" customWidth="1"/>
    <col min="33" max="33" width="8.1640625" style="90" bestFit="1" customWidth="1"/>
    <col min="34" max="34" width="7.5" style="90" bestFit="1" customWidth="1"/>
    <col min="35" max="35" width="6" style="91" bestFit="1" customWidth="1"/>
    <col min="36" max="37" width="2" style="91" bestFit="1" customWidth="1"/>
    <col min="38" max="38" width="12" style="91" bestFit="1" customWidth="1"/>
    <col min="39" max="39" width="2" style="91" bestFit="1" customWidth="1"/>
    <col min="40" max="40" width="7" style="91" bestFit="1" customWidth="1"/>
    <col min="41" max="41" width="2" style="91" bestFit="1" customWidth="1"/>
    <col min="42" max="42" width="9" style="91" bestFit="1" customWidth="1"/>
    <col min="43" max="16384" width="8.83203125" style="91"/>
  </cols>
  <sheetData>
    <row r="1" spans="1:34" s="87" customFormat="1" ht="12" x14ac:dyDescent="0.15">
      <c r="A1" s="85" t="str">
        <f>Conventional!A1</f>
        <v>Estimate of 2023 Relative Row Crop Costs and Net Returns</v>
      </c>
      <c r="B1" s="85"/>
      <c r="C1" s="85"/>
      <c r="D1" s="85"/>
      <c r="E1" s="85"/>
      <c r="F1" s="85"/>
      <c r="G1" s="85"/>
      <c r="H1" s="85"/>
      <c r="I1" s="85"/>
      <c r="J1" s="418" t="s">
        <v>195</v>
      </c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290" customFormat="1" ht="11" x14ac:dyDescent="0.15">
      <c r="A2" s="288" t="str">
        <f>Conventional!A2</f>
        <v>By A.R. Smith and Yangxuan Liu, UGA Extension Economists, Department of Agricultural &amp; Applied Economics</v>
      </c>
      <c r="B2" s="288"/>
      <c r="C2" s="288"/>
      <c r="D2" s="288"/>
      <c r="E2" s="288"/>
      <c r="F2" s="288"/>
      <c r="G2" s="288"/>
      <c r="H2" s="288"/>
      <c r="I2" s="288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34" x14ac:dyDescent="0.2">
      <c r="A3" s="276" t="str">
        <f>Conventional!A3</f>
        <v>Jan 2023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90"/>
    </row>
    <row r="4" spans="1:34" x14ac:dyDescent="0.2">
      <c r="A4" s="92" t="s">
        <v>26</v>
      </c>
      <c r="B4" s="378" t="s">
        <v>0</v>
      </c>
      <c r="C4" s="379"/>
      <c r="D4" s="379"/>
      <c r="E4" s="379"/>
      <c r="F4" s="379"/>
      <c r="G4" s="379"/>
      <c r="H4" s="379"/>
      <c r="I4" s="379"/>
      <c r="J4" s="379"/>
      <c r="K4" s="93"/>
      <c r="L4" s="370" t="s">
        <v>1</v>
      </c>
      <c r="M4" s="370"/>
      <c r="N4" s="370"/>
      <c r="O4" s="370"/>
      <c r="P4" s="370"/>
      <c r="Q4" s="370"/>
      <c r="R4" s="370"/>
      <c r="S4" s="370"/>
      <c r="T4" s="370"/>
      <c r="U4" s="94"/>
      <c r="V4" s="90"/>
    </row>
    <row r="5" spans="1:34" x14ac:dyDescent="0.2">
      <c r="A5" s="95"/>
      <c r="B5" s="96"/>
      <c r="C5" s="97"/>
      <c r="D5" s="270"/>
      <c r="E5" s="271"/>
      <c r="F5" s="238"/>
      <c r="G5" s="227"/>
      <c r="H5" s="215"/>
      <c r="I5" s="227"/>
      <c r="J5" s="366" t="s">
        <v>23</v>
      </c>
      <c r="K5" s="411"/>
      <c r="L5" s="97"/>
      <c r="M5" s="97"/>
      <c r="N5" s="274"/>
      <c r="O5" s="275"/>
      <c r="P5" s="238"/>
      <c r="Q5" s="227"/>
      <c r="R5" s="215"/>
      <c r="S5" s="227"/>
      <c r="T5" s="413" t="s">
        <v>23</v>
      </c>
      <c r="U5" s="414"/>
      <c r="V5" s="90"/>
    </row>
    <row r="6" spans="1:34" x14ac:dyDescent="0.2">
      <c r="A6" s="95"/>
      <c r="B6" s="372" t="s">
        <v>2</v>
      </c>
      <c r="C6" s="370"/>
      <c r="D6" s="408" t="s">
        <v>3</v>
      </c>
      <c r="E6" s="409"/>
      <c r="F6" s="375" t="s">
        <v>4</v>
      </c>
      <c r="G6" s="410"/>
      <c r="H6" s="370" t="s">
        <v>5</v>
      </c>
      <c r="I6" s="410"/>
      <c r="J6" s="370" t="s">
        <v>6</v>
      </c>
      <c r="K6" s="412"/>
      <c r="L6" s="372" t="s">
        <v>2</v>
      </c>
      <c r="M6" s="370"/>
      <c r="N6" s="408" t="s">
        <v>3</v>
      </c>
      <c r="O6" s="409"/>
      <c r="P6" s="375" t="s">
        <v>4</v>
      </c>
      <c r="Q6" s="410"/>
      <c r="R6" s="370" t="s">
        <v>5</v>
      </c>
      <c r="S6" s="410"/>
      <c r="T6" s="370" t="s">
        <v>6</v>
      </c>
      <c r="U6" s="371"/>
      <c r="V6" s="90"/>
    </row>
    <row r="7" spans="1:34" x14ac:dyDescent="0.2">
      <c r="A7" s="98" t="s">
        <v>154</v>
      </c>
      <c r="B7" s="268">
        <v>1200</v>
      </c>
      <c r="C7" s="266" t="s">
        <v>158</v>
      </c>
      <c r="D7" s="257">
        <f>'Peanut Price Calculator'!B10</f>
        <v>4700</v>
      </c>
      <c r="E7" s="272" t="s">
        <v>158</v>
      </c>
      <c r="F7" s="261">
        <v>200</v>
      </c>
      <c r="G7" s="262" t="s">
        <v>161</v>
      </c>
      <c r="H7" s="263">
        <v>60</v>
      </c>
      <c r="I7" s="262" t="s">
        <v>161</v>
      </c>
      <c r="J7" s="263">
        <v>100</v>
      </c>
      <c r="K7" s="265" t="s">
        <v>161</v>
      </c>
      <c r="L7" s="263">
        <v>750</v>
      </c>
      <c r="M7" s="266" t="s">
        <v>158</v>
      </c>
      <c r="N7" s="257">
        <f>'Peanut Price Calculator'!B21</f>
        <v>3400</v>
      </c>
      <c r="O7" s="272" t="s">
        <v>158</v>
      </c>
      <c r="P7" s="261">
        <v>85</v>
      </c>
      <c r="Q7" s="262" t="s">
        <v>161</v>
      </c>
      <c r="R7" s="263">
        <v>30</v>
      </c>
      <c r="S7" s="262" t="s">
        <v>161</v>
      </c>
      <c r="T7" s="263">
        <v>65</v>
      </c>
      <c r="U7" s="264" t="s">
        <v>161</v>
      </c>
      <c r="V7" s="90"/>
    </row>
    <row r="8" spans="1:34" ht="15" thickBot="1" x14ac:dyDescent="0.25">
      <c r="A8" s="99" t="s">
        <v>124</v>
      </c>
      <c r="B8" s="269">
        <f>Conventional!B8</f>
        <v>0.78</v>
      </c>
      <c r="C8" s="255" t="s">
        <v>159</v>
      </c>
      <c r="D8" s="259">
        <f>'Peanut Price Calculator'!B17</f>
        <v>475</v>
      </c>
      <c r="E8" s="273" t="s">
        <v>160</v>
      </c>
      <c r="F8" s="269">
        <f>Conventional!F8</f>
        <v>6.8</v>
      </c>
      <c r="G8" s="249" t="s">
        <v>162</v>
      </c>
      <c r="H8" s="269">
        <f>Conventional!H8</f>
        <v>13.8</v>
      </c>
      <c r="I8" s="249" t="s">
        <v>162</v>
      </c>
      <c r="J8" s="269">
        <f>Conventional!J8</f>
        <v>6.4</v>
      </c>
      <c r="K8" s="254" t="s">
        <v>162</v>
      </c>
      <c r="L8" s="253">
        <f>Conventional!B8</f>
        <v>0.78</v>
      </c>
      <c r="M8" s="255" t="s">
        <v>159</v>
      </c>
      <c r="N8" s="259">
        <f>'Peanut Price Calculator'!B28</f>
        <v>475</v>
      </c>
      <c r="O8" s="273" t="s">
        <v>160</v>
      </c>
      <c r="P8" s="252">
        <f>Conventional!F8</f>
        <v>6.8</v>
      </c>
      <c r="Q8" s="249" t="s">
        <v>162</v>
      </c>
      <c r="R8" s="253">
        <f>Conventional!H8</f>
        <v>13.8</v>
      </c>
      <c r="S8" s="249" t="s">
        <v>162</v>
      </c>
      <c r="T8" s="253">
        <f>Conventional!J8</f>
        <v>6.4</v>
      </c>
      <c r="U8" s="251" t="s">
        <v>162</v>
      </c>
      <c r="V8" s="90"/>
    </row>
    <row r="9" spans="1:34" x14ac:dyDescent="0.2">
      <c r="A9" s="100" t="s">
        <v>155</v>
      </c>
      <c r="B9" s="359">
        <f>B7*B8</f>
        <v>936</v>
      </c>
      <c r="C9" s="352"/>
      <c r="D9" s="361">
        <f>D8*(D7/2000)</f>
        <v>1116.25</v>
      </c>
      <c r="E9" s="352"/>
      <c r="F9" s="361">
        <f>F7*F8</f>
        <v>1360</v>
      </c>
      <c r="G9" s="406"/>
      <c r="H9" s="352">
        <f>H7*H8</f>
        <v>828</v>
      </c>
      <c r="I9" s="406"/>
      <c r="J9" s="352">
        <f>J7*J8</f>
        <v>640</v>
      </c>
      <c r="K9" s="407"/>
      <c r="L9" s="359">
        <f>L7*L8</f>
        <v>585</v>
      </c>
      <c r="M9" s="352"/>
      <c r="N9" s="361">
        <f>N8*(N7/2000)</f>
        <v>807.5</v>
      </c>
      <c r="O9" s="352"/>
      <c r="P9" s="361">
        <f>P7*P8</f>
        <v>578</v>
      </c>
      <c r="Q9" s="406"/>
      <c r="R9" s="352">
        <f>R7*R8</f>
        <v>414</v>
      </c>
      <c r="S9" s="406"/>
      <c r="T9" s="415">
        <f>T7*T8</f>
        <v>416</v>
      </c>
      <c r="U9" s="416"/>
      <c r="V9" s="90"/>
    </row>
    <row r="10" spans="1:34" x14ac:dyDescent="0.2">
      <c r="A10" s="101" t="s">
        <v>156</v>
      </c>
      <c r="B10" s="102"/>
      <c r="C10" s="103"/>
      <c r="D10" s="228"/>
      <c r="E10" s="103"/>
      <c r="F10" s="228"/>
      <c r="G10" s="229"/>
      <c r="H10" s="103"/>
      <c r="I10" s="229"/>
      <c r="J10" s="103"/>
      <c r="K10" s="104"/>
      <c r="L10" s="103"/>
      <c r="M10" s="103"/>
      <c r="N10" s="228"/>
      <c r="O10" s="103"/>
      <c r="P10" s="228"/>
      <c r="Q10" s="229"/>
      <c r="R10" s="103"/>
      <c r="S10" s="229"/>
      <c r="T10" s="103"/>
      <c r="U10" s="105"/>
      <c r="V10" s="90"/>
    </row>
    <row r="11" spans="1:34" x14ac:dyDescent="0.2">
      <c r="A11" s="95" t="s">
        <v>24</v>
      </c>
      <c r="B11" s="360">
        <v>105</v>
      </c>
      <c r="C11" s="350"/>
      <c r="D11" s="355">
        <v>129.5</v>
      </c>
      <c r="E11" s="350"/>
      <c r="F11" s="355">
        <f>121.6</f>
        <v>121.6</v>
      </c>
      <c r="G11" s="356"/>
      <c r="H11" s="358">
        <f>Conventional!H11</f>
        <v>63.75</v>
      </c>
      <c r="I11" s="358"/>
      <c r="J11" s="350">
        <v>25.2</v>
      </c>
      <c r="K11" s="417"/>
      <c r="L11" s="360">
        <v>105</v>
      </c>
      <c r="M11" s="350"/>
      <c r="N11" s="355">
        <f>D11</f>
        <v>129.5</v>
      </c>
      <c r="O11" s="350"/>
      <c r="P11" s="355">
        <v>77</v>
      </c>
      <c r="Q11" s="356"/>
      <c r="R11" s="355">
        <f>Conventional!R11</f>
        <v>63.75</v>
      </c>
      <c r="S11" s="356"/>
      <c r="T11" s="350">
        <v>15.4</v>
      </c>
      <c r="U11" s="351"/>
      <c r="V11" s="90"/>
      <c r="AE11" s="283"/>
      <c r="AF11" s="283"/>
      <c r="AG11" s="283"/>
      <c r="AH11" s="283"/>
    </row>
    <row r="12" spans="1:34" x14ac:dyDescent="0.2">
      <c r="A12" s="95" t="s">
        <v>30</v>
      </c>
      <c r="B12" s="321"/>
      <c r="C12" s="322"/>
      <c r="D12" s="309"/>
      <c r="E12" s="322"/>
      <c r="F12" s="309"/>
      <c r="G12" s="310"/>
      <c r="H12" s="322"/>
      <c r="I12" s="310"/>
      <c r="J12" s="322"/>
      <c r="K12" s="399"/>
      <c r="L12" s="321"/>
      <c r="M12" s="322"/>
      <c r="N12" s="309"/>
      <c r="O12" s="322"/>
      <c r="P12" s="309"/>
      <c r="Q12" s="310"/>
      <c r="R12" s="322"/>
      <c r="S12" s="310"/>
      <c r="T12" s="322"/>
      <c r="U12" s="329"/>
      <c r="V12" s="90"/>
    </row>
    <row r="13" spans="1:34" x14ac:dyDescent="0.2">
      <c r="A13" s="95" t="s">
        <v>8</v>
      </c>
      <c r="B13" s="321">
        <f>B7/495*0.75</f>
        <v>1.8181818181818183</v>
      </c>
      <c r="C13" s="322"/>
      <c r="D13" s="230"/>
      <c r="E13" s="106"/>
      <c r="F13" s="230"/>
      <c r="G13" s="231"/>
      <c r="H13" s="106"/>
      <c r="I13" s="231"/>
      <c r="J13" s="106"/>
      <c r="K13" s="107"/>
      <c r="L13" s="321">
        <f>L7/495*0.75</f>
        <v>1.1363636363636362</v>
      </c>
      <c r="M13" s="322"/>
      <c r="N13" s="230"/>
      <c r="O13" s="106"/>
      <c r="P13" s="230"/>
      <c r="Q13" s="231"/>
      <c r="R13" s="106"/>
      <c r="S13" s="231"/>
      <c r="T13" s="106"/>
      <c r="U13" s="108"/>
      <c r="V13" s="90"/>
    </row>
    <row r="14" spans="1:34" x14ac:dyDescent="0.2">
      <c r="A14" s="95" t="s">
        <v>31</v>
      </c>
      <c r="B14" s="321">
        <f>19.8+3.4+B7*0.075*$D$48+0.0583*B7*$F$48+0.0583*B7*$H$48</f>
        <v>230.63800000000001</v>
      </c>
      <c r="C14" s="310"/>
      <c r="D14" s="312">
        <f>9.25+60+3.4</f>
        <v>72.650000000000006</v>
      </c>
      <c r="E14" s="312"/>
      <c r="F14" s="309">
        <f>30+1.2*F7*$D$48+0.5*F7*$F$48+F7*$H$48</f>
        <v>524</v>
      </c>
      <c r="G14" s="310"/>
      <c r="H14" s="322">
        <f>6.5+19.8+0.6667*H7*$F$48+1.333*H7*$H$48+3.37</f>
        <v>121.6566</v>
      </c>
      <c r="I14" s="310"/>
      <c r="J14" s="322">
        <f>30+1.25*J7*$D$48+0.6*J7*$F$48+0.9*J7*$H$48</f>
        <v>283</v>
      </c>
      <c r="K14" s="399"/>
      <c r="L14" s="321">
        <f>19.8+3.4+0.08*L7*$D$48+0.0667*L7*$F$48+0.0667*L7*$H$48</f>
        <v>166.73874999999998</v>
      </c>
      <c r="M14" s="322"/>
      <c r="N14" s="312">
        <f>9.25+60+3.4</f>
        <v>72.650000000000006</v>
      </c>
      <c r="O14" s="312"/>
      <c r="P14" s="309">
        <f>15+P7*1.1765*$D$48+0.4706*P7*$F$48+0.7059*P7*$H$48</f>
        <v>202.00467500000002</v>
      </c>
      <c r="Q14" s="310"/>
      <c r="R14" s="322">
        <f>6.5+19.8+1.3333*R7*$F$48+2.6667*R7*$H$48+3.37</f>
        <v>121.66995</v>
      </c>
      <c r="S14" s="310"/>
      <c r="T14" s="322">
        <f>15+1.2308*T7*$D$48+0.6154*T7*$F$48+0.9231*T7*$H$48</f>
        <v>180.00412499999999</v>
      </c>
      <c r="U14" s="329"/>
      <c r="V14" s="90"/>
    </row>
    <row r="15" spans="1:34" x14ac:dyDescent="0.2">
      <c r="A15" s="95" t="s">
        <v>125</v>
      </c>
      <c r="B15" s="109"/>
      <c r="C15" s="106"/>
      <c r="D15" s="230"/>
      <c r="E15" s="106"/>
      <c r="F15" s="230"/>
      <c r="G15" s="231"/>
      <c r="H15" s="106"/>
      <c r="I15" s="231"/>
      <c r="J15" s="106"/>
      <c r="K15" s="107"/>
      <c r="L15" s="106"/>
      <c r="M15" s="106"/>
      <c r="N15" s="230"/>
      <c r="O15" s="106"/>
      <c r="P15" s="230"/>
      <c r="Q15" s="231"/>
      <c r="R15" s="106"/>
      <c r="S15" s="231"/>
      <c r="T15" s="106"/>
      <c r="U15" s="108"/>
      <c r="V15" s="90"/>
    </row>
    <row r="16" spans="1:34" x14ac:dyDescent="0.2">
      <c r="A16" s="95" t="s">
        <v>9</v>
      </c>
      <c r="B16" s="321">
        <f>(117.2+106.05)/2+25.1+7.2+14.38</f>
        <v>158.30499999999998</v>
      </c>
      <c r="C16" s="322"/>
      <c r="D16" s="309">
        <f>62.1+42.5+102.73</f>
        <v>207.32999999999998</v>
      </c>
      <c r="E16" s="322"/>
      <c r="F16" s="309">
        <f>48+11.26+15.75</f>
        <v>75.009999999999991</v>
      </c>
      <c r="G16" s="310"/>
      <c r="H16" s="322">
        <f>42.68+3.1+18</f>
        <v>63.78</v>
      </c>
      <c r="I16" s="310"/>
      <c r="J16" s="322">
        <f>21+18.24</f>
        <v>39.239999999999995</v>
      </c>
      <c r="K16" s="399"/>
      <c r="L16" s="321">
        <f>(117.2+106.05)/2+25.1+5.2+14.38</f>
        <v>156.30499999999998</v>
      </c>
      <c r="M16" s="322"/>
      <c r="N16" s="309">
        <f>74.46+42.5+63.35</f>
        <v>180.31</v>
      </c>
      <c r="O16" s="322"/>
      <c r="P16" s="309">
        <f>34+11.26+15.75</f>
        <v>61.01</v>
      </c>
      <c r="Q16" s="310"/>
      <c r="R16" s="322">
        <f>41.98+3.1</f>
        <v>45.08</v>
      </c>
      <c r="S16" s="310"/>
      <c r="T16" s="322">
        <f>21+18.24</f>
        <v>39.239999999999995</v>
      </c>
      <c r="U16" s="329"/>
      <c r="V16" s="90"/>
    </row>
    <row r="17" spans="1:22" x14ac:dyDescent="0.2">
      <c r="A17" s="95" t="s">
        <v>172</v>
      </c>
      <c r="B17" s="321"/>
      <c r="C17" s="322"/>
      <c r="D17" s="230"/>
      <c r="E17" s="106"/>
      <c r="F17" s="230"/>
      <c r="G17" s="231"/>
      <c r="H17" s="106"/>
      <c r="I17" s="231"/>
      <c r="J17" s="106"/>
      <c r="K17" s="107"/>
      <c r="L17" s="321"/>
      <c r="M17" s="322"/>
      <c r="N17" s="230"/>
      <c r="O17" s="106"/>
      <c r="P17" s="230"/>
      <c r="Q17" s="231"/>
      <c r="R17" s="106"/>
      <c r="S17" s="231"/>
      <c r="T17" s="106"/>
      <c r="U17" s="108"/>
      <c r="V17" s="90"/>
    </row>
    <row r="18" spans="1:22" x14ac:dyDescent="0.2">
      <c r="A18" s="95" t="s">
        <v>174</v>
      </c>
      <c r="B18" s="321">
        <f>Conventional!B17</f>
        <v>18</v>
      </c>
      <c r="C18" s="322"/>
      <c r="D18" s="309">
        <f>Conventional!D17</f>
        <v>18</v>
      </c>
      <c r="E18" s="310"/>
      <c r="F18" s="230"/>
      <c r="G18" s="231"/>
      <c r="H18" s="106"/>
      <c r="I18" s="231"/>
      <c r="J18" s="106"/>
      <c r="K18" s="107"/>
      <c r="L18" s="321">
        <f>Conventional!L17</f>
        <v>18</v>
      </c>
      <c r="M18" s="322"/>
      <c r="N18" s="309">
        <f>Conventional!N17</f>
        <v>18</v>
      </c>
      <c r="O18" s="310"/>
      <c r="P18" s="230"/>
      <c r="Q18" s="231"/>
      <c r="R18" s="106"/>
      <c r="S18" s="231"/>
      <c r="T18" s="106"/>
      <c r="U18" s="108"/>
      <c r="V18" s="90"/>
    </row>
    <row r="19" spans="1:22" x14ac:dyDescent="0.2">
      <c r="A19" s="95" t="s">
        <v>10</v>
      </c>
      <c r="B19" s="321">
        <f>Conventional!B18</f>
        <v>12.5</v>
      </c>
      <c r="C19" s="322"/>
      <c r="D19" s="309">
        <f>Conventional!D18</f>
        <v>12.5</v>
      </c>
      <c r="E19" s="310"/>
      <c r="F19" s="230"/>
      <c r="G19" s="231"/>
      <c r="H19" s="106"/>
      <c r="I19" s="231"/>
      <c r="J19" s="106"/>
      <c r="K19" s="107"/>
      <c r="L19" s="321">
        <f>Conventional!L18</f>
        <v>12.5</v>
      </c>
      <c r="M19" s="322"/>
      <c r="N19" s="309">
        <f>Conventional!N18</f>
        <v>12.5</v>
      </c>
      <c r="O19" s="310"/>
      <c r="P19" s="230"/>
      <c r="Q19" s="231"/>
      <c r="R19" s="106"/>
      <c r="S19" s="231"/>
      <c r="T19" s="106"/>
      <c r="U19" s="108"/>
      <c r="V19" s="90"/>
    </row>
    <row r="20" spans="1:22" x14ac:dyDescent="0.2">
      <c r="A20" s="95" t="s">
        <v>32</v>
      </c>
      <c r="B20" s="321">
        <f>(3.2+6.4)*$B$50</f>
        <v>40.800000000000004</v>
      </c>
      <c r="C20" s="322"/>
      <c r="D20" s="309">
        <f>(4.7+7.9)*$B$50</f>
        <v>53.550000000000004</v>
      </c>
      <c r="E20" s="322"/>
      <c r="F20" s="309">
        <f>6.1*$B$50</f>
        <v>25.924999999999997</v>
      </c>
      <c r="G20" s="310"/>
      <c r="H20" s="322">
        <f>4.9*$B$50</f>
        <v>20.825000000000003</v>
      </c>
      <c r="I20" s="310"/>
      <c r="J20" s="322">
        <f>5.3*$B$50</f>
        <v>22.524999999999999</v>
      </c>
      <c r="K20" s="399"/>
      <c r="L20" s="321">
        <f>(3.2+6.4)*$B$50</f>
        <v>40.800000000000004</v>
      </c>
      <c r="M20" s="322"/>
      <c r="N20" s="309">
        <f>(4.7+7.9)*$B$50</f>
        <v>53.550000000000004</v>
      </c>
      <c r="O20" s="322"/>
      <c r="P20" s="309">
        <f>6.1*$B$50</f>
        <v>25.924999999999997</v>
      </c>
      <c r="Q20" s="310"/>
      <c r="R20" s="322">
        <f>H20</f>
        <v>20.825000000000003</v>
      </c>
      <c r="S20" s="310"/>
      <c r="T20" s="322">
        <f>J20</f>
        <v>22.524999999999999</v>
      </c>
      <c r="U20" s="329"/>
      <c r="V20" s="90"/>
    </row>
    <row r="21" spans="1:22" x14ac:dyDescent="0.2">
      <c r="A21" s="95" t="s">
        <v>11</v>
      </c>
      <c r="B21" s="321">
        <f>10.5+33.12</f>
        <v>43.62</v>
      </c>
      <c r="C21" s="322"/>
      <c r="D21" s="309">
        <f>14.89+34.06</f>
        <v>48.95</v>
      </c>
      <c r="E21" s="310"/>
      <c r="F21" s="309">
        <f>10.2+11.15</f>
        <v>21.35</v>
      </c>
      <c r="G21" s="310"/>
      <c r="H21" s="309">
        <f>8.86+8.17</f>
        <v>17.03</v>
      </c>
      <c r="I21" s="310"/>
      <c r="J21" s="309">
        <f>11.61+5.86</f>
        <v>17.47</v>
      </c>
      <c r="K21" s="329"/>
      <c r="L21" s="321">
        <f>B21</f>
        <v>43.62</v>
      </c>
      <c r="M21" s="322"/>
      <c r="N21" s="309">
        <f>D21</f>
        <v>48.95</v>
      </c>
      <c r="O21" s="310"/>
      <c r="P21" s="309">
        <f>F21</f>
        <v>21.35</v>
      </c>
      <c r="Q21" s="310"/>
      <c r="R21" s="309">
        <f>H21</f>
        <v>17.03</v>
      </c>
      <c r="S21" s="310"/>
      <c r="T21" s="309">
        <f>J21</f>
        <v>17.47</v>
      </c>
      <c r="U21" s="329"/>
      <c r="V21" s="90"/>
    </row>
    <row r="22" spans="1:22" x14ac:dyDescent="0.2">
      <c r="A22" s="95" t="s">
        <v>33</v>
      </c>
      <c r="B22" s="321">
        <f>((8*7)*0.67+(5.75*$B$50*7)*0.33)</f>
        <v>93.970625000000013</v>
      </c>
      <c r="C22" s="310"/>
      <c r="D22" s="309">
        <f>((8*5)*0.67+(5.75*$B$50*5)*0.33)</f>
        <v>67.121875000000003</v>
      </c>
      <c r="E22" s="310"/>
      <c r="F22" s="309">
        <f>((8*7)*0.67+(5.75*$B$50*7)*0.33)</f>
        <v>93.970625000000013</v>
      </c>
      <c r="G22" s="310"/>
      <c r="H22" s="309">
        <f>((8*4)*0.67+(5.75*$B$50*4)*0.33)</f>
        <v>53.697500000000005</v>
      </c>
      <c r="I22" s="310"/>
      <c r="J22" s="322">
        <f>((8*3)*0.67+(5.75*$B$50*3)*0.33)</f>
        <v>40.273125000000007</v>
      </c>
      <c r="K22" s="399"/>
      <c r="L22" s="106"/>
      <c r="M22" s="106"/>
      <c r="N22" s="230"/>
      <c r="O22" s="106"/>
      <c r="P22" s="230"/>
      <c r="Q22" s="231"/>
      <c r="R22" s="106"/>
      <c r="S22" s="231"/>
      <c r="T22" s="106"/>
      <c r="U22" s="108"/>
      <c r="V22" s="90"/>
    </row>
    <row r="23" spans="1:22" x14ac:dyDescent="0.2">
      <c r="A23" s="95" t="s">
        <v>13</v>
      </c>
      <c r="B23" s="321">
        <v>12.18</v>
      </c>
      <c r="C23" s="322"/>
      <c r="D23" s="309">
        <v>26.65</v>
      </c>
      <c r="E23" s="322"/>
      <c r="F23" s="309">
        <v>11.66</v>
      </c>
      <c r="G23" s="310"/>
      <c r="H23" s="322">
        <v>9.25</v>
      </c>
      <c r="I23" s="310"/>
      <c r="J23" s="322">
        <f>10.76</f>
        <v>10.76</v>
      </c>
      <c r="K23" s="329"/>
      <c r="L23" s="321">
        <f>B23</f>
        <v>12.18</v>
      </c>
      <c r="M23" s="322"/>
      <c r="N23" s="309">
        <f>D23</f>
        <v>26.65</v>
      </c>
      <c r="O23" s="322"/>
      <c r="P23" s="309">
        <f>F23</f>
        <v>11.66</v>
      </c>
      <c r="Q23" s="310"/>
      <c r="R23" s="322">
        <f>H23</f>
        <v>9.25</v>
      </c>
      <c r="S23" s="310"/>
      <c r="T23" s="322">
        <f>J23</f>
        <v>10.76</v>
      </c>
      <c r="U23" s="329"/>
      <c r="V23" s="90"/>
    </row>
    <row r="24" spans="1:22" x14ac:dyDescent="0.2">
      <c r="A24" s="95" t="s">
        <v>14</v>
      </c>
      <c r="B24" s="322">
        <f>Conventional!B23</f>
        <v>20</v>
      </c>
      <c r="C24" s="310"/>
      <c r="D24" s="322">
        <f>Conventional!D23</f>
        <v>31</v>
      </c>
      <c r="E24" s="310"/>
      <c r="F24" s="322">
        <f>Conventional!F23</f>
        <v>20</v>
      </c>
      <c r="G24" s="310"/>
      <c r="H24" s="322">
        <f>Conventional!H23</f>
        <v>13</v>
      </c>
      <c r="I24" s="310"/>
      <c r="J24" s="322">
        <f>Conventional!J23</f>
        <v>37</v>
      </c>
      <c r="K24" s="399"/>
      <c r="L24" s="106">
        <f>Conventional!L23</f>
        <v>38</v>
      </c>
      <c r="M24" s="231"/>
      <c r="N24" s="322">
        <f>Conventional!N23</f>
        <v>43</v>
      </c>
      <c r="O24" s="310"/>
      <c r="P24" s="322">
        <f>Conventional!P23</f>
        <v>35</v>
      </c>
      <c r="Q24" s="310"/>
      <c r="R24" s="322">
        <f>Conventional!R23</f>
        <v>22</v>
      </c>
      <c r="S24" s="310"/>
      <c r="T24" s="322">
        <f>Conventional!T23</f>
        <v>30</v>
      </c>
      <c r="U24" s="329"/>
      <c r="V24" s="90"/>
    </row>
    <row r="25" spans="1:22" x14ac:dyDescent="0.2">
      <c r="A25" s="95" t="s">
        <v>126</v>
      </c>
      <c r="B25" s="321"/>
      <c r="C25" s="310"/>
      <c r="D25" s="309"/>
      <c r="E25" s="310"/>
      <c r="F25" s="309"/>
      <c r="G25" s="310"/>
      <c r="H25" s="309"/>
      <c r="I25" s="310"/>
      <c r="J25" s="309"/>
      <c r="K25" s="399"/>
      <c r="L25" s="321"/>
      <c r="M25" s="310"/>
      <c r="N25" s="309"/>
      <c r="O25" s="310"/>
      <c r="P25" s="309"/>
      <c r="Q25" s="310"/>
      <c r="R25" s="309"/>
      <c r="S25" s="310"/>
      <c r="T25" s="309"/>
      <c r="U25" s="329"/>
      <c r="V25" s="90"/>
    </row>
    <row r="26" spans="1:22" x14ac:dyDescent="0.2">
      <c r="A26" s="95" t="s">
        <v>16</v>
      </c>
      <c r="B26" s="109"/>
      <c r="C26" s="106"/>
      <c r="D26" s="230"/>
      <c r="E26" s="106"/>
      <c r="F26" s="230"/>
      <c r="G26" s="231"/>
      <c r="H26" s="106"/>
      <c r="I26" s="231"/>
      <c r="J26" s="106"/>
      <c r="K26" s="107"/>
      <c r="L26" s="106"/>
      <c r="M26" s="106"/>
      <c r="N26" s="230"/>
      <c r="O26" s="106"/>
      <c r="P26" s="230"/>
      <c r="Q26" s="231"/>
      <c r="R26" s="106"/>
      <c r="S26" s="231"/>
      <c r="T26" s="106"/>
      <c r="U26" s="108"/>
      <c r="V26" s="90"/>
    </row>
    <row r="27" spans="1:22" x14ac:dyDescent="0.2">
      <c r="A27" s="95" t="s">
        <v>17</v>
      </c>
      <c r="B27" s="362">
        <f>(SUM(B11:B26))*0.5*0.075</f>
        <v>27.631192755681813</v>
      </c>
      <c r="C27" s="340"/>
      <c r="D27" s="388">
        <f>(SUM(D11:D26))*0.5*0.075</f>
        <v>25.021945312500002</v>
      </c>
      <c r="E27" s="340"/>
      <c r="F27" s="388">
        <f>(SUM(F11:F26))*0.5*0.075</f>
        <v>33.5068359375</v>
      </c>
      <c r="G27" s="389"/>
      <c r="H27" s="340">
        <f>(SUM(H11:H26))*0.5*0.075</f>
        <v>13.612091250000001</v>
      </c>
      <c r="I27" s="389"/>
      <c r="J27" s="340">
        <f>(SUM(J11:J26))*0.5*0.075</f>
        <v>17.830054687499995</v>
      </c>
      <c r="K27" s="400"/>
      <c r="L27" s="362">
        <f>(SUM(L11:L26))*0.5*0.075</f>
        <v>22.285504261363631</v>
      </c>
      <c r="M27" s="340"/>
      <c r="N27" s="388">
        <f>(SUM(N11:N26))*0.5*0.075</f>
        <v>21.941624999999998</v>
      </c>
      <c r="O27" s="340"/>
      <c r="P27" s="388">
        <f>(SUM(P11:P26))*0.5*0.075</f>
        <v>16.273112812500003</v>
      </c>
      <c r="Q27" s="389"/>
      <c r="R27" s="340">
        <f>(SUM(R11:R26))*0.5*0.075</f>
        <v>11.235185625000002</v>
      </c>
      <c r="S27" s="389"/>
      <c r="T27" s="340">
        <f>(SUM(T11:T26))*0.5*0.075</f>
        <v>11.827467187499996</v>
      </c>
      <c r="U27" s="341"/>
      <c r="V27" s="90"/>
    </row>
    <row r="28" spans="1:22" x14ac:dyDescent="0.2">
      <c r="A28" s="95" t="s">
        <v>171</v>
      </c>
      <c r="B28" s="362">
        <f>-0.05*B7</f>
        <v>-60</v>
      </c>
      <c r="C28" s="340"/>
      <c r="D28" s="232"/>
      <c r="E28" s="110"/>
      <c r="F28" s="232"/>
      <c r="G28" s="233"/>
      <c r="H28" s="110"/>
      <c r="I28" s="233"/>
      <c r="J28" s="110"/>
      <c r="K28" s="111"/>
      <c r="L28" s="362">
        <f>-0.05*L7</f>
        <v>-37.5</v>
      </c>
      <c r="M28" s="340"/>
      <c r="N28" s="232"/>
      <c r="O28" s="110"/>
      <c r="P28" s="232"/>
      <c r="Q28" s="233"/>
      <c r="R28" s="110"/>
      <c r="S28" s="233"/>
      <c r="T28" s="110"/>
      <c r="U28" s="112"/>
      <c r="V28" s="90"/>
    </row>
    <row r="29" spans="1:22" x14ac:dyDescent="0.2">
      <c r="A29" s="95" t="s">
        <v>15</v>
      </c>
      <c r="B29" s="113"/>
      <c r="C29" s="110"/>
      <c r="D29" s="388">
        <f>D7/2000*0.33*20+D7/2000*0.67*30</f>
        <v>62.745000000000005</v>
      </c>
      <c r="E29" s="340"/>
      <c r="F29" s="388">
        <f>F7*1.0975*0.28</f>
        <v>61.46</v>
      </c>
      <c r="G29" s="389"/>
      <c r="H29" s="110"/>
      <c r="I29" s="233"/>
      <c r="J29" s="340">
        <f>J7*1.0975*0.28</f>
        <v>30.73</v>
      </c>
      <c r="K29" s="400"/>
      <c r="L29" s="110"/>
      <c r="M29" s="110"/>
      <c r="N29" s="388">
        <f>N7/2000*0.33*20+N7/2000*0.67*30</f>
        <v>45.39</v>
      </c>
      <c r="O29" s="340"/>
      <c r="P29" s="388">
        <f>P7*1.0975*0.28</f>
        <v>26.1205</v>
      </c>
      <c r="Q29" s="389"/>
      <c r="R29" s="110"/>
      <c r="S29" s="233"/>
      <c r="T29" s="340">
        <f>T7*1.0975*0.28</f>
        <v>19.974499999999999</v>
      </c>
      <c r="U29" s="341"/>
      <c r="V29" s="90"/>
    </row>
    <row r="30" spans="1:22" x14ac:dyDescent="0.2">
      <c r="A30" s="95" t="s">
        <v>18</v>
      </c>
      <c r="B30" s="113"/>
      <c r="C30" s="110"/>
      <c r="D30" s="396">
        <f>D7/2000*3+D7/2000*355*0.01</f>
        <v>15.3925</v>
      </c>
      <c r="E30" s="324"/>
      <c r="F30" s="232"/>
      <c r="G30" s="233"/>
      <c r="H30" s="110"/>
      <c r="I30" s="233"/>
      <c r="J30" s="110"/>
      <c r="K30" s="111"/>
      <c r="L30" s="110"/>
      <c r="M30" s="110"/>
      <c r="N30" s="396">
        <f>N7/2000*3+N7/2000*355*0.01</f>
        <v>11.135</v>
      </c>
      <c r="O30" s="324"/>
      <c r="P30" s="232"/>
      <c r="Q30" s="233"/>
      <c r="R30" s="110"/>
      <c r="S30" s="233"/>
      <c r="T30" s="110"/>
      <c r="U30" s="114"/>
      <c r="V30" s="90"/>
    </row>
    <row r="31" spans="1:22" ht="15" thickBot="1" x14ac:dyDescent="0.25">
      <c r="A31" s="115" t="s">
        <v>157</v>
      </c>
      <c r="B31" s="336">
        <f t="shared" ref="B31:T31" si="0">SUM(B11:B30)</f>
        <v>704.4629995738635</v>
      </c>
      <c r="C31" s="335"/>
      <c r="D31" s="392">
        <f t="shared" si="0"/>
        <v>770.41132031250004</v>
      </c>
      <c r="E31" s="335"/>
      <c r="F31" s="392">
        <f t="shared" si="0"/>
        <v>988.48246093750004</v>
      </c>
      <c r="G31" s="393"/>
      <c r="H31" s="335">
        <f t="shared" si="0"/>
        <v>376.60119125</v>
      </c>
      <c r="I31" s="393"/>
      <c r="J31" s="335">
        <f t="shared" si="0"/>
        <v>524.02817968749991</v>
      </c>
      <c r="K31" s="387"/>
      <c r="L31" s="336">
        <f t="shared" si="0"/>
        <v>579.06561789772707</v>
      </c>
      <c r="M31" s="335"/>
      <c r="N31" s="392">
        <f t="shared" si="0"/>
        <v>663.57662500000004</v>
      </c>
      <c r="O31" s="335"/>
      <c r="P31" s="392">
        <f t="shared" si="0"/>
        <v>476.34328781250008</v>
      </c>
      <c r="Q31" s="393"/>
      <c r="R31" s="335">
        <f t="shared" si="0"/>
        <v>310.84013562500002</v>
      </c>
      <c r="S31" s="393"/>
      <c r="T31" s="335">
        <f t="shared" si="0"/>
        <v>347.20109218749991</v>
      </c>
      <c r="U31" s="338"/>
      <c r="V31" s="90"/>
    </row>
    <row r="32" spans="1:22" x14ac:dyDescent="0.2">
      <c r="A32" s="116" t="s">
        <v>163</v>
      </c>
      <c r="B32" s="363">
        <f t="shared" ref="B32:T32" si="1">B9-B31</f>
        <v>231.5370004261365</v>
      </c>
      <c r="C32" s="344"/>
      <c r="D32" s="390">
        <f t="shared" si="1"/>
        <v>345.83867968749996</v>
      </c>
      <c r="E32" s="344"/>
      <c r="F32" s="390">
        <f t="shared" si="1"/>
        <v>371.51753906249996</v>
      </c>
      <c r="G32" s="391"/>
      <c r="H32" s="344">
        <f t="shared" si="1"/>
        <v>451.39880875</v>
      </c>
      <c r="I32" s="391"/>
      <c r="J32" s="344">
        <f t="shared" si="1"/>
        <v>115.97182031250009</v>
      </c>
      <c r="K32" s="405"/>
      <c r="L32" s="363">
        <f t="shared" si="1"/>
        <v>5.9343821022729344</v>
      </c>
      <c r="M32" s="344"/>
      <c r="N32" s="390">
        <f t="shared" si="1"/>
        <v>143.92337499999996</v>
      </c>
      <c r="O32" s="344"/>
      <c r="P32" s="390">
        <f t="shared" si="1"/>
        <v>101.65671218749992</v>
      </c>
      <c r="Q32" s="391"/>
      <c r="R32" s="344">
        <f t="shared" si="1"/>
        <v>103.15986437499998</v>
      </c>
      <c r="S32" s="391"/>
      <c r="T32" s="344">
        <f t="shared" si="1"/>
        <v>68.79890781250009</v>
      </c>
      <c r="U32" s="345"/>
      <c r="V32" s="90"/>
    </row>
    <row r="33" spans="1:34" x14ac:dyDescent="0.2">
      <c r="A33" s="117" t="str">
        <f>Conventional!A32</f>
        <v>BREAKEVEN PRICE  (Variable Cost)</v>
      </c>
      <c r="B33" s="118">
        <f>B31/B7</f>
        <v>0.58705249964488626</v>
      </c>
      <c r="C33" s="119" t="s">
        <v>159</v>
      </c>
      <c r="D33" s="218">
        <f>D31/D7*2000</f>
        <v>327.83460438829786</v>
      </c>
      <c r="E33" s="119" t="s">
        <v>160</v>
      </c>
      <c r="F33" s="219">
        <f>F31/F7</f>
        <v>4.9424123046875001</v>
      </c>
      <c r="G33" s="217" t="s">
        <v>162</v>
      </c>
      <c r="H33" s="120">
        <f>H31/H7</f>
        <v>6.2766865208333336</v>
      </c>
      <c r="I33" s="217" t="s">
        <v>162</v>
      </c>
      <c r="J33" s="120">
        <f>J31/J7</f>
        <v>5.2402817968749993</v>
      </c>
      <c r="K33" s="121" t="s">
        <v>162</v>
      </c>
      <c r="L33" s="120">
        <f>L31/L7</f>
        <v>0.77208749053030279</v>
      </c>
      <c r="M33" s="119" t="s">
        <v>159</v>
      </c>
      <c r="N33" s="239">
        <f>N31/N7*2000</f>
        <v>390.33919117647059</v>
      </c>
      <c r="O33" s="119" t="s">
        <v>160</v>
      </c>
      <c r="P33" s="219">
        <f>P31/P7</f>
        <v>5.6040386801470596</v>
      </c>
      <c r="Q33" s="217" t="s">
        <v>162</v>
      </c>
      <c r="R33" s="120">
        <f>R31/R7</f>
        <v>10.361337854166667</v>
      </c>
      <c r="S33" s="217" t="s">
        <v>162</v>
      </c>
      <c r="T33" s="120">
        <f>T31/T7</f>
        <v>5.3415552644230759</v>
      </c>
      <c r="U33" s="122" t="s">
        <v>162</v>
      </c>
      <c r="V33" s="90"/>
    </row>
    <row r="34" spans="1:34" x14ac:dyDescent="0.2">
      <c r="A34" s="293" t="str">
        <f>Conventional!A33</f>
        <v>BREAKEVEN YIELD per ACRE (Variable Cost)</v>
      </c>
      <c r="B34" s="299">
        <f>B31/B8</f>
        <v>903.15769176136348</v>
      </c>
      <c r="C34" s="300" t="s">
        <v>158</v>
      </c>
      <c r="D34" s="301">
        <f>D31/D8*2000</f>
        <v>3243.837138157895</v>
      </c>
      <c r="E34" s="300" t="s">
        <v>158</v>
      </c>
      <c r="F34" s="301">
        <f>F31/F8</f>
        <v>145.36506778492648</v>
      </c>
      <c r="G34" s="302" t="s">
        <v>161</v>
      </c>
      <c r="H34" s="301">
        <f>H31/H8</f>
        <v>27.289941394927535</v>
      </c>
      <c r="I34" s="302" t="s">
        <v>161</v>
      </c>
      <c r="J34" s="301">
        <f>J31/J8</f>
        <v>81.879403076171855</v>
      </c>
      <c r="K34" s="303" t="s">
        <v>161</v>
      </c>
      <c r="L34" s="299">
        <f>L31/L8</f>
        <v>742.39181781759874</v>
      </c>
      <c r="M34" s="300" t="s">
        <v>158</v>
      </c>
      <c r="N34" s="301">
        <f>N31/N8*2000</f>
        <v>2794.0068421052633</v>
      </c>
      <c r="O34" s="300" t="s">
        <v>158</v>
      </c>
      <c r="P34" s="301">
        <f>P31/P8</f>
        <v>70.050483501838244</v>
      </c>
      <c r="Q34" s="302" t="s">
        <v>161</v>
      </c>
      <c r="R34" s="301">
        <f>R31/R8</f>
        <v>22.524647509057971</v>
      </c>
      <c r="S34" s="302" t="s">
        <v>161</v>
      </c>
      <c r="T34" s="301">
        <f>T31/T8</f>
        <v>54.250170654296859</v>
      </c>
      <c r="U34" s="304" t="s">
        <v>161</v>
      </c>
      <c r="V34" s="90"/>
    </row>
    <row r="35" spans="1:34" x14ac:dyDescent="0.2">
      <c r="A35" s="98" t="s">
        <v>164</v>
      </c>
      <c r="B35" s="113"/>
      <c r="C35" s="110"/>
      <c r="D35" s="232"/>
      <c r="E35" s="110"/>
      <c r="F35" s="232"/>
      <c r="G35" s="233"/>
      <c r="H35" s="110"/>
      <c r="I35" s="233"/>
      <c r="J35" s="110"/>
      <c r="K35" s="111"/>
      <c r="L35" s="110"/>
      <c r="M35" s="110"/>
      <c r="N35" s="232"/>
      <c r="O35" s="110"/>
      <c r="P35" s="232"/>
      <c r="Q35" s="233"/>
      <c r="R35" s="110"/>
      <c r="S35" s="233"/>
      <c r="T35" s="110"/>
      <c r="U35" s="112"/>
      <c r="V35" s="90"/>
    </row>
    <row r="36" spans="1:34" x14ac:dyDescent="0.2">
      <c r="A36" s="95" t="s">
        <v>19</v>
      </c>
      <c r="B36" s="321">
        <f>36.36+152.7</f>
        <v>189.06</v>
      </c>
      <c r="C36" s="322"/>
      <c r="D36" s="309">
        <f>37.79+103.09</f>
        <v>140.88</v>
      </c>
      <c r="E36" s="322"/>
      <c r="F36" s="309">
        <f>29.39+49.31</f>
        <v>78.7</v>
      </c>
      <c r="G36" s="310"/>
      <c r="H36" s="322">
        <f>24.91+33.43</f>
        <v>58.34</v>
      </c>
      <c r="I36" s="310"/>
      <c r="J36" s="322">
        <f>30.45+26.11</f>
        <v>56.56</v>
      </c>
      <c r="K36" s="329"/>
      <c r="L36" s="321">
        <f>B36</f>
        <v>189.06</v>
      </c>
      <c r="M36" s="322"/>
      <c r="N36" s="309">
        <f>D36</f>
        <v>140.88</v>
      </c>
      <c r="O36" s="322"/>
      <c r="P36" s="309">
        <f>F36</f>
        <v>78.7</v>
      </c>
      <c r="Q36" s="310"/>
      <c r="R36" s="322">
        <f>H36</f>
        <v>58.34</v>
      </c>
      <c r="S36" s="310"/>
      <c r="T36" s="322">
        <f>J36</f>
        <v>56.56</v>
      </c>
      <c r="U36" s="329"/>
      <c r="V36" s="90"/>
    </row>
    <row r="37" spans="1:34" x14ac:dyDescent="0.2">
      <c r="A37" s="95" t="s">
        <v>12</v>
      </c>
      <c r="B37" s="321">
        <f>Conventional!B36</f>
        <v>135</v>
      </c>
      <c r="C37" s="322"/>
      <c r="D37" s="309">
        <f>Conventional!D36</f>
        <v>135</v>
      </c>
      <c r="E37" s="322"/>
      <c r="F37" s="309">
        <f>Conventional!F36</f>
        <v>135</v>
      </c>
      <c r="G37" s="310"/>
      <c r="H37" s="322">
        <f>Conventional!H36</f>
        <v>135</v>
      </c>
      <c r="I37" s="310"/>
      <c r="J37" s="322">
        <f>Conventional!J36</f>
        <v>135</v>
      </c>
      <c r="K37" s="399"/>
      <c r="L37" s="106"/>
      <c r="M37" s="106"/>
      <c r="N37" s="230"/>
      <c r="O37" s="106"/>
      <c r="P37" s="230"/>
      <c r="Q37" s="231"/>
      <c r="R37" s="106"/>
      <c r="S37" s="231"/>
      <c r="T37" s="106"/>
      <c r="U37" s="108"/>
      <c r="V37" s="90"/>
    </row>
    <row r="38" spans="1:34" x14ac:dyDescent="0.2">
      <c r="A38" s="95" t="s">
        <v>20</v>
      </c>
      <c r="B38" s="109"/>
      <c r="C38" s="106"/>
      <c r="D38" s="230"/>
      <c r="E38" s="106"/>
      <c r="F38" s="230"/>
      <c r="G38" s="231"/>
      <c r="H38" s="106"/>
      <c r="I38" s="231"/>
      <c r="J38" s="106"/>
      <c r="K38" s="107"/>
      <c r="L38" s="106"/>
      <c r="M38" s="106"/>
      <c r="N38" s="230"/>
      <c r="O38" s="106"/>
      <c r="P38" s="230"/>
      <c r="Q38" s="231"/>
      <c r="R38" s="106"/>
      <c r="S38" s="231"/>
      <c r="T38" s="106"/>
      <c r="U38" s="108"/>
      <c r="V38" s="90"/>
    </row>
    <row r="39" spans="1:34" x14ac:dyDescent="0.2">
      <c r="A39" s="95" t="s">
        <v>21</v>
      </c>
      <c r="B39" s="323">
        <f>0.05*B31</f>
        <v>35.223149978693179</v>
      </c>
      <c r="C39" s="324"/>
      <c r="D39" s="396">
        <f>0.05*D31</f>
        <v>38.520566015625008</v>
      </c>
      <c r="E39" s="324"/>
      <c r="F39" s="396">
        <f>0.05*F31</f>
        <v>49.424123046875003</v>
      </c>
      <c r="G39" s="401"/>
      <c r="H39" s="324">
        <f>0.05*H31</f>
        <v>18.830059562500001</v>
      </c>
      <c r="I39" s="401"/>
      <c r="J39" s="324">
        <f>0.05*J31</f>
        <v>26.201408984374996</v>
      </c>
      <c r="K39" s="403"/>
      <c r="L39" s="323">
        <f>0.05*L31</f>
        <v>28.953280894886355</v>
      </c>
      <c r="M39" s="324"/>
      <c r="N39" s="396">
        <f>0.05*N31</f>
        <v>33.178831250000002</v>
      </c>
      <c r="O39" s="324"/>
      <c r="P39" s="396">
        <f>0.05*P31</f>
        <v>23.817164390625006</v>
      </c>
      <c r="Q39" s="401"/>
      <c r="R39" s="324">
        <f>0.05*R31</f>
        <v>15.542006781250002</v>
      </c>
      <c r="S39" s="401"/>
      <c r="T39" s="324">
        <f>0.05*T31</f>
        <v>17.360054609374995</v>
      </c>
      <c r="U39" s="333"/>
      <c r="V39" s="90"/>
    </row>
    <row r="40" spans="1:34" x14ac:dyDescent="0.2">
      <c r="A40" s="123" t="s">
        <v>165</v>
      </c>
      <c r="B40" s="325">
        <f>SUM(B36:B39)</f>
        <v>359.28314997869319</v>
      </c>
      <c r="C40" s="326"/>
      <c r="D40" s="394">
        <f>SUM(D36:D39)</f>
        <v>314.40056601562503</v>
      </c>
      <c r="E40" s="326"/>
      <c r="F40" s="394">
        <f>SUM(F36:F39)</f>
        <v>263.12412304687501</v>
      </c>
      <c r="G40" s="402"/>
      <c r="H40" s="326">
        <f>SUM(H36:H39)</f>
        <v>212.1700595625</v>
      </c>
      <c r="I40" s="402"/>
      <c r="J40" s="326">
        <f>SUM(J36:J39)</f>
        <v>217.76140898437501</v>
      </c>
      <c r="K40" s="404"/>
      <c r="L40" s="325">
        <f>SUM(L36:L39)</f>
        <v>218.01328089488635</v>
      </c>
      <c r="M40" s="326"/>
      <c r="N40" s="394">
        <f>SUM(N36:N39)</f>
        <v>174.05883125</v>
      </c>
      <c r="O40" s="326"/>
      <c r="P40" s="394">
        <f>SUM(P36:P39)</f>
        <v>102.51716439062501</v>
      </c>
      <c r="Q40" s="402"/>
      <c r="R40" s="326">
        <f>SUM(R36:R39)</f>
        <v>73.882006781249999</v>
      </c>
      <c r="S40" s="402"/>
      <c r="T40" s="326">
        <f>SUM(T36:T39)</f>
        <v>73.920054609375001</v>
      </c>
      <c r="U40" s="332"/>
      <c r="V40" s="90"/>
    </row>
    <row r="41" spans="1:34" x14ac:dyDescent="0.2">
      <c r="A41" s="124"/>
      <c r="B41" s="125"/>
      <c r="C41" s="126"/>
      <c r="D41" s="234"/>
      <c r="E41" s="126"/>
      <c r="F41" s="234"/>
      <c r="G41" s="235"/>
      <c r="H41" s="126"/>
      <c r="I41" s="235"/>
      <c r="J41" s="126"/>
      <c r="K41" s="127"/>
      <c r="L41" s="126"/>
      <c r="M41" s="126"/>
      <c r="N41" s="234"/>
      <c r="O41" s="126"/>
      <c r="P41" s="234"/>
      <c r="Q41" s="235"/>
      <c r="R41" s="126"/>
      <c r="S41" s="235"/>
      <c r="T41" s="126"/>
      <c r="U41" s="128"/>
      <c r="V41" s="90"/>
    </row>
    <row r="42" spans="1:34" ht="15" thickBot="1" x14ac:dyDescent="0.25">
      <c r="A42" s="129" t="s">
        <v>166</v>
      </c>
      <c r="B42" s="336">
        <f>B40+B31</f>
        <v>1063.7461495525567</v>
      </c>
      <c r="C42" s="335"/>
      <c r="D42" s="392">
        <f>D40+D31</f>
        <v>1084.8118863281252</v>
      </c>
      <c r="E42" s="335"/>
      <c r="F42" s="392">
        <f>F40+F31</f>
        <v>1251.606583984375</v>
      </c>
      <c r="G42" s="393"/>
      <c r="H42" s="335">
        <f>H40+H31</f>
        <v>588.77125081250006</v>
      </c>
      <c r="I42" s="393"/>
      <c r="J42" s="335">
        <f>J40+J31</f>
        <v>741.78958867187498</v>
      </c>
      <c r="K42" s="387"/>
      <c r="L42" s="336">
        <f>L40+L31</f>
        <v>797.07889879261347</v>
      </c>
      <c r="M42" s="335"/>
      <c r="N42" s="392">
        <f>N40+N31</f>
        <v>837.63545625000006</v>
      </c>
      <c r="O42" s="335"/>
      <c r="P42" s="392">
        <f>P40+P31</f>
        <v>578.86045220312508</v>
      </c>
      <c r="Q42" s="393"/>
      <c r="R42" s="335">
        <f>R40+R31</f>
        <v>384.72214240624999</v>
      </c>
      <c r="S42" s="393"/>
      <c r="T42" s="335">
        <f>T40+T31</f>
        <v>421.12114679687488</v>
      </c>
      <c r="U42" s="338"/>
      <c r="V42" s="90"/>
    </row>
    <row r="43" spans="1:34" ht="15" thickBot="1" x14ac:dyDescent="0.25">
      <c r="A43" s="130" t="s">
        <v>167</v>
      </c>
      <c r="B43" s="327">
        <f>B9-B42</f>
        <v>-127.74614955255674</v>
      </c>
      <c r="C43" s="328"/>
      <c r="D43" s="397">
        <f>D9-D42</f>
        <v>31.438113671874817</v>
      </c>
      <c r="E43" s="328"/>
      <c r="F43" s="397">
        <f>F9-F42</f>
        <v>108.39341601562501</v>
      </c>
      <c r="G43" s="398"/>
      <c r="H43" s="328">
        <f>H9-H42</f>
        <v>239.22874918749994</v>
      </c>
      <c r="I43" s="398"/>
      <c r="J43" s="328">
        <f>J9-J42</f>
        <v>-101.78958867187498</v>
      </c>
      <c r="K43" s="386"/>
      <c r="L43" s="327">
        <f>L9-L42</f>
        <v>-212.07889879261347</v>
      </c>
      <c r="M43" s="328"/>
      <c r="N43" s="397">
        <f>N9-N42</f>
        <v>-30.135456250000061</v>
      </c>
      <c r="O43" s="328"/>
      <c r="P43" s="397">
        <f>P9-P42</f>
        <v>-0.86045220312507809</v>
      </c>
      <c r="Q43" s="398"/>
      <c r="R43" s="328">
        <f>R9-R42</f>
        <v>29.277857593750014</v>
      </c>
      <c r="S43" s="398"/>
      <c r="T43" s="328">
        <f>T9-T42</f>
        <v>-5.1211467968748821</v>
      </c>
      <c r="U43" s="339"/>
      <c r="V43" s="90"/>
    </row>
    <row r="44" spans="1:34" ht="15" thickTop="1" x14ac:dyDescent="0.2">
      <c r="A44" s="95"/>
      <c r="B44" s="131"/>
      <c r="C44" s="132"/>
      <c r="D44" s="236"/>
      <c r="E44" s="132"/>
      <c r="F44" s="236"/>
      <c r="G44" s="237"/>
      <c r="H44" s="132"/>
      <c r="I44" s="237"/>
      <c r="J44" s="132"/>
      <c r="K44" s="133"/>
      <c r="L44" s="132"/>
      <c r="M44" s="132"/>
      <c r="N44" s="236"/>
      <c r="O44" s="132"/>
      <c r="P44" s="236"/>
      <c r="Q44" s="237"/>
      <c r="R44" s="132"/>
      <c r="S44" s="237"/>
      <c r="T44" s="132"/>
      <c r="U44" s="134"/>
      <c r="V44" s="90"/>
    </row>
    <row r="45" spans="1:34" x14ac:dyDescent="0.2">
      <c r="A45" s="117" t="s">
        <v>34</v>
      </c>
      <c r="B45" s="135">
        <f>B42/B7</f>
        <v>0.88645512462713061</v>
      </c>
      <c r="C45" s="136" t="s">
        <v>159</v>
      </c>
      <c r="D45" s="221">
        <f>D42/D7*2000</f>
        <v>461.6220792885639</v>
      </c>
      <c r="E45" s="119" t="s">
        <v>160</v>
      </c>
      <c r="F45" s="222">
        <f>F42/F7</f>
        <v>6.2580329199218747</v>
      </c>
      <c r="G45" s="217" t="s">
        <v>162</v>
      </c>
      <c r="H45" s="137">
        <f>H42/H7</f>
        <v>9.8128541802083351</v>
      </c>
      <c r="I45" s="217" t="s">
        <v>162</v>
      </c>
      <c r="J45" s="137">
        <f>J42/J7</f>
        <v>7.4178958867187497</v>
      </c>
      <c r="K45" s="121" t="s">
        <v>162</v>
      </c>
      <c r="L45" s="137">
        <f>L42/L7</f>
        <v>1.0627718650568179</v>
      </c>
      <c r="M45" s="136" t="s">
        <v>159</v>
      </c>
      <c r="N45" s="221">
        <f>N42/N7*2000</f>
        <v>492.72673897058826</v>
      </c>
      <c r="O45" s="119" t="s">
        <v>160</v>
      </c>
      <c r="P45" s="222">
        <f>P42/P7</f>
        <v>6.8101229670955892</v>
      </c>
      <c r="Q45" s="217" t="s">
        <v>162</v>
      </c>
      <c r="R45" s="137">
        <f>R42/R7</f>
        <v>12.824071413541667</v>
      </c>
      <c r="S45" s="217" t="s">
        <v>162</v>
      </c>
      <c r="T45" s="137">
        <f>T42/T7</f>
        <v>6.4787868737980752</v>
      </c>
      <c r="U45" s="122" t="s">
        <v>162</v>
      </c>
      <c r="V45" s="90"/>
    </row>
    <row r="46" spans="1:34" x14ac:dyDescent="0.2">
      <c r="A46" s="138" t="s">
        <v>168</v>
      </c>
      <c r="B46" s="139">
        <f>B42/B8</f>
        <v>1363.77711481097</v>
      </c>
      <c r="C46" s="140" t="s">
        <v>158</v>
      </c>
      <c r="D46" s="224">
        <f>D42/D8*2000</f>
        <v>4567.6289950657911</v>
      </c>
      <c r="E46" s="140" t="s">
        <v>158</v>
      </c>
      <c r="F46" s="225">
        <f>F42/F8</f>
        <v>184.05979176240808</v>
      </c>
      <c r="G46" s="217" t="s">
        <v>161</v>
      </c>
      <c r="H46" s="141">
        <f>H42/H8</f>
        <v>42.664583392210147</v>
      </c>
      <c r="I46" s="217" t="s">
        <v>161</v>
      </c>
      <c r="J46" s="141">
        <f>J42/J8</f>
        <v>115.90462322998046</v>
      </c>
      <c r="K46" s="121" t="s">
        <v>161</v>
      </c>
      <c r="L46" s="141">
        <f>L42/L8</f>
        <v>1021.8960240930942</v>
      </c>
      <c r="M46" s="140" t="s">
        <v>158</v>
      </c>
      <c r="N46" s="224">
        <f>N42/N8*2000</f>
        <v>3526.8861315789477</v>
      </c>
      <c r="O46" s="140" t="s">
        <v>158</v>
      </c>
      <c r="P46" s="225">
        <f>P42/P8</f>
        <v>85.12653708869486</v>
      </c>
      <c r="Q46" s="217" t="s">
        <v>161</v>
      </c>
      <c r="R46" s="141">
        <f>R42/R8</f>
        <v>27.878416116394924</v>
      </c>
      <c r="S46" s="217" t="s">
        <v>161</v>
      </c>
      <c r="T46" s="141">
        <f>T42/T8</f>
        <v>65.800179187011693</v>
      </c>
      <c r="U46" s="122" t="s">
        <v>161</v>
      </c>
      <c r="V46" s="90"/>
    </row>
    <row r="47" spans="1:34" s="87" customFormat="1" ht="12" x14ac:dyDescent="0.15">
      <c r="A47" s="395" t="s">
        <v>177</v>
      </c>
      <c r="B47" s="395"/>
      <c r="C47" s="395"/>
      <c r="D47" s="395"/>
      <c r="E47" s="395"/>
      <c r="F47" s="143"/>
      <c r="G47" s="143"/>
      <c r="H47" s="143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</row>
    <row r="48" spans="1:34" s="87" customFormat="1" ht="12" x14ac:dyDescent="0.15">
      <c r="A48" s="86" t="s">
        <v>178</v>
      </c>
      <c r="B48" s="86"/>
      <c r="C48" s="144" t="s">
        <v>169</v>
      </c>
      <c r="D48" s="216">
        <f>Conventional!D46</f>
        <v>1.1000000000000001</v>
      </c>
      <c r="E48" s="145" t="s">
        <v>65</v>
      </c>
      <c r="F48" s="226">
        <f>Conventional!F46</f>
        <v>0.8</v>
      </c>
      <c r="G48" s="145" t="s">
        <v>66</v>
      </c>
      <c r="H48" s="226">
        <f>Conventional!H46</f>
        <v>0.75</v>
      </c>
      <c r="I48" s="86"/>
      <c r="J48" s="226"/>
      <c r="K48" s="216"/>
      <c r="L48" s="86"/>
      <c r="M48" s="86"/>
      <c r="N48" s="226"/>
      <c r="O48" s="21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s="87" customFormat="1" ht="12" x14ac:dyDescent="0.15">
      <c r="A49" s="311" t="str">
        <f>Conventional!A48</f>
        <v>*** Weighted average of diesel and electric irrigation application costs.  Electric is estimated at $8/appl and diesel is estimated at $16/appl when diesel cost $4.25/gal.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14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s="87" customFormat="1" ht="12" x14ac:dyDescent="0.15">
      <c r="A50" s="86" t="s">
        <v>152</v>
      </c>
      <c r="B50" s="147">
        <f>Conventional!B47</f>
        <v>4.25</v>
      </c>
      <c r="C50" s="311" t="s">
        <v>67</v>
      </c>
      <c r="D50" s="311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s="90" customFormat="1" x14ac:dyDescent="0.2">
      <c r="A51" s="86"/>
    </row>
    <row r="52" spans="1:34" s="90" customFormat="1" x14ac:dyDescent="0.2">
      <c r="A52" s="86"/>
    </row>
    <row r="53" spans="1:34" s="90" customFormat="1" x14ac:dyDescent="0.2">
      <c r="A53" s="86"/>
    </row>
    <row r="54" spans="1:34" s="90" customFormat="1" x14ac:dyDescent="0.2">
      <c r="A54" s="86"/>
    </row>
    <row r="55" spans="1:34" s="90" customFormat="1" x14ac:dyDescent="0.2">
      <c r="A55" s="86"/>
    </row>
    <row r="56" spans="1:34" s="90" customFormat="1" x14ac:dyDescent="0.2">
      <c r="A56" s="86"/>
    </row>
    <row r="57" spans="1:34" s="90" customFormat="1" x14ac:dyDescent="0.2">
      <c r="A57" s="86"/>
    </row>
    <row r="58" spans="1:34" s="90" customFormat="1" x14ac:dyDescent="0.2">
      <c r="A58" s="86"/>
    </row>
    <row r="59" spans="1:34" s="90" customFormat="1" x14ac:dyDescent="0.2">
      <c r="A59" s="86"/>
    </row>
    <row r="60" spans="1:34" s="90" customFormat="1" x14ac:dyDescent="0.2">
      <c r="A60" s="86"/>
    </row>
    <row r="61" spans="1:34" s="90" customFormat="1" x14ac:dyDescent="0.2">
      <c r="A61" s="86"/>
    </row>
    <row r="62" spans="1:34" s="90" customFormat="1" x14ac:dyDescent="0.2">
      <c r="A62" s="86"/>
    </row>
    <row r="63" spans="1:34" s="90" customFormat="1" x14ac:dyDescent="0.2">
      <c r="A63" s="86"/>
    </row>
    <row r="64" spans="1:34" s="90" customFormat="1" x14ac:dyDescent="0.2">
      <c r="A64" s="86"/>
    </row>
    <row r="65" spans="1:1" s="90" customFormat="1" x14ac:dyDescent="0.2">
      <c r="A65" s="86"/>
    </row>
    <row r="66" spans="1:1" s="90" customFormat="1" x14ac:dyDescent="0.2">
      <c r="A66" s="86"/>
    </row>
    <row r="67" spans="1:1" s="90" customFormat="1" x14ac:dyDescent="0.2">
      <c r="A67" s="86"/>
    </row>
    <row r="68" spans="1:1" s="90" customFormat="1" x14ac:dyDescent="0.2">
      <c r="A68" s="86"/>
    </row>
    <row r="69" spans="1:1" s="90" customFormat="1" x14ac:dyDescent="0.2">
      <c r="A69" s="86"/>
    </row>
    <row r="70" spans="1:1" s="90" customFormat="1" x14ac:dyDescent="0.2">
      <c r="A70" s="86"/>
    </row>
    <row r="71" spans="1:1" s="90" customFormat="1" x14ac:dyDescent="0.2">
      <c r="A71" s="86"/>
    </row>
    <row r="72" spans="1:1" s="90" customFormat="1" x14ac:dyDescent="0.2">
      <c r="A72" s="86"/>
    </row>
    <row r="73" spans="1:1" s="90" customFormat="1" x14ac:dyDescent="0.2">
      <c r="A73" s="86"/>
    </row>
    <row r="74" spans="1:1" s="90" customFormat="1" x14ac:dyDescent="0.2">
      <c r="A74" s="86"/>
    </row>
    <row r="75" spans="1:1" s="90" customFormat="1" x14ac:dyDescent="0.2">
      <c r="A75" s="86"/>
    </row>
    <row r="76" spans="1:1" s="90" customFormat="1" x14ac:dyDescent="0.2">
      <c r="A76" s="86"/>
    </row>
    <row r="77" spans="1:1" s="90" customFormat="1" x14ac:dyDescent="0.2">
      <c r="A77" s="86"/>
    </row>
    <row r="78" spans="1:1" s="90" customFormat="1" x14ac:dyDescent="0.2">
      <c r="A78" s="86"/>
    </row>
    <row r="79" spans="1:1" s="90" customFormat="1" x14ac:dyDescent="0.2">
      <c r="A79" s="86"/>
    </row>
    <row r="80" spans="1:1" s="90" customFormat="1" x14ac:dyDescent="0.2">
      <c r="A80" s="86"/>
    </row>
    <row r="81" spans="1:1" s="90" customFormat="1" x14ac:dyDescent="0.2">
      <c r="A81" s="86"/>
    </row>
    <row r="82" spans="1:1" s="90" customFormat="1" x14ac:dyDescent="0.2">
      <c r="A82" s="86"/>
    </row>
    <row r="83" spans="1:1" s="90" customFormat="1" x14ac:dyDescent="0.2">
      <c r="A83" s="86"/>
    </row>
    <row r="84" spans="1:1" s="90" customFormat="1" x14ac:dyDescent="0.2">
      <c r="A84" s="86"/>
    </row>
    <row r="85" spans="1:1" s="90" customFormat="1" x14ac:dyDescent="0.2">
      <c r="A85" s="86"/>
    </row>
    <row r="86" spans="1:1" s="90" customFormat="1" x14ac:dyDescent="0.2">
      <c r="A86" s="86"/>
    </row>
    <row r="87" spans="1:1" s="90" customFormat="1" x14ac:dyDescent="0.2">
      <c r="A87" s="86"/>
    </row>
    <row r="88" spans="1:1" s="90" customFormat="1" x14ac:dyDescent="0.2">
      <c r="A88" s="86"/>
    </row>
    <row r="89" spans="1:1" s="90" customFormat="1" x14ac:dyDescent="0.2">
      <c r="A89" s="86"/>
    </row>
    <row r="90" spans="1:1" s="90" customFormat="1" x14ac:dyDescent="0.2">
      <c r="A90" s="86"/>
    </row>
    <row r="91" spans="1:1" s="90" customFormat="1" x14ac:dyDescent="0.2">
      <c r="A91" s="86"/>
    </row>
    <row r="92" spans="1:1" s="90" customFormat="1" x14ac:dyDescent="0.2">
      <c r="A92" s="86"/>
    </row>
    <row r="93" spans="1:1" s="90" customFormat="1" x14ac:dyDescent="0.2">
      <c r="A93" s="86"/>
    </row>
    <row r="94" spans="1:1" s="90" customFormat="1" x14ac:dyDescent="0.2">
      <c r="A94" s="86"/>
    </row>
    <row r="95" spans="1:1" s="90" customFormat="1" x14ac:dyDescent="0.2">
      <c r="A95" s="86"/>
    </row>
    <row r="96" spans="1:1" s="90" customFormat="1" x14ac:dyDescent="0.2">
      <c r="A96" s="86"/>
    </row>
    <row r="97" spans="1:1" s="90" customFormat="1" x14ac:dyDescent="0.2">
      <c r="A97" s="86"/>
    </row>
    <row r="98" spans="1:1" s="90" customFormat="1" x14ac:dyDescent="0.2">
      <c r="A98" s="86"/>
    </row>
    <row r="99" spans="1:1" s="90" customFormat="1" x14ac:dyDescent="0.2">
      <c r="A99" s="86"/>
    </row>
    <row r="100" spans="1:1" s="90" customFormat="1" x14ac:dyDescent="0.2">
      <c r="A100" s="86"/>
    </row>
    <row r="101" spans="1:1" s="90" customFormat="1" x14ac:dyDescent="0.2">
      <c r="A101" s="86"/>
    </row>
    <row r="102" spans="1:1" s="90" customFormat="1" x14ac:dyDescent="0.2">
      <c r="A102" s="86"/>
    </row>
    <row r="103" spans="1:1" s="90" customFormat="1" x14ac:dyDescent="0.2">
      <c r="A103" s="86"/>
    </row>
    <row r="104" spans="1:1" s="90" customFormat="1" x14ac:dyDescent="0.2">
      <c r="A104" s="86"/>
    </row>
    <row r="105" spans="1:1" s="90" customFormat="1" x14ac:dyDescent="0.2">
      <c r="A105" s="86"/>
    </row>
    <row r="106" spans="1:1" s="90" customFormat="1" x14ac:dyDescent="0.2">
      <c r="A106" s="86"/>
    </row>
    <row r="107" spans="1:1" s="90" customFormat="1" x14ac:dyDescent="0.2">
      <c r="A107" s="86"/>
    </row>
    <row r="108" spans="1:1" s="90" customFormat="1" x14ac:dyDescent="0.2">
      <c r="A108" s="86"/>
    </row>
    <row r="109" spans="1:1" s="90" customFormat="1" x14ac:dyDescent="0.2">
      <c r="A109" s="86"/>
    </row>
    <row r="110" spans="1:1" s="90" customFormat="1" x14ac:dyDescent="0.2">
      <c r="A110" s="86"/>
    </row>
    <row r="111" spans="1:1" s="90" customFormat="1" x14ac:dyDescent="0.2">
      <c r="A111" s="86"/>
    </row>
    <row r="112" spans="1:1" s="90" customFormat="1" x14ac:dyDescent="0.2">
      <c r="A112" s="86"/>
    </row>
    <row r="113" spans="1:1" s="90" customFormat="1" x14ac:dyDescent="0.2">
      <c r="A113" s="86"/>
    </row>
    <row r="114" spans="1:1" s="90" customFormat="1" x14ac:dyDescent="0.2">
      <c r="A114" s="86"/>
    </row>
    <row r="115" spans="1:1" s="90" customFormat="1" x14ac:dyDescent="0.2">
      <c r="A115" s="86"/>
    </row>
    <row r="116" spans="1:1" s="90" customFormat="1" x14ac:dyDescent="0.2">
      <c r="A116" s="86"/>
    </row>
    <row r="117" spans="1:1" s="90" customFormat="1" x14ac:dyDescent="0.2">
      <c r="A117" s="86"/>
    </row>
    <row r="118" spans="1:1" s="90" customFormat="1" x14ac:dyDescent="0.2">
      <c r="A118" s="86"/>
    </row>
    <row r="119" spans="1:1" s="90" customFormat="1" x14ac:dyDescent="0.2">
      <c r="A119" s="86"/>
    </row>
    <row r="120" spans="1:1" s="90" customFormat="1" x14ac:dyDescent="0.2">
      <c r="A120" s="86"/>
    </row>
    <row r="121" spans="1:1" s="90" customFormat="1" x14ac:dyDescent="0.2">
      <c r="A121" s="86"/>
    </row>
    <row r="122" spans="1:1" s="90" customFormat="1" x14ac:dyDescent="0.2">
      <c r="A122" s="86"/>
    </row>
    <row r="123" spans="1:1" s="90" customFormat="1" x14ac:dyDescent="0.2">
      <c r="A123" s="86"/>
    </row>
    <row r="124" spans="1:1" s="90" customFormat="1" x14ac:dyDescent="0.2">
      <c r="A124" s="86"/>
    </row>
    <row r="125" spans="1:1" s="90" customFormat="1" x14ac:dyDescent="0.2">
      <c r="A125" s="86"/>
    </row>
    <row r="126" spans="1:1" s="90" customFormat="1" x14ac:dyDescent="0.2">
      <c r="A126" s="86"/>
    </row>
    <row r="127" spans="1:1" s="90" customFormat="1" x14ac:dyDescent="0.2">
      <c r="A127" s="86"/>
    </row>
    <row r="128" spans="1:1" s="90" customFormat="1" x14ac:dyDescent="0.2">
      <c r="A128" s="86"/>
    </row>
    <row r="129" spans="1:1" s="90" customFormat="1" x14ac:dyDescent="0.2">
      <c r="A129" s="86"/>
    </row>
    <row r="130" spans="1:1" s="90" customFormat="1" x14ac:dyDescent="0.2">
      <c r="A130" s="86"/>
    </row>
    <row r="131" spans="1:1" s="90" customFormat="1" x14ac:dyDescent="0.2">
      <c r="A131" s="86"/>
    </row>
    <row r="132" spans="1:1" s="90" customFormat="1" x14ac:dyDescent="0.2">
      <c r="A132" s="86"/>
    </row>
    <row r="133" spans="1:1" s="90" customFormat="1" x14ac:dyDescent="0.2">
      <c r="A133" s="86"/>
    </row>
    <row r="134" spans="1:1" s="90" customFormat="1" x14ac:dyDescent="0.2">
      <c r="A134" s="86"/>
    </row>
    <row r="135" spans="1:1" s="90" customFormat="1" x14ac:dyDescent="0.2">
      <c r="A135" s="86"/>
    </row>
    <row r="136" spans="1:1" s="90" customFormat="1" x14ac:dyDescent="0.2">
      <c r="A136" s="86"/>
    </row>
    <row r="137" spans="1:1" s="90" customFormat="1" x14ac:dyDescent="0.2">
      <c r="A137" s="86"/>
    </row>
    <row r="138" spans="1:1" s="90" customFormat="1" x14ac:dyDescent="0.2">
      <c r="A138" s="86"/>
    </row>
    <row r="139" spans="1:1" s="90" customFormat="1" x14ac:dyDescent="0.2">
      <c r="A139" s="86"/>
    </row>
    <row r="140" spans="1:1" s="90" customFormat="1" x14ac:dyDescent="0.2">
      <c r="A140" s="86"/>
    </row>
    <row r="141" spans="1:1" s="90" customFormat="1" x14ac:dyDescent="0.2">
      <c r="A141" s="86"/>
    </row>
    <row r="142" spans="1:1" s="90" customFormat="1" x14ac:dyDescent="0.2">
      <c r="A142" s="86"/>
    </row>
    <row r="143" spans="1:1" s="90" customFormat="1" x14ac:dyDescent="0.2">
      <c r="A143" s="86"/>
    </row>
    <row r="144" spans="1:1" s="90" customFormat="1" x14ac:dyDescent="0.2">
      <c r="A144" s="86"/>
    </row>
    <row r="145" spans="1:1" s="90" customFormat="1" x14ac:dyDescent="0.2">
      <c r="A145" s="86"/>
    </row>
    <row r="146" spans="1:1" s="90" customFormat="1" x14ac:dyDescent="0.2">
      <c r="A146" s="86"/>
    </row>
    <row r="147" spans="1:1" s="90" customFormat="1" x14ac:dyDescent="0.2">
      <c r="A147" s="86"/>
    </row>
    <row r="148" spans="1:1" s="90" customFormat="1" x14ac:dyDescent="0.2">
      <c r="A148" s="86"/>
    </row>
    <row r="149" spans="1:1" s="90" customFormat="1" x14ac:dyDescent="0.2">
      <c r="A149" s="86"/>
    </row>
    <row r="150" spans="1:1" s="90" customFormat="1" x14ac:dyDescent="0.2">
      <c r="A150" s="86"/>
    </row>
    <row r="151" spans="1:1" s="90" customFormat="1" x14ac:dyDescent="0.2">
      <c r="A151" s="86"/>
    </row>
    <row r="152" spans="1:1" s="90" customFormat="1" x14ac:dyDescent="0.2">
      <c r="A152" s="86"/>
    </row>
    <row r="153" spans="1:1" s="90" customFormat="1" x14ac:dyDescent="0.2">
      <c r="A153" s="86"/>
    </row>
    <row r="154" spans="1:1" s="90" customFormat="1" x14ac:dyDescent="0.2">
      <c r="A154" s="86"/>
    </row>
    <row r="155" spans="1:1" s="90" customFormat="1" x14ac:dyDescent="0.2">
      <c r="A155" s="86"/>
    </row>
    <row r="156" spans="1:1" s="90" customFormat="1" x14ac:dyDescent="0.2">
      <c r="A156" s="86"/>
    </row>
    <row r="157" spans="1:1" s="90" customFormat="1" x14ac:dyDescent="0.2">
      <c r="A157" s="86"/>
    </row>
    <row r="158" spans="1:1" s="90" customFormat="1" x14ac:dyDescent="0.2">
      <c r="A158" s="86"/>
    </row>
    <row r="159" spans="1:1" s="90" customFormat="1" x14ac:dyDescent="0.2">
      <c r="A159" s="86"/>
    </row>
    <row r="160" spans="1:1" s="90" customFormat="1" x14ac:dyDescent="0.2">
      <c r="A160" s="86"/>
    </row>
    <row r="161" spans="1:1" s="90" customFormat="1" x14ac:dyDescent="0.2">
      <c r="A161" s="86"/>
    </row>
    <row r="162" spans="1:1" s="90" customFormat="1" x14ac:dyDescent="0.2">
      <c r="A162" s="86"/>
    </row>
    <row r="163" spans="1:1" s="90" customFormat="1" x14ac:dyDescent="0.2">
      <c r="A163" s="86"/>
    </row>
    <row r="164" spans="1:1" s="90" customFormat="1" x14ac:dyDescent="0.2">
      <c r="A164" s="86"/>
    </row>
    <row r="165" spans="1:1" s="90" customFormat="1" x14ac:dyDescent="0.2">
      <c r="A165" s="86"/>
    </row>
    <row r="166" spans="1:1" s="90" customFormat="1" x14ac:dyDescent="0.2">
      <c r="A166" s="86"/>
    </row>
    <row r="167" spans="1:1" s="90" customFormat="1" x14ac:dyDescent="0.2">
      <c r="A167" s="86"/>
    </row>
    <row r="168" spans="1:1" s="90" customFormat="1" x14ac:dyDescent="0.2">
      <c r="A168" s="86"/>
    </row>
    <row r="169" spans="1:1" s="90" customFormat="1" x14ac:dyDescent="0.2">
      <c r="A169" s="86"/>
    </row>
    <row r="170" spans="1:1" s="90" customFormat="1" x14ac:dyDescent="0.2">
      <c r="A170" s="86"/>
    </row>
    <row r="171" spans="1:1" s="90" customFormat="1" x14ac:dyDescent="0.2">
      <c r="A171" s="86"/>
    </row>
    <row r="172" spans="1:1" s="90" customFormat="1" x14ac:dyDescent="0.2">
      <c r="A172" s="86"/>
    </row>
    <row r="173" spans="1:1" s="90" customFormat="1" x14ac:dyDescent="0.2">
      <c r="A173" s="86"/>
    </row>
    <row r="174" spans="1:1" s="90" customFormat="1" x14ac:dyDescent="0.2">
      <c r="A174" s="86"/>
    </row>
    <row r="175" spans="1:1" s="90" customFormat="1" x14ac:dyDescent="0.2">
      <c r="A175" s="86"/>
    </row>
    <row r="176" spans="1:1" s="90" customFormat="1" x14ac:dyDescent="0.2">
      <c r="A176" s="86"/>
    </row>
    <row r="177" spans="1:1" s="90" customFormat="1" x14ac:dyDescent="0.2">
      <c r="A177" s="86"/>
    </row>
    <row r="178" spans="1:1" s="90" customFormat="1" x14ac:dyDescent="0.2">
      <c r="A178" s="86"/>
    </row>
    <row r="179" spans="1:1" s="90" customFormat="1" x14ac:dyDescent="0.2">
      <c r="A179" s="86"/>
    </row>
    <row r="180" spans="1:1" s="90" customFormat="1" x14ac:dyDescent="0.2">
      <c r="A180" s="86"/>
    </row>
    <row r="181" spans="1:1" s="90" customFormat="1" x14ac:dyDescent="0.2">
      <c r="A181" s="86"/>
    </row>
    <row r="182" spans="1:1" s="90" customFormat="1" x14ac:dyDescent="0.2">
      <c r="A182" s="86"/>
    </row>
    <row r="183" spans="1:1" s="90" customFormat="1" x14ac:dyDescent="0.2">
      <c r="A183" s="86"/>
    </row>
    <row r="184" spans="1:1" s="90" customFormat="1" x14ac:dyDescent="0.2">
      <c r="A184" s="86"/>
    </row>
    <row r="185" spans="1:1" s="90" customFormat="1" x14ac:dyDescent="0.2">
      <c r="A185" s="86"/>
    </row>
    <row r="186" spans="1:1" s="90" customFormat="1" x14ac:dyDescent="0.2">
      <c r="A186" s="86"/>
    </row>
    <row r="187" spans="1:1" s="90" customFormat="1" x14ac:dyDescent="0.2">
      <c r="A187" s="86"/>
    </row>
    <row r="188" spans="1:1" s="90" customFormat="1" x14ac:dyDescent="0.2">
      <c r="A188" s="86"/>
    </row>
    <row r="189" spans="1:1" s="90" customFormat="1" x14ac:dyDescent="0.2">
      <c r="A189" s="86"/>
    </row>
    <row r="190" spans="1:1" s="90" customFormat="1" x14ac:dyDescent="0.2">
      <c r="A190" s="86"/>
    </row>
    <row r="191" spans="1:1" s="90" customFormat="1" x14ac:dyDescent="0.2">
      <c r="A191" s="86"/>
    </row>
    <row r="192" spans="1:1" s="90" customFormat="1" x14ac:dyDescent="0.2">
      <c r="A192" s="86"/>
    </row>
    <row r="193" spans="1:1" s="90" customFormat="1" x14ac:dyDescent="0.2">
      <c r="A193" s="86"/>
    </row>
    <row r="194" spans="1:1" s="90" customFormat="1" x14ac:dyDescent="0.2">
      <c r="A194" s="86"/>
    </row>
    <row r="195" spans="1:1" s="90" customFormat="1" x14ac:dyDescent="0.2">
      <c r="A195" s="86"/>
    </row>
    <row r="196" spans="1:1" s="90" customFormat="1" x14ac:dyDescent="0.2">
      <c r="A196" s="86"/>
    </row>
    <row r="197" spans="1:1" s="90" customFormat="1" x14ac:dyDescent="0.2">
      <c r="A197" s="86"/>
    </row>
    <row r="198" spans="1:1" s="90" customFormat="1" x14ac:dyDescent="0.2">
      <c r="A198" s="86"/>
    </row>
    <row r="199" spans="1:1" s="90" customFormat="1" x14ac:dyDescent="0.2">
      <c r="A199" s="86"/>
    </row>
    <row r="200" spans="1:1" s="90" customFormat="1" x14ac:dyDescent="0.2">
      <c r="A200" s="86"/>
    </row>
    <row r="201" spans="1:1" s="90" customFormat="1" x14ac:dyDescent="0.2">
      <c r="A201" s="86"/>
    </row>
    <row r="202" spans="1:1" s="90" customFormat="1" x14ac:dyDescent="0.2">
      <c r="A202" s="86"/>
    </row>
    <row r="203" spans="1:1" s="90" customFormat="1" x14ac:dyDescent="0.2">
      <c r="A203" s="86"/>
    </row>
    <row r="204" spans="1:1" s="90" customFormat="1" x14ac:dyDescent="0.2">
      <c r="A204" s="86"/>
    </row>
    <row r="205" spans="1:1" s="90" customFormat="1" x14ac:dyDescent="0.2">
      <c r="A205" s="86"/>
    </row>
    <row r="206" spans="1:1" s="90" customFormat="1" x14ac:dyDescent="0.2">
      <c r="A206" s="86"/>
    </row>
    <row r="207" spans="1:1" s="90" customFormat="1" x14ac:dyDescent="0.2">
      <c r="A207" s="86"/>
    </row>
    <row r="208" spans="1:1" s="90" customFormat="1" x14ac:dyDescent="0.2">
      <c r="A208" s="86"/>
    </row>
    <row r="209" spans="1:1" s="90" customFormat="1" x14ac:dyDescent="0.2">
      <c r="A209" s="86"/>
    </row>
    <row r="210" spans="1:1" s="90" customFormat="1" x14ac:dyDescent="0.2">
      <c r="A210" s="86"/>
    </row>
    <row r="211" spans="1:1" s="90" customFormat="1" x14ac:dyDescent="0.2">
      <c r="A211" s="86"/>
    </row>
    <row r="212" spans="1:1" s="90" customFormat="1" x14ac:dyDescent="0.2">
      <c r="A212" s="86"/>
    </row>
    <row r="213" spans="1:1" s="90" customFormat="1" x14ac:dyDescent="0.2">
      <c r="A213" s="86"/>
    </row>
    <row r="214" spans="1:1" s="90" customFormat="1" x14ac:dyDescent="0.2">
      <c r="A214" s="86"/>
    </row>
    <row r="215" spans="1:1" s="90" customFormat="1" x14ac:dyDescent="0.2">
      <c r="A215" s="86"/>
    </row>
    <row r="216" spans="1:1" s="90" customFormat="1" x14ac:dyDescent="0.2">
      <c r="A216" s="86"/>
    </row>
    <row r="217" spans="1:1" s="90" customFormat="1" x14ac:dyDescent="0.2">
      <c r="A217" s="86"/>
    </row>
    <row r="218" spans="1:1" s="90" customFormat="1" x14ac:dyDescent="0.2">
      <c r="A218" s="86"/>
    </row>
  </sheetData>
  <sheetProtection sheet="1" objects="1" scenarios="1"/>
  <mergeCells count="229">
    <mergeCell ref="J1:U2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10" zoomScale="250" zoomScaleNormal="250" zoomScalePageLayoutView="160" workbookViewId="0">
      <selection activeCell="A10" sqref="A10"/>
    </sheetView>
  </sheetViews>
  <sheetFormatPr baseColWidth="10" defaultColWidth="8.83203125" defaultRowHeight="13" x14ac:dyDescent="0.15"/>
  <cols>
    <col min="1" max="1" width="32.1640625" style="180" bestFit="1" customWidth="1"/>
    <col min="2" max="2" width="22" style="180" bestFit="1" customWidth="1"/>
    <col min="3" max="3" width="16.6640625" style="179" customWidth="1"/>
    <col min="4" max="8" width="8.83203125" style="179"/>
    <col min="9" max="9" width="12.1640625" style="179" customWidth="1"/>
    <col min="10" max="16384" width="8.83203125" style="180"/>
  </cols>
  <sheetData>
    <row r="1" spans="1:9" hidden="1" x14ac:dyDescent="0.15">
      <c r="A1" s="421" t="s">
        <v>141</v>
      </c>
      <c r="B1" s="421"/>
    </row>
    <row r="2" spans="1:9" hidden="1" x14ac:dyDescent="0.15">
      <c r="A2" s="50" t="s">
        <v>143</v>
      </c>
      <c r="B2" s="181">
        <v>420000</v>
      </c>
    </row>
    <row r="3" spans="1:9" hidden="1" x14ac:dyDescent="0.15">
      <c r="A3" s="50" t="s">
        <v>142</v>
      </c>
      <c r="B3" s="182">
        <v>0.25</v>
      </c>
    </row>
    <row r="4" spans="1:9" hidden="1" x14ac:dyDescent="0.15">
      <c r="A4" s="50" t="s">
        <v>144</v>
      </c>
      <c r="B4" s="183">
        <f>B2*B3</f>
        <v>105000</v>
      </c>
    </row>
    <row r="5" spans="1:9" hidden="1" x14ac:dyDescent="0.15">
      <c r="A5" s="50" t="s">
        <v>145</v>
      </c>
      <c r="B5" s="184">
        <v>100</v>
      </c>
    </row>
    <row r="6" spans="1:9" hidden="1" x14ac:dyDescent="0.15">
      <c r="A6" s="50" t="s">
        <v>132</v>
      </c>
      <c r="B6" s="184">
        <f>B4/B5</f>
        <v>1050</v>
      </c>
    </row>
    <row r="7" spans="1:9" hidden="1" x14ac:dyDescent="0.15">
      <c r="A7" s="50"/>
      <c r="B7" s="184"/>
    </row>
    <row r="8" spans="1:9" hidden="1" x14ac:dyDescent="0.15">
      <c r="A8" s="179"/>
      <c r="B8" s="184"/>
    </row>
    <row r="9" spans="1:9" ht="14" x14ac:dyDescent="0.15">
      <c r="A9" s="424" t="s">
        <v>135</v>
      </c>
      <c r="B9" s="424"/>
    </row>
    <row r="10" spans="1:9" ht="14" x14ac:dyDescent="0.15">
      <c r="A10" s="185" t="s">
        <v>139</v>
      </c>
      <c r="B10" s="186">
        <v>4700</v>
      </c>
      <c r="D10" s="423" t="s">
        <v>146</v>
      </c>
      <c r="E10" s="423"/>
      <c r="F10" s="423"/>
      <c r="G10" s="423"/>
      <c r="H10" s="423"/>
      <c r="I10" s="423"/>
    </row>
    <row r="11" spans="1:9" ht="14" x14ac:dyDescent="0.15">
      <c r="A11" s="187" t="s">
        <v>132</v>
      </c>
      <c r="B11" s="187" t="s">
        <v>133</v>
      </c>
    </row>
    <row r="12" spans="1:9" x14ac:dyDescent="0.15">
      <c r="A12" s="188">
        <f>0.5*B10</f>
        <v>2350</v>
      </c>
      <c r="B12" s="189">
        <v>500</v>
      </c>
      <c r="D12" s="423" t="s">
        <v>147</v>
      </c>
      <c r="E12" s="423"/>
      <c r="F12" s="423"/>
      <c r="G12" s="423"/>
      <c r="H12" s="423"/>
      <c r="I12" s="423"/>
    </row>
    <row r="13" spans="1:9" x14ac:dyDescent="0.15">
      <c r="A13" s="190">
        <v>0</v>
      </c>
      <c r="B13" s="191"/>
      <c r="D13" s="423"/>
      <c r="E13" s="423"/>
      <c r="F13" s="423"/>
      <c r="G13" s="423"/>
      <c r="H13" s="423"/>
      <c r="I13" s="423"/>
    </row>
    <row r="14" spans="1:9" x14ac:dyDescent="0.15">
      <c r="A14" s="192">
        <v>0</v>
      </c>
      <c r="B14" s="193"/>
      <c r="D14" s="423"/>
      <c r="E14" s="423"/>
      <c r="F14" s="423"/>
      <c r="G14" s="423"/>
      <c r="H14" s="423"/>
      <c r="I14" s="423"/>
    </row>
    <row r="15" spans="1:9" ht="28" x14ac:dyDescent="0.15">
      <c r="A15" s="194" t="s">
        <v>131</v>
      </c>
      <c r="B15" s="195" t="s">
        <v>134</v>
      </c>
    </row>
    <row r="16" spans="1:9" x14ac:dyDescent="0.15">
      <c r="A16" s="196">
        <f>B10-(SUM('Peanut Price Calculator'!A12:A14))</f>
        <v>2350</v>
      </c>
      <c r="B16" s="197">
        <v>450</v>
      </c>
      <c r="D16" s="423" t="s">
        <v>148</v>
      </c>
      <c r="E16" s="423"/>
      <c r="F16" s="423"/>
      <c r="G16" s="423"/>
      <c r="H16" s="423"/>
      <c r="I16" s="423"/>
    </row>
    <row r="17" spans="1:9" ht="14" x14ac:dyDescent="0.15">
      <c r="A17" s="198" t="s">
        <v>137</v>
      </c>
      <c r="B17" s="199">
        <f>(A12/(SUM(A12:A14,A16:A16))*B12+A13/(SUM(A12:A14,A16:A16))*B13+A14/(SUM(A12:A14,A16:A16))*B14+A16/(SUM(A12:A14,A16:A16))*B16)</f>
        <v>475</v>
      </c>
    </row>
    <row r="18" spans="1:9" x14ac:dyDescent="0.15">
      <c r="A18" s="200"/>
      <c r="B18" s="201"/>
    </row>
    <row r="19" spans="1:9" s="179" customFormat="1" x14ac:dyDescent="0.15"/>
    <row r="20" spans="1:9" s="179" customFormat="1" x14ac:dyDescent="0.15">
      <c r="A20" s="422" t="s">
        <v>138</v>
      </c>
      <c r="B20" s="422"/>
    </row>
    <row r="21" spans="1:9" s="179" customFormat="1" ht="14" x14ac:dyDescent="0.15">
      <c r="A21" s="185" t="s">
        <v>140</v>
      </c>
      <c r="B21" s="202">
        <v>3400</v>
      </c>
      <c r="D21" s="423" t="s">
        <v>149</v>
      </c>
      <c r="E21" s="423"/>
      <c r="F21" s="423"/>
      <c r="G21" s="423"/>
      <c r="H21" s="423"/>
      <c r="I21" s="423"/>
    </row>
    <row r="22" spans="1:9" s="179" customFormat="1" ht="14" x14ac:dyDescent="0.15">
      <c r="A22" s="187" t="s">
        <v>132</v>
      </c>
      <c r="B22" s="187" t="s">
        <v>133</v>
      </c>
    </row>
    <row r="23" spans="1:9" s="179" customFormat="1" x14ac:dyDescent="0.15">
      <c r="A23" s="203">
        <f>0.5*B21</f>
        <v>1700</v>
      </c>
      <c r="B23" s="204">
        <f>B12</f>
        <v>500</v>
      </c>
      <c r="D23" s="423" t="s">
        <v>150</v>
      </c>
      <c r="E23" s="423"/>
      <c r="F23" s="423"/>
      <c r="G23" s="423"/>
      <c r="H23" s="423"/>
      <c r="I23" s="423"/>
    </row>
    <row r="24" spans="1:9" s="179" customFormat="1" x14ac:dyDescent="0.15">
      <c r="A24" s="205">
        <v>0</v>
      </c>
      <c r="B24" s="206"/>
      <c r="D24" s="423"/>
      <c r="E24" s="423"/>
      <c r="F24" s="423"/>
      <c r="G24" s="423"/>
      <c r="H24" s="423"/>
      <c r="I24" s="423"/>
    </row>
    <row r="25" spans="1:9" s="179" customFormat="1" x14ac:dyDescent="0.15">
      <c r="A25" s="207">
        <v>0</v>
      </c>
      <c r="B25" s="208"/>
      <c r="D25" s="423"/>
      <c r="E25" s="423"/>
      <c r="F25" s="423"/>
      <c r="G25" s="423"/>
      <c r="H25" s="423"/>
      <c r="I25" s="423"/>
    </row>
    <row r="26" spans="1:9" s="179" customFormat="1" ht="28" x14ac:dyDescent="0.15">
      <c r="A26" s="194" t="s">
        <v>131</v>
      </c>
      <c r="B26" s="195" t="s">
        <v>134</v>
      </c>
    </row>
    <row r="27" spans="1:9" s="179" customFormat="1" ht="15.75" customHeight="1" x14ac:dyDescent="0.15">
      <c r="A27" s="196">
        <f>B21-(SUM('Peanut Price Calculator'!A23:A25))</f>
        <v>1700</v>
      </c>
      <c r="B27" s="209">
        <v>450</v>
      </c>
      <c r="D27" s="420" t="s">
        <v>151</v>
      </c>
      <c r="E27" s="420"/>
      <c r="F27" s="420"/>
      <c r="G27" s="420"/>
      <c r="H27" s="420"/>
      <c r="I27" s="420"/>
    </row>
    <row r="28" spans="1:9" s="179" customFormat="1" ht="14" x14ac:dyDescent="0.15">
      <c r="A28" s="198" t="s">
        <v>136</v>
      </c>
      <c r="B28" s="199">
        <f>(A23/(SUM(A23:A25,A27:A27))*B23+A24/(SUM(A23:A25,A27:A27))*B24+A25/(SUM(A23:A25,A27:A27))*B25+A27/(SUM(A23:A25,A27:A27))*B27)</f>
        <v>475</v>
      </c>
      <c r="D28" s="420"/>
      <c r="E28" s="420"/>
      <c r="F28" s="420"/>
      <c r="G28" s="420"/>
      <c r="H28" s="420"/>
      <c r="I28" s="420"/>
    </row>
    <row r="29" spans="1:9" s="179" customFormat="1" x14ac:dyDescent="0.15"/>
    <row r="30" spans="1:9" s="179" customFormat="1" x14ac:dyDescent="0.15"/>
    <row r="31" spans="1:9" s="179" customFormat="1" x14ac:dyDescent="0.15"/>
    <row r="32" spans="1:9" s="179" customFormat="1" x14ac:dyDescent="0.15"/>
    <row r="33" s="179" customFormat="1" x14ac:dyDescent="0.15"/>
    <row r="34" s="179" customFormat="1" x14ac:dyDescent="0.15"/>
    <row r="35" s="179" customFormat="1" x14ac:dyDescent="0.15"/>
    <row r="36" s="179" customFormat="1" x14ac:dyDescent="0.15"/>
    <row r="37" s="179" customFormat="1" x14ac:dyDescent="0.15"/>
    <row r="38" s="179" customFormat="1" x14ac:dyDescent="0.15"/>
    <row r="39" s="179" customFormat="1" x14ac:dyDescent="0.15"/>
    <row r="40" s="179" customFormat="1" x14ac:dyDescent="0.15"/>
    <row r="41" s="179" customFormat="1" x14ac:dyDescent="0.15"/>
    <row r="42" s="179" customFormat="1" x14ac:dyDescent="0.15"/>
    <row r="43" s="179" customFormat="1" x14ac:dyDescent="0.15"/>
    <row r="44" s="179" customFormat="1" x14ac:dyDescent="0.15"/>
    <row r="45" s="179" customFormat="1" x14ac:dyDescent="0.15"/>
    <row r="46" s="179" customFormat="1" x14ac:dyDescent="0.15"/>
    <row r="47" s="179" customFormat="1" x14ac:dyDescent="0.15"/>
    <row r="48" s="179" customFormat="1" x14ac:dyDescent="0.15"/>
    <row r="49" s="179" customFormat="1" x14ac:dyDescent="0.15"/>
    <row r="50" s="179" customFormat="1" x14ac:dyDescent="0.15"/>
    <row r="51" s="179" customFormat="1" x14ac:dyDescent="0.15"/>
    <row r="52" s="179" customFormat="1" x14ac:dyDescent="0.15"/>
    <row r="53" s="179" customFormat="1" x14ac:dyDescent="0.15"/>
    <row r="54" s="179" customFormat="1" x14ac:dyDescent="0.15"/>
    <row r="55" s="179" customFormat="1" x14ac:dyDescent="0.15"/>
    <row r="56" s="179" customFormat="1" x14ac:dyDescent="0.15"/>
    <row r="57" s="179" customFormat="1" x14ac:dyDescent="0.15"/>
    <row r="58" s="179" customFormat="1" x14ac:dyDescent="0.15"/>
    <row r="59" s="179" customFormat="1" x14ac:dyDescent="0.15"/>
    <row r="60" s="179" customFormat="1" x14ac:dyDescent="0.15"/>
    <row r="61" s="179" customFormat="1" x14ac:dyDescent="0.15"/>
    <row r="62" s="179" customFormat="1" x14ac:dyDescent="0.15"/>
    <row r="63" s="179" customFormat="1" x14ac:dyDescent="0.15"/>
    <row r="64" s="179" customFormat="1" x14ac:dyDescent="0.15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Smith, UGA Extension Economist&amp;C&amp;G&amp;RAg and Applied Economics, 11/2021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46"/>
  <sheetViews>
    <sheetView zoomScale="150" zoomScaleNormal="150" zoomScalePageLayoutView="150" workbookViewId="0">
      <selection activeCell="D3" sqref="D3"/>
    </sheetView>
  </sheetViews>
  <sheetFormatPr baseColWidth="10" defaultColWidth="8.83203125" defaultRowHeight="14" x14ac:dyDescent="0.2"/>
  <cols>
    <col min="1" max="1" width="7.33203125" style="91" customWidth="1"/>
    <col min="2" max="2" width="15.6640625" style="91" bestFit="1" customWidth="1"/>
    <col min="3" max="3" width="6.33203125" style="91" customWidth="1"/>
    <col min="4" max="4" width="15.83203125" style="91" bestFit="1" customWidth="1"/>
    <col min="5" max="5" width="6.33203125" style="91" customWidth="1"/>
    <col min="6" max="6" width="14" style="91" bestFit="1" customWidth="1"/>
    <col min="7" max="7" width="7" style="91" customWidth="1"/>
    <col min="8" max="8" width="15.83203125" style="91" bestFit="1" customWidth="1"/>
    <col min="9" max="9" width="8.5" style="91" customWidth="1"/>
    <col min="10" max="21" width="8.83203125" style="91" customWidth="1"/>
    <col min="22" max="16384" width="8.83203125" style="91"/>
  </cols>
  <sheetData>
    <row r="1" spans="1:19" ht="30" customHeight="1" x14ac:dyDescent="0.2">
      <c r="A1" s="425" t="s">
        <v>118</v>
      </c>
      <c r="B1" s="426"/>
      <c r="C1" s="426"/>
      <c r="D1" s="426"/>
      <c r="E1" s="426"/>
      <c r="F1" s="426"/>
      <c r="G1" s="426"/>
      <c r="H1" s="426"/>
      <c r="I1" s="427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30" customHeight="1" thickBot="1" x14ac:dyDescent="0.25">
      <c r="A2" s="428" t="s">
        <v>117</v>
      </c>
      <c r="B2" s="429"/>
      <c r="C2" s="429"/>
      <c r="D2" s="429"/>
      <c r="E2" s="429"/>
      <c r="F2" s="429"/>
      <c r="G2" s="429"/>
      <c r="H2" s="429"/>
      <c r="I2" s="43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169" customFormat="1" ht="30" customHeight="1" thickBot="1" x14ac:dyDescent="0.2">
      <c r="A3" s="162"/>
      <c r="B3" s="163" t="s">
        <v>105</v>
      </c>
      <c r="C3" s="164"/>
      <c r="D3" s="165" t="s">
        <v>108</v>
      </c>
      <c r="E3" s="164"/>
      <c r="F3" s="166" t="s">
        <v>111</v>
      </c>
      <c r="G3" s="164"/>
      <c r="H3" s="167" t="s">
        <v>114</v>
      </c>
      <c r="I3" s="168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s="173" customFormat="1" ht="15" thickBot="1" x14ac:dyDescent="0.2">
      <c r="A4" s="170"/>
      <c r="B4" s="164"/>
      <c r="C4" s="164"/>
      <c r="D4" s="164"/>
      <c r="E4" s="164"/>
      <c r="F4" s="164"/>
      <c r="G4" s="164"/>
      <c r="H4" s="164"/>
      <c r="I4" s="171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19" s="169" customFormat="1" ht="30" customHeight="1" thickBot="1" x14ac:dyDescent="0.2">
      <c r="A5" s="162"/>
      <c r="B5" s="163" t="s">
        <v>106</v>
      </c>
      <c r="C5" s="164"/>
      <c r="D5" s="165" t="s">
        <v>109</v>
      </c>
      <c r="E5" s="164"/>
      <c r="F5" s="166" t="s">
        <v>112</v>
      </c>
      <c r="G5" s="164"/>
      <c r="H5" s="167" t="s">
        <v>115</v>
      </c>
      <c r="I5" s="168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s="173" customFormat="1" ht="15" thickBot="1" x14ac:dyDescent="0.2">
      <c r="A6" s="170"/>
      <c r="B6" s="164"/>
      <c r="C6" s="164"/>
      <c r="D6" s="164"/>
      <c r="E6" s="164"/>
      <c r="F6" s="164"/>
      <c r="G6" s="164"/>
      <c r="H6" s="164"/>
      <c r="I6" s="171"/>
      <c r="J6" s="172"/>
      <c r="K6" s="172"/>
      <c r="L6" s="172"/>
      <c r="M6" s="172"/>
      <c r="N6" s="172"/>
      <c r="O6" s="172"/>
      <c r="P6" s="172"/>
      <c r="Q6" s="172"/>
      <c r="R6" s="172"/>
      <c r="S6" s="172"/>
    </row>
    <row r="7" spans="1:19" s="169" customFormat="1" ht="30" customHeight="1" thickBot="1" x14ac:dyDescent="0.2">
      <c r="A7" s="162"/>
      <c r="B7" s="163" t="s">
        <v>107</v>
      </c>
      <c r="C7" s="164"/>
      <c r="D7" s="165" t="s">
        <v>110</v>
      </c>
      <c r="E7" s="164"/>
      <c r="F7" s="166" t="s">
        <v>113</v>
      </c>
      <c r="G7" s="164"/>
      <c r="H7" s="167" t="s">
        <v>116</v>
      </c>
      <c r="I7" s="168"/>
      <c r="J7" s="164"/>
      <c r="K7" s="164"/>
      <c r="L7" s="164"/>
      <c r="M7" s="164"/>
      <c r="N7" s="164"/>
      <c r="O7" s="164"/>
      <c r="P7" s="164"/>
      <c r="Q7" s="164"/>
      <c r="R7" s="164"/>
      <c r="S7" s="164"/>
    </row>
    <row r="8" spans="1:19" ht="30" customHeight="1" thickBot="1" x14ac:dyDescent="0.25">
      <c r="A8" s="174"/>
      <c r="B8" s="175"/>
      <c r="C8" s="175"/>
      <c r="D8" s="175"/>
      <c r="E8" s="175"/>
      <c r="F8" s="175"/>
      <c r="G8" s="175"/>
      <c r="H8" s="175"/>
      <c r="I8" s="176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ht="6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ht="6.5" customHeight="1" thickBo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19" ht="30" customHeight="1" x14ac:dyDescent="0.2">
      <c r="A11" s="425" t="s">
        <v>119</v>
      </c>
      <c r="B11" s="426"/>
      <c r="C11" s="426"/>
      <c r="D11" s="426"/>
      <c r="E11" s="426"/>
      <c r="F11" s="426"/>
      <c r="G11" s="426"/>
      <c r="H11" s="426"/>
      <c r="I11" s="427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ht="30" customHeight="1" thickBot="1" x14ac:dyDescent="0.25">
      <c r="A12" s="428" t="s">
        <v>117</v>
      </c>
      <c r="B12" s="429"/>
      <c r="C12" s="429"/>
      <c r="D12" s="429"/>
      <c r="E12" s="429"/>
      <c r="F12" s="429"/>
      <c r="G12" s="429"/>
      <c r="H12" s="429"/>
      <c r="I12" s="43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s="178" customFormat="1" ht="30" customHeight="1" thickBot="1" x14ac:dyDescent="0.2">
      <c r="A13" s="162"/>
      <c r="B13" s="163" t="s">
        <v>105</v>
      </c>
      <c r="C13" s="164"/>
      <c r="D13" s="165" t="s">
        <v>108</v>
      </c>
      <c r="E13" s="164"/>
      <c r="F13" s="166" t="s">
        <v>111</v>
      </c>
      <c r="G13" s="164"/>
      <c r="H13" s="167" t="s">
        <v>114</v>
      </c>
      <c r="I13" s="168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 s="178" customFormat="1" ht="15" thickBot="1" x14ac:dyDescent="0.2">
      <c r="A14" s="162"/>
      <c r="B14" s="164"/>
      <c r="C14" s="164"/>
      <c r="D14" s="164"/>
      <c r="E14" s="164"/>
      <c r="F14" s="164"/>
      <c r="G14" s="164"/>
      <c r="H14" s="164"/>
      <c r="I14" s="168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 s="178" customFormat="1" ht="30" customHeight="1" thickBot="1" x14ac:dyDescent="0.2">
      <c r="A15" s="162"/>
      <c r="B15" s="163" t="s">
        <v>106</v>
      </c>
      <c r="C15" s="164"/>
      <c r="D15" s="165" t="s">
        <v>109</v>
      </c>
      <c r="E15" s="164"/>
      <c r="F15" s="166" t="s">
        <v>112</v>
      </c>
      <c r="G15" s="164"/>
      <c r="H15" s="167" t="s">
        <v>115</v>
      </c>
      <c r="I15" s="168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 s="178" customFormat="1" ht="15" thickBot="1" x14ac:dyDescent="0.2">
      <c r="A16" s="162"/>
      <c r="B16" s="164"/>
      <c r="C16" s="164"/>
      <c r="D16" s="164"/>
      <c r="E16" s="164"/>
      <c r="F16" s="164"/>
      <c r="G16" s="164"/>
      <c r="H16" s="164"/>
      <c r="I16" s="168"/>
      <c r="J16" s="17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19" s="178" customFormat="1" ht="30" customHeight="1" thickBot="1" x14ac:dyDescent="0.2">
      <c r="A17" s="162"/>
      <c r="B17" s="163" t="s">
        <v>107</v>
      </c>
      <c r="C17" s="164"/>
      <c r="D17" s="165" t="s">
        <v>110</v>
      </c>
      <c r="E17" s="164"/>
      <c r="F17" s="166" t="s">
        <v>113</v>
      </c>
      <c r="G17" s="164"/>
      <c r="H17" s="167" t="s">
        <v>116</v>
      </c>
      <c r="I17" s="168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 ht="30" customHeight="1" thickBot="1" x14ac:dyDescent="0.25">
      <c r="A18" s="174"/>
      <c r="B18" s="175"/>
      <c r="C18" s="175"/>
      <c r="D18" s="175"/>
      <c r="E18" s="175"/>
      <c r="F18" s="175"/>
      <c r="G18" s="175"/>
      <c r="H18" s="175"/>
      <c r="I18" s="176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x14ac:dyDescent="0.2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x14ac:dyDescent="0.2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x14ac:dyDescent="0.2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x14ac:dyDescent="0.2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x14ac:dyDescent="0.2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x14ac:dyDescent="0.2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spans="1:19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x14ac:dyDescent="0.2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spans="1:19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spans="1:19" x14ac:dyDescent="0.2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spans="1:19" x14ac:dyDescent="0.2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1:19" x14ac:dyDescent="0.2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x14ac:dyDescent="0.2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spans="1:19" x14ac:dyDescent="0.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x14ac:dyDescent="0.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spans="1:19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x14ac:dyDescent="0.2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1:19" x14ac:dyDescent="0.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1:19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1:19" x14ac:dyDescent="0.2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G131" sqref="G131"/>
    </sheetView>
  </sheetViews>
  <sheetFormatPr baseColWidth="10" defaultColWidth="8.83203125" defaultRowHeight="14" x14ac:dyDescent="0.2"/>
  <cols>
    <col min="1" max="26" width="8.83203125" style="90"/>
    <col min="27" max="27" width="8.83203125" style="90" customWidth="1"/>
    <col min="28" max="16384" width="8.83203125" style="90"/>
  </cols>
  <sheetData>
    <row r="29" spans="1:11" x14ac:dyDescent="0.2">
      <c r="A29" s="432" t="s">
        <v>93</v>
      </c>
      <c r="B29" s="432"/>
      <c r="C29" s="432"/>
      <c r="D29" s="432"/>
      <c r="E29" s="432"/>
      <c r="F29" s="432"/>
    </row>
    <row r="30" spans="1:11" x14ac:dyDescent="0.2">
      <c r="A30" s="210" t="s">
        <v>86</v>
      </c>
      <c r="B30" s="431" t="s">
        <v>90</v>
      </c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1" x14ac:dyDescent="0.2">
      <c r="A31" s="210" t="s">
        <v>87</v>
      </c>
      <c r="B31" s="431" t="str">
        <f>CONCATENATE("Irrigated peanut yield is ",Conventional!$D$7," lbs. and irrigated cotton yield is ",Conventional!$B$7," lbs.")</f>
        <v>Irrigated peanut yield is 4700 lbs. and irrigated cotton yield is 1200 lbs.</v>
      </c>
      <c r="C31" s="431"/>
      <c r="D31" s="431"/>
      <c r="E31" s="431"/>
      <c r="F31" s="431"/>
      <c r="G31" s="431"/>
      <c r="H31" s="431"/>
      <c r="I31" s="159"/>
      <c r="J31" s="159"/>
      <c r="K31" s="159"/>
    </row>
    <row r="32" spans="1:11" x14ac:dyDescent="0.2">
      <c r="A32" s="210" t="s">
        <v>88</v>
      </c>
      <c r="B32" s="431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31"/>
      <c r="D32" s="431"/>
      <c r="E32" s="431"/>
      <c r="F32" s="431"/>
      <c r="G32" s="431"/>
      <c r="H32" s="431"/>
      <c r="I32" s="431"/>
      <c r="J32" s="159"/>
      <c r="K32" s="159"/>
    </row>
    <row r="33" spans="1:13" x14ac:dyDescent="0.2">
      <c r="A33" s="210" t="s">
        <v>89</v>
      </c>
      <c r="B33" s="431" t="s">
        <v>104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</row>
    <row r="63" spans="1:11" x14ac:dyDescent="0.2">
      <c r="A63" s="431" t="s">
        <v>93</v>
      </c>
      <c r="B63" s="431"/>
      <c r="C63" s="431"/>
      <c r="D63" s="431"/>
      <c r="E63" s="431"/>
      <c r="F63" s="431"/>
    </row>
    <row r="64" spans="1:11" x14ac:dyDescent="0.2">
      <c r="A64" s="210" t="s">
        <v>86</v>
      </c>
      <c r="B64" s="431" t="s">
        <v>91</v>
      </c>
      <c r="C64" s="431"/>
      <c r="D64" s="431"/>
      <c r="E64" s="431"/>
      <c r="F64" s="431"/>
      <c r="G64" s="431"/>
      <c r="H64" s="431"/>
      <c r="I64" s="431"/>
      <c r="J64" s="431"/>
      <c r="K64" s="431"/>
    </row>
    <row r="65" spans="1:13" x14ac:dyDescent="0.2">
      <c r="A65" s="210" t="s">
        <v>87</v>
      </c>
      <c r="B65" s="431" t="str">
        <f>CONCATENATE("Irrigated corn yield is ",Conventional!$F$7," bu. and irrigated cotton yield is ",Conventional!$B$7," lbs.")</f>
        <v>Irrigated corn yield is 200 bu. and irrigated cotton yield is 1200 lbs.</v>
      </c>
      <c r="C65" s="431"/>
      <c r="D65" s="431"/>
      <c r="E65" s="431"/>
      <c r="F65" s="431"/>
      <c r="G65" s="431"/>
      <c r="H65" s="431"/>
      <c r="I65" s="159"/>
      <c r="J65" s="159"/>
      <c r="K65" s="159"/>
    </row>
    <row r="66" spans="1:13" x14ac:dyDescent="0.2">
      <c r="A66" s="210" t="s">
        <v>88</v>
      </c>
      <c r="B66" s="431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31"/>
      <c r="D66" s="431"/>
      <c r="E66" s="431"/>
      <c r="F66" s="431"/>
      <c r="G66" s="431"/>
      <c r="H66" s="431"/>
      <c r="I66" s="431"/>
      <c r="J66" s="159"/>
      <c r="K66" s="159"/>
    </row>
    <row r="67" spans="1:13" x14ac:dyDescent="0.2">
      <c r="A67" s="210" t="s">
        <v>89</v>
      </c>
      <c r="B67" s="431" t="s">
        <v>104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</row>
    <row r="97" spans="1:13" x14ac:dyDescent="0.2">
      <c r="A97" s="431" t="s">
        <v>93</v>
      </c>
      <c r="B97" s="431"/>
      <c r="C97" s="431"/>
      <c r="D97" s="431"/>
      <c r="E97" s="431"/>
      <c r="F97" s="431"/>
    </row>
    <row r="98" spans="1:13" x14ac:dyDescent="0.2">
      <c r="A98" s="210" t="s">
        <v>86</v>
      </c>
      <c r="B98" s="431" t="s">
        <v>92</v>
      </c>
      <c r="C98" s="431"/>
      <c r="D98" s="431"/>
      <c r="E98" s="431"/>
      <c r="F98" s="431"/>
      <c r="G98" s="431"/>
      <c r="H98" s="431"/>
      <c r="I98" s="431"/>
      <c r="J98" s="431"/>
      <c r="K98" s="431"/>
      <c r="L98" s="431"/>
    </row>
    <row r="99" spans="1:13" x14ac:dyDescent="0.2">
      <c r="A99" s="210" t="s">
        <v>87</v>
      </c>
      <c r="B99" s="431" t="str">
        <f>CONCATENATE("Irrigated soybean yield is ",Conventional!$H$7," bu. and irrigated cotton yield is ",Conventional!$B$7," lbs.")</f>
        <v>Irrigated soybean yield is 60 bu. and irrigated cotton yield is 1200 lbs.</v>
      </c>
      <c r="C99" s="431"/>
      <c r="D99" s="431"/>
      <c r="E99" s="431"/>
      <c r="F99" s="431"/>
      <c r="G99" s="431"/>
      <c r="H99" s="431"/>
      <c r="I99" s="159"/>
      <c r="J99" s="159"/>
      <c r="K99" s="159"/>
    </row>
    <row r="100" spans="1:13" x14ac:dyDescent="0.2">
      <c r="A100" s="210" t="s">
        <v>88</v>
      </c>
      <c r="B100" s="431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31"/>
      <c r="D100" s="431"/>
      <c r="E100" s="431"/>
      <c r="F100" s="431"/>
      <c r="G100" s="431"/>
      <c r="H100" s="431"/>
      <c r="I100" s="431"/>
      <c r="J100" s="159"/>
      <c r="K100" s="159"/>
    </row>
    <row r="101" spans="1:13" x14ac:dyDescent="0.2">
      <c r="A101" s="210" t="s">
        <v>89</v>
      </c>
      <c r="B101" s="431" t="s">
        <v>104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</row>
    <row r="131" spans="1:13" x14ac:dyDescent="0.2">
      <c r="A131" s="432" t="s">
        <v>93</v>
      </c>
      <c r="B131" s="432"/>
      <c r="C131" s="432"/>
      <c r="D131" s="432"/>
      <c r="E131" s="432"/>
      <c r="F131" s="432"/>
    </row>
    <row r="132" spans="1:13" x14ac:dyDescent="0.2">
      <c r="A132" s="210" t="s">
        <v>86</v>
      </c>
      <c r="B132" s="431" t="s">
        <v>94</v>
      </c>
      <c r="C132" s="431"/>
      <c r="D132" s="431"/>
      <c r="E132" s="431"/>
      <c r="F132" s="431"/>
      <c r="G132" s="431"/>
      <c r="H132" s="431"/>
      <c r="I132" s="431"/>
      <c r="J132" s="431"/>
      <c r="K132" s="431"/>
    </row>
    <row r="133" spans="1:13" x14ac:dyDescent="0.2">
      <c r="A133" s="210" t="s">
        <v>87</v>
      </c>
      <c r="B133" s="431" t="str">
        <f>CONCATENATE("Irrigated cotton yield is ",Conventional!$B$7," lbs. and irrigated peanut yield is ",Conventional!$D$7," lbs.")</f>
        <v>Irrigated cotton yield is 1200 lbs. and irrigated peanut yield is 4700 lbs.</v>
      </c>
      <c r="C133" s="431"/>
      <c r="D133" s="431"/>
      <c r="E133" s="431"/>
      <c r="F133" s="431"/>
      <c r="G133" s="431"/>
      <c r="H133" s="431"/>
      <c r="I133" s="159"/>
      <c r="J133" s="159"/>
      <c r="K133" s="159"/>
    </row>
    <row r="134" spans="1:13" x14ac:dyDescent="0.2">
      <c r="A134" s="210" t="s">
        <v>88</v>
      </c>
      <c r="B134" s="431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31"/>
      <c r="D134" s="431"/>
      <c r="E134" s="431"/>
      <c r="F134" s="431"/>
      <c r="G134" s="431"/>
      <c r="H134" s="431"/>
      <c r="I134" s="431"/>
      <c r="J134" s="159"/>
      <c r="K134" s="159"/>
    </row>
    <row r="135" spans="1:13" x14ac:dyDescent="0.2">
      <c r="A135" s="210" t="s">
        <v>89</v>
      </c>
      <c r="B135" s="431" t="s">
        <v>104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</row>
    <row r="165" spans="1:13" x14ac:dyDescent="0.2">
      <c r="A165" s="431" t="s">
        <v>93</v>
      </c>
      <c r="B165" s="431"/>
      <c r="C165" s="431"/>
      <c r="D165" s="431"/>
      <c r="E165" s="431"/>
      <c r="F165" s="431"/>
    </row>
    <row r="166" spans="1:13" x14ac:dyDescent="0.2">
      <c r="A166" s="210" t="s">
        <v>86</v>
      </c>
      <c r="B166" s="431" t="s">
        <v>95</v>
      </c>
      <c r="C166" s="431"/>
      <c r="D166" s="431"/>
      <c r="E166" s="431"/>
      <c r="F166" s="431"/>
      <c r="G166" s="431"/>
      <c r="H166" s="431"/>
      <c r="I166" s="431"/>
      <c r="J166" s="431"/>
      <c r="K166" s="431"/>
    </row>
    <row r="167" spans="1:13" x14ac:dyDescent="0.2">
      <c r="A167" s="210" t="s">
        <v>87</v>
      </c>
      <c r="B167" s="431" t="str">
        <f>CONCATENATE("Irrigated corn yield is ",Conventional!$F$7," bu. and irrigated peanut yield is ",Conventional!$D$7," lbs.")</f>
        <v>Irrigated corn yield is 200 bu. and irrigated peanut yield is 4700 lbs.</v>
      </c>
      <c r="C167" s="431"/>
      <c r="D167" s="431"/>
      <c r="E167" s="431"/>
      <c r="F167" s="431"/>
      <c r="G167" s="431"/>
      <c r="H167" s="431"/>
      <c r="I167" s="159"/>
      <c r="J167" s="159"/>
      <c r="K167" s="159"/>
    </row>
    <row r="168" spans="1:13" x14ac:dyDescent="0.2">
      <c r="A168" s="210" t="s">
        <v>88</v>
      </c>
      <c r="B168" s="431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31"/>
      <c r="D168" s="431"/>
      <c r="E168" s="431"/>
      <c r="F168" s="431"/>
      <c r="G168" s="431"/>
      <c r="H168" s="431"/>
      <c r="I168" s="431"/>
      <c r="J168" s="159"/>
      <c r="K168" s="159"/>
    </row>
    <row r="169" spans="1:13" x14ac:dyDescent="0.2">
      <c r="A169" s="210" t="s">
        <v>89</v>
      </c>
      <c r="B169" s="431" t="s">
        <v>104</v>
      </c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99" spans="1:13" x14ac:dyDescent="0.2">
      <c r="A199" s="431" t="s">
        <v>93</v>
      </c>
      <c r="B199" s="431"/>
      <c r="C199" s="431"/>
      <c r="D199" s="431"/>
      <c r="E199" s="431"/>
      <c r="F199" s="431"/>
    </row>
    <row r="200" spans="1:13" x14ac:dyDescent="0.2">
      <c r="A200" s="210" t="s">
        <v>86</v>
      </c>
      <c r="B200" s="431" t="s">
        <v>96</v>
      </c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</row>
    <row r="201" spans="1:13" x14ac:dyDescent="0.2">
      <c r="A201" s="210" t="s">
        <v>87</v>
      </c>
      <c r="B201" s="431" t="str">
        <f>CONCATENATE("Irrigated soybean yield is ",Conventional!$H$7," bu. and irrigated peanut yield is ",Conventional!$D$7," lbs.")</f>
        <v>Irrigated soybean yield is 60 bu. and irrigated peanut yield is 4700 lbs.</v>
      </c>
      <c r="C201" s="431"/>
      <c r="D201" s="431"/>
      <c r="E201" s="431"/>
      <c r="F201" s="431"/>
      <c r="G201" s="431"/>
      <c r="H201" s="431"/>
      <c r="I201" s="159"/>
      <c r="J201" s="159"/>
      <c r="K201" s="159"/>
    </row>
    <row r="202" spans="1:13" x14ac:dyDescent="0.2">
      <c r="A202" s="210" t="s">
        <v>88</v>
      </c>
      <c r="B202" s="431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31"/>
      <c r="D202" s="431"/>
      <c r="E202" s="431"/>
      <c r="F202" s="431"/>
      <c r="G202" s="431"/>
      <c r="H202" s="431"/>
      <c r="I202" s="431"/>
      <c r="J202" s="159"/>
      <c r="K202" s="159"/>
    </row>
    <row r="203" spans="1:13" x14ac:dyDescent="0.2">
      <c r="A203" s="210" t="s">
        <v>89</v>
      </c>
      <c r="B203" s="431" t="s">
        <v>104</v>
      </c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</row>
    <row r="233" spans="1:13" x14ac:dyDescent="0.2">
      <c r="A233" s="432" t="s">
        <v>93</v>
      </c>
      <c r="B233" s="432"/>
      <c r="C233" s="432"/>
      <c r="D233" s="432"/>
      <c r="E233" s="432"/>
      <c r="F233" s="432"/>
    </row>
    <row r="234" spans="1:13" x14ac:dyDescent="0.2">
      <c r="A234" s="210" t="s">
        <v>86</v>
      </c>
      <c r="B234" s="431" t="s">
        <v>97</v>
      </c>
      <c r="C234" s="431"/>
      <c r="D234" s="431"/>
      <c r="E234" s="431"/>
      <c r="F234" s="431"/>
      <c r="G234" s="431"/>
      <c r="H234" s="431"/>
      <c r="I234" s="431"/>
      <c r="J234" s="431"/>
      <c r="K234" s="431"/>
    </row>
    <row r="235" spans="1:13" x14ac:dyDescent="0.2">
      <c r="A235" s="210" t="s">
        <v>87</v>
      </c>
      <c r="B235" s="431" t="str">
        <f>CONCATENATE("Irrigated cotton yield is ",Conventional!$B$7," lbs. and irrigated corn yield is ",Conventional!$F$7," bu.")</f>
        <v>Irrigated cotton yield is 1200 lbs. and irrigated corn yield is 200 bu.</v>
      </c>
      <c r="C235" s="431"/>
      <c r="D235" s="431"/>
      <c r="E235" s="431"/>
      <c r="F235" s="431"/>
      <c r="G235" s="431"/>
      <c r="H235" s="431"/>
      <c r="I235" s="159"/>
      <c r="J235" s="159"/>
      <c r="K235" s="159"/>
    </row>
    <row r="236" spans="1:13" x14ac:dyDescent="0.2">
      <c r="A236" s="210" t="s">
        <v>88</v>
      </c>
      <c r="B236" s="431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31"/>
      <c r="D236" s="431"/>
      <c r="E236" s="431"/>
      <c r="F236" s="431"/>
      <c r="G236" s="431"/>
      <c r="H236" s="431"/>
      <c r="I236" s="431"/>
      <c r="J236" s="159"/>
      <c r="K236" s="159"/>
    </row>
    <row r="237" spans="1:13" x14ac:dyDescent="0.2">
      <c r="A237" s="210" t="s">
        <v>89</v>
      </c>
      <c r="B237" s="431" t="s">
        <v>104</v>
      </c>
      <c r="C237" s="431"/>
      <c r="D237" s="431"/>
      <c r="E237" s="431"/>
      <c r="F237" s="431"/>
      <c r="G237" s="431"/>
      <c r="H237" s="431"/>
      <c r="I237" s="431"/>
      <c r="J237" s="431"/>
      <c r="K237" s="431"/>
      <c r="L237" s="431"/>
      <c r="M237" s="431"/>
    </row>
    <row r="267" spans="1:13" x14ac:dyDescent="0.2">
      <c r="A267" s="431" t="s">
        <v>93</v>
      </c>
      <c r="B267" s="431"/>
      <c r="C267" s="431"/>
      <c r="D267" s="431"/>
      <c r="E267" s="431"/>
      <c r="F267" s="431"/>
    </row>
    <row r="268" spans="1:13" x14ac:dyDescent="0.2">
      <c r="A268" s="210" t="s">
        <v>86</v>
      </c>
      <c r="B268" s="431" t="s">
        <v>98</v>
      </c>
      <c r="C268" s="431"/>
      <c r="D268" s="431"/>
      <c r="E268" s="431"/>
      <c r="F268" s="431"/>
      <c r="G268" s="431"/>
      <c r="H268" s="431"/>
      <c r="I268" s="431"/>
      <c r="J268" s="431"/>
      <c r="K268" s="431"/>
    </row>
    <row r="269" spans="1:13" x14ac:dyDescent="0.2">
      <c r="A269" s="210" t="s">
        <v>87</v>
      </c>
      <c r="B269" s="431" t="str">
        <f>CONCATENATE("Irrigated peanut yield is ",Conventional!$D$7," lbs. and irrigated corn yield is ",Conventional!$F$7," bu.")</f>
        <v>Irrigated peanut yield is 4700 lbs. and irrigated corn yield is 200 bu.</v>
      </c>
      <c r="C269" s="431"/>
      <c r="D269" s="431"/>
      <c r="E269" s="431"/>
      <c r="F269" s="431"/>
      <c r="G269" s="431"/>
      <c r="H269" s="431"/>
      <c r="I269" s="159"/>
      <c r="J269" s="159"/>
      <c r="K269" s="159"/>
    </row>
    <row r="270" spans="1:13" x14ac:dyDescent="0.2">
      <c r="A270" s="210" t="s">
        <v>88</v>
      </c>
      <c r="B270" s="431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31"/>
      <c r="D270" s="431"/>
      <c r="E270" s="431"/>
      <c r="F270" s="431"/>
      <c r="G270" s="431"/>
      <c r="H270" s="431"/>
      <c r="I270" s="431"/>
      <c r="J270" s="159"/>
      <c r="K270" s="159"/>
    </row>
    <row r="271" spans="1:13" x14ac:dyDescent="0.2">
      <c r="A271" s="210" t="s">
        <v>89</v>
      </c>
      <c r="B271" s="431" t="s">
        <v>104</v>
      </c>
      <c r="C271" s="431"/>
      <c r="D271" s="431"/>
      <c r="E271" s="431"/>
      <c r="F271" s="431"/>
      <c r="G271" s="431"/>
      <c r="H271" s="431"/>
      <c r="I271" s="431"/>
      <c r="J271" s="431"/>
      <c r="K271" s="431"/>
      <c r="L271" s="431"/>
      <c r="M271" s="431"/>
    </row>
    <row r="301" spans="1:12" x14ac:dyDescent="0.2">
      <c r="A301" s="431" t="s">
        <v>93</v>
      </c>
      <c r="B301" s="431"/>
      <c r="C301" s="431"/>
      <c r="D301" s="431"/>
      <c r="E301" s="431"/>
      <c r="F301" s="431"/>
    </row>
    <row r="302" spans="1:12" x14ac:dyDescent="0.2">
      <c r="A302" s="210" t="s">
        <v>86</v>
      </c>
      <c r="B302" s="431" t="s">
        <v>99</v>
      </c>
      <c r="C302" s="431"/>
      <c r="D302" s="431"/>
      <c r="E302" s="431"/>
      <c r="F302" s="431"/>
      <c r="G302" s="431"/>
      <c r="H302" s="431"/>
      <c r="I302" s="431"/>
      <c r="J302" s="431"/>
      <c r="K302" s="431"/>
      <c r="L302" s="431"/>
    </row>
    <row r="303" spans="1:12" x14ac:dyDescent="0.2">
      <c r="A303" s="210" t="s">
        <v>87</v>
      </c>
      <c r="B303" s="431" t="str">
        <f>CONCATENATE("Irrigated soybean yield is ",Conventional!$H$7," bu. and irrigated corn yield is ",Conventional!$F$7," bu.")</f>
        <v>Irrigated soybean yield is 60 bu. and irrigated corn yield is 200 bu.</v>
      </c>
      <c r="C303" s="431"/>
      <c r="D303" s="431"/>
      <c r="E303" s="431"/>
      <c r="F303" s="431"/>
      <c r="G303" s="431"/>
      <c r="H303" s="431"/>
      <c r="I303" s="159"/>
      <c r="J303" s="159"/>
      <c r="K303" s="159"/>
    </row>
    <row r="304" spans="1:12" x14ac:dyDescent="0.2">
      <c r="A304" s="210" t="s">
        <v>88</v>
      </c>
      <c r="B304" s="431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31"/>
      <c r="D304" s="431"/>
      <c r="E304" s="431"/>
      <c r="F304" s="431"/>
      <c r="G304" s="431"/>
      <c r="H304" s="431"/>
      <c r="I304" s="431"/>
      <c r="J304" s="159"/>
      <c r="K304" s="159"/>
    </row>
    <row r="305" spans="1:13" x14ac:dyDescent="0.2">
      <c r="A305" s="210" t="s">
        <v>89</v>
      </c>
      <c r="B305" s="431" t="s">
        <v>104</v>
      </c>
      <c r="C305" s="431"/>
      <c r="D305" s="431"/>
      <c r="E305" s="431"/>
      <c r="F305" s="431"/>
      <c r="G305" s="431"/>
      <c r="H305" s="431"/>
      <c r="I305" s="431"/>
      <c r="J305" s="431"/>
      <c r="K305" s="431"/>
      <c r="L305" s="431"/>
      <c r="M305" s="431"/>
    </row>
    <row r="334" spans="1:12" x14ac:dyDescent="0.2">
      <c r="A334" s="432" t="s">
        <v>93</v>
      </c>
      <c r="B334" s="432"/>
      <c r="C334" s="432"/>
      <c r="D334" s="432"/>
      <c r="E334" s="432"/>
      <c r="F334" s="432"/>
    </row>
    <row r="335" spans="1:12" x14ac:dyDescent="0.2">
      <c r="A335" s="210" t="s">
        <v>86</v>
      </c>
      <c r="B335" s="431" t="s">
        <v>100</v>
      </c>
      <c r="C335" s="431"/>
      <c r="D335" s="431"/>
      <c r="E335" s="431"/>
      <c r="F335" s="431"/>
      <c r="G335" s="431"/>
      <c r="H335" s="431"/>
      <c r="I335" s="431"/>
      <c r="J335" s="431"/>
      <c r="K335" s="431"/>
      <c r="L335" s="431"/>
    </row>
    <row r="336" spans="1:12" x14ac:dyDescent="0.2">
      <c r="A336" s="210" t="s">
        <v>87</v>
      </c>
      <c r="B336" s="431" t="str">
        <f>CONCATENATE("Irrigated cotton yield is ",Conventional!$B$7," lbs. and irrigated soybean yield is ",Conventional!$H$7," bu.")</f>
        <v>Irrigated cotton yield is 1200 lbs. and irrigated soybean yield is 60 bu.</v>
      </c>
      <c r="C336" s="431"/>
      <c r="D336" s="431"/>
      <c r="E336" s="431"/>
      <c r="F336" s="431"/>
      <c r="G336" s="431"/>
      <c r="H336" s="431"/>
      <c r="I336" s="159"/>
      <c r="J336" s="159"/>
      <c r="K336" s="159"/>
    </row>
    <row r="337" spans="1:13" x14ac:dyDescent="0.2">
      <c r="A337" s="210" t="s">
        <v>88</v>
      </c>
      <c r="B337" s="431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31"/>
      <c r="D337" s="431"/>
      <c r="E337" s="431"/>
      <c r="F337" s="431"/>
      <c r="G337" s="431"/>
      <c r="H337" s="431"/>
      <c r="I337" s="431"/>
      <c r="J337" s="159"/>
      <c r="K337" s="159"/>
    </row>
    <row r="338" spans="1:13" x14ac:dyDescent="0.2">
      <c r="A338" s="210" t="s">
        <v>89</v>
      </c>
      <c r="B338" s="431" t="s">
        <v>104</v>
      </c>
      <c r="C338" s="431"/>
      <c r="D338" s="431"/>
      <c r="E338" s="431"/>
      <c r="F338" s="431"/>
      <c r="G338" s="431"/>
      <c r="H338" s="431"/>
      <c r="I338" s="431"/>
      <c r="J338" s="431"/>
      <c r="K338" s="431"/>
      <c r="L338" s="431"/>
      <c r="M338" s="431"/>
    </row>
    <row r="369" spans="1:13" x14ac:dyDescent="0.2">
      <c r="A369" s="431" t="s">
        <v>93</v>
      </c>
      <c r="B369" s="431"/>
      <c r="C369" s="431"/>
      <c r="D369" s="431"/>
      <c r="E369" s="431"/>
      <c r="F369" s="431"/>
    </row>
    <row r="370" spans="1:13" x14ac:dyDescent="0.2">
      <c r="A370" s="210" t="s">
        <v>86</v>
      </c>
      <c r="B370" s="431" t="s">
        <v>101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</row>
    <row r="371" spans="1:13" x14ac:dyDescent="0.2">
      <c r="A371" s="210" t="s">
        <v>87</v>
      </c>
      <c r="B371" s="431" t="str">
        <f>CONCATENATE("Irrigated peanut yield is ",Conventional!$D$7," lbs. and irrigated soybean yield is ",Conventional!$H$7," bu.")</f>
        <v>Irrigated peanut yield is 4700 lbs. and irrigated soybean yield is 60 bu.</v>
      </c>
      <c r="C371" s="431"/>
      <c r="D371" s="431"/>
      <c r="E371" s="431"/>
      <c r="F371" s="431"/>
      <c r="G371" s="431"/>
      <c r="H371" s="431"/>
      <c r="I371" s="159"/>
      <c r="J371" s="159"/>
      <c r="K371" s="159"/>
    </row>
    <row r="372" spans="1:13" x14ac:dyDescent="0.2">
      <c r="A372" s="210" t="s">
        <v>88</v>
      </c>
      <c r="B372" s="431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31"/>
      <c r="D372" s="431"/>
      <c r="E372" s="431"/>
      <c r="F372" s="431"/>
      <c r="G372" s="431"/>
      <c r="H372" s="431"/>
      <c r="I372" s="431"/>
      <c r="J372" s="159"/>
      <c r="K372" s="159"/>
    </row>
    <row r="373" spans="1:13" x14ac:dyDescent="0.2">
      <c r="A373" s="210" t="s">
        <v>89</v>
      </c>
      <c r="B373" s="431" t="s">
        <v>104</v>
      </c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</row>
    <row r="403" spans="1:13" x14ac:dyDescent="0.2">
      <c r="A403" s="431" t="s">
        <v>93</v>
      </c>
      <c r="B403" s="431"/>
      <c r="C403" s="431"/>
      <c r="D403" s="431"/>
      <c r="E403" s="431"/>
      <c r="F403" s="431"/>
    </row>
    <row r="404" spans="1:13" x14ac:dyDescent="0.2">
      <c r="A404" s="210" t="s">
        <v>86</v>
      </c>
      <c r="B404" s="431" t="s">
        <v>102</v>
      </c>
      <c r="C404" s="431"/>
      <c r="D404" s="431"/>
      <c r="E404" s="431"/>
      <c r="F404" s="431"/>
      <c r="G404" s="431"/>
      <c r="H404" s="431"/>
      <c r="I404" s="431"/>
      <c r="J404" s="431"/>
      <c r="K404" s="431"/>
      <c r="L404" s="431"/>
    </row>
    <row r="405" spans="1:13" x14ac:dyDescent="0.2">
      <c r="A405" s="210" t="s">
        <v>87</v>
      </c>
      <c r="B405" s="431" t="str">
        <f>CONCATENATE("Irrigated corn yield is ",Conventional!$F$7," bu. and irrigated soybean yield is ",Conventional!$H$7," bu.")</f>
        <v>Irrigated corn yield is 200 bu. and irrigated soybean yield is 60 bu.</v>
      </c>
      <c r="C405" s="431"/>
      <c r="D405" s="431"/>
      <c r="E405" s="431"/>
      <c r="F405" s="431"/>
      <c r="G405" s="431"/>
      <c r="H405" s="431"/>
      <c r="I405" s="159"/>
      <c r="J405" s="159"/>
      <c r="K405" s="159"/>
    </row>
    <row r="406" spans="1:13" x14ac:dyDescent="0.2">
      <c r="A406" s="210" t="s">
        <v>88</v>
      </c>
      <c r="B406" s="431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31"/>
      <c r="D406" s="431"/>
      <c r="E406" s="431"/>
      <c r="F406" s="431"/>
      <c r="G406" s="431"/>
      <c r="H406" s="431"/>
      <c r="I406" s="431"/>
      <c r="J406" s="159"/>
      <c r="K406" s="159"/>
    </row>
    <row r="407" spans="1:13" x14ac:dyDescent="0.2">
      <c r="A407" s="210" t="s">
        <v>89</v>
      </c>
      <c r="B407" s="431" t="s">
        <v>104</v>
      </c>
      <c r="C407" s="431"/>
      <c r="D407" s="431"/>
      <c r="E407" s="431"/>
      <c r="F407" s="431"/>
      <c r="G407" s="431"/>
      <c r="H407" s="431"/>
      <c r="I407" s="431"/>
      <c r="J407" s="431"/>
      <c r="K407" s="431"/>
      <c r="L407" s="431"/>
      <c r="M407" s="431"/>
    </row>
  </sheetData>
  <sheetProtection sheet="1" objects="1" scenarios="1"/>
  <mergeCells count="60">
    <mergeCell ref="B101:M101"/>
    <mergeCell ref="B64:K64"/>
    <mergeCell ref="B65:H65"/>
    <mergeCell ref="B66:I66"/>
    <mergeCell ref="B67:M67"/>
    <mergeCell ref="B99:H99"/>
    <mergeCell ref="B100:I100"/>
    <mergeCell ref="A29:F29"/>
    <mergeCell ref="A63:F63"/>
    <mergeCell ref="A97:F97"/>
    <mergeCell ref="B98:L98"/>
    <mergeCell ref="B30:K30"/>
    <mergeCell ref="B31:H31"/>
    <mergeCell ref="B32:I32"/>
    <mergeCell ref="B33:M33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33:F233"/>
    <mergeCell ref="B234:K234"/>
    <mergeCell ref="B235:H235"/>
    <mergeCell ref="B236:I236"/>
    <mergeCell ref="A267:F267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 and Yangxuan Liu&amp;RAg and Applied Economics, 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>
      <selection activeCell="B30" sqref="B30:K30"/>
    </sheetView>
  </sheetViews>
  <sheetFormatPr baseColWidth="10" defaultColWidth="8.83203125" defaultRowHeight="14" x14ac:dyDescent="0.2"/>
  <cols>
    <col min="1" max="1" width="8.83203125" style="90"/>
    <col min="2" max="2" width="8.83203125" style="159"/>
    <col min="3" max="26" width="8.83203125" style="90"/>
    <col min="27" max="27" width="8.83203125" style="90" customWidth="1"/>
    <col min="28" max="16384" width="8.83203125" style="90"/>
  </cols>
  <sheetData>
    <row r="29" spans="1:11" x14ac:dyDescent="0.2">
      <c r="A29" s="432" t="s">
        <v>93</v>
      </c>
      <c r="B29" s="432"/>
      <c r="C29" s="432"/>
      <c r="D29" s="432"/>
      <c r="E29" s="432"/>
      <c r="F29" s="432"/>
    </row>
    <row r="30" spans="1:11" x14ac:dyDescent="0.2">
      <c r="A30" s="210" t="s">
        <v>86</v>
      </c>
      <c r="B30" s="431" t="s">
        <v>90</v>
      </c>
      <c r="C30" s="431"/>
      <c r="D30" s="431"/>
      <c r="E30" s="431"/>
      <c r="F30" s="431"/>
      <c r="G30" s="431"/>
      <c r="H30" s="431"/>
      <c r="I30" s="431"/>
      <c r="J30" s="431"/>
      <c r="K30" s="431"/>
    </row>
    <row r="31" spans="1:11" x14ac:dyDescent="0.2">
      <c r="A31" s="210" t="s">
        <v>87</v>
      </c>
      <c r="B31" s="431" t="str">
        <f>CONCATENATE("Irrigated peanut yield is ",'Strip-Till'!$D$7," lbs. and irrigated cotton yield is ",'Strip-Till'!B7," lbs.")</f>
        <v>Irrigated peanut yield is 4700 lbs. and irrigated cotton yield is 1200 lbs.</v>
      </c>
      <c r="C31" s="431"/>
      <c r="D31" s="431"/>
      <c r="E31" s="431"/>
      <c r="F31" s="431"/>
      <c r="G31" s="431"/>
      <c r="H31" s="431"/>
      <c r="I31" s="159"/>
      <c r="J31" s="159"/>
      <c r="K31" s="159"/>
    </row>
    <row r="32" spans="1:11" x14ac:dyDescent="0.2">
      <c r="A32" s="210" t="s">
        <v>88</v>
      </c>
      <c r="B32" s="431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31"/>
      <c r="D32" s="431"/>
      <c r="E32" s="431"/>
      <c r="F32" s="431"/>
      <c r="G32" s="431"/>
      <c r="H32" s="431"/>
      <c r="I32" s="431"/>
      <c r="J32" s="159"/>
      <c r="K32" s="159"/>
    </row>
    <row r="33" spans="1:13" x14ac:dyDescent="0.2">
      <c r="A33" s="210" t="s">
        <v>89</v>
      </c>
      <c r="B33" s="431" t="s">
        <v>103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</row>
    <row r="63" spans="1:11" x14ac:dyDescent="0.2">
      <c r="A63" s="431" t="s">
        <v>93</v>
      </c>
      <c r="B63" s="431"/>
      <c r="C63" s="431"/>
      <c r="D63" s="431"/>
      <c r="E63" s="431"/>
      <c r="F63" s="431"/>
    </row>
    <row r="64" spans="1:11" x14ac:dyDescent="0.2">
      <c r="A64" s="210" t="s">
        <v>86</v>
      </c>
      <c r="B64" s="431" t="s">
        <v>91</v>
      </c>
      <c r="C64" s="431"/>
      <c r="D64" s="431"/>
      <c r="E64" s="431"/>
      <c r="F64" s="431"/>
      <c r="G64" s="431"/>
      <c r="H64" s="431"/>
      <c r="I64" s="431"/>
      <c r="J64" s="431"/>
      <c r="K64" s="431"/>
    </row>
    <row r="65" spans="1:13" x14ac:dyDescent="0.2">
      <c r="A65" s="210" t="s">
        <v>87</v>
      </c>
      <c r="B65" s="431" t="str">
        <f>CONCATENATE("Irrigated corn yield is ",'Strip-Till'!F7," bu. and irrigated cotton yield is ",'Strip-Till'!B7," lbs.")</f>
        <v>Irrigated corn yield is 200 bu. and irrigated cotton yield is 1200 lbs.</v>
      </c>
      <c r="C65" s="431"/>
      <c r="D65" s="431"/>
      <c r="E65" s="431"/>
      <c r="F65" s="431"/>
      <c r="G65" s="431"/>
      <c r="H65" s="431"/>
      <c r="I65" s="159"/>
      <c r="J65" s="159"/>
      <c r="K65" s="159"/>
    </row>
    <row r="66" spans="1:13" x14ac:dyDescent="0.2">
      <c r="A66" s="210" t="s">
        <v>88</v>
      </c>
      <c r="B66" s="431" t="str">
        <f>CONCATENATE("Non-irrigated corn yield is ",'Strip-Till'!P7," bu. and non-irrigated cotton yield is ",'Strip-Till'!L7," lbs.")</f>
        <v>Non-irrigated corn yield is 85 bu. and non-irrigated cotton yield is 750 lbs.</v>
      </c>
      <c r="C66" s="431"/>
      <c r="D66" s="431"/>
      <c r="E66" s="431"/>
      <c r="F66" s="431"/>
      <c r="G66" s="431"/>
      <c r="H66" s="431"/>
      <c r="I66" s="431"/>
      <c r="J66" s="159"/>
      <c r="K66" s="159"/>
    </row>
    <row r="67" spans="1:13" x14ac:dyDescent="0.2">
      <c r="A67" s="210" t="s">
        <v>89</v>
      </c>
      <c r="B67" s="431" t="s">
        <v>103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</row>
    <row r="97" spans="1:13" x14ac:dyDescent="0.2">
      <c r="A97" s="431" t="s">
        <v>93</v>
      </c>
      <c r="B97" s="431"/>
      <c r="C97" s="431"/>
      <c r="D97" s="431"/>
      <c r="E97" s="431"/>
      <c r="F97" s="431"/>
    </row>
    <row r="98" spans="1:13" x14ac:dyDescent="0.2">
      <c r="A98" s="210" t="s">
        <v>86</v>
      </c>
      <c r="B98" s="431" t="s">
        <v>92</v>
      </c>
      <c r="C98" s="431"/>
      <c r="D98" s="431"/>
      <c r="E98" s="431"/>
      <c r="F98" s="431"/>
      <c r="G98" s="431"/>
      <c r="H98" s="431"/>
      <c r="I98" s="431"/>
      <c r="J98" s="431"/>
      <c r="K98" s="431"/>
      <c r="L98" s="431"/>
    </row>
    <row r="99" spans="1:13" x14ac:dyDescent="0.2">
      <c r="A99" s="210" t="s">
        <v>87</v>
      </c>
      <c r="B99" s="431" t="str">
        <f>CONCATENATE("Irrigated soybean yield is ",'Strip-Till'!H7," bu. and irrigated cotton yield is ",'Strip-Till'!B7," lbs.")</f>
        <v>Irrigated soybean yield is 60 bu. and irrigated cotton yield is 1200 lbs.</v>
      </c>
      <c r="C99" s="431"/>
      <c r="D99" s="431"/>
      <c r="E99" s="431"/>
      <c r="F99" s="431"/>
      <c r="G99" s="431"/>
      <c r="H99" s="431"/>
      <c r="I99" s="159"/>
      <c r="J99" s="159"/>
      <c r="K99" s="159"/>
    </row>
    <row r="100" spans="1:13" x14ac:dyDescent="0.2">
      <c r="A100" s="210" t="s">
        <v>88</v>
      </c>
      <c r="B100" s="431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31"/>
      <c r="D100" s="431"/>
      <c r="E100" s="431"/>
      <c r="F100" s="431"/>
      <c r="G100" s="431"/>
      <c r="H100" s="431"/>
      <c r="I100" s="431"/>
      <c r="J100" s="159"/>
      <c r="K100" s="159"/>
    </row>
    <row r="101" spans="1:13" x14ac:dyDescent="0.2">
      <c r="A101" s="210" t="s">
        <v>89</v>
      </c>
      <c r="B101" s="431" t="s">
        <v>103</v>
      </c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</row>
    <row r="131" spans="1:13" x14ac:dyDescent="0.2">
      <c r="A131" s="432" t="s">
        <v>93</v>
      </c>
      <c r="B131" s="432"/>
      <c r="C131" s="432"/>
      <c r="D131" s="432"/>
      <c r="E131" s="432"/>
      <c r="F131" s="432"/>
    </row>
    <row r="132" spans="1:13" x14ac:dyDescent="0.2">
      <c r="A132" s="210" t="s">
        <v>86</v>
      </c>
      <c r="B132" s="431" t="s">
        <v>94</v>
      </c>
      <c r="C132" s="431"/>
      <c r="D132" s="431"/>
      <c r="E132" s="431"/>
      <c r="F132" s="431"/>
      <c r="G132" s="431"/>
      <c r="H132" s="431"/>
      <c r="I132" s="431"/>
      <c r="J132" s="431"/>
      <c r="K132" s="431"/>
    </row>
    <row r="133" spans="1:13" x14ac:dyDescent="0.2">
      <c r="A133" s="210" t="s">
        <v>87</v>
      </c>
      <c r="B133" s="431" t="str">
        <f>CONCATENATE("Irrigated cotton yield is ",'Strip-Till'!B7," lbs. and irrigated peanut yield is ",'Strip-Till'!D7," lbs.")</f>
        <v>Irrigated cotton yield is 1200 lbs. and irrigated peanut yield is 4700 lbs.</v>
      </c>
      <c r="C133" s="431"/>
      <c r="D133" s="431"/>
      <c r="E133" s="431"/>
      <c r="F133" s="431"/>
      <c r="G133" s="431"/>
      <c r="H133" s="431"/>
      <c r="I133" s="159"/>
      <c r="J133" s="159"/>
      <c r="K133" s="159"/>
    </row>
    <row r="134" spans="1:13" x14ac:dyDescent="0.2">
      <c r="A134" s="210" t="s">
        <v>88</v>
      </c>
      <c r="B134" s="431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31"/>
      <c r="D134" s="431"/>
      <c r="E134" s="431"/>
      <c r="F134" s="431"/>
      <c r="G134" s="431"/>
      <c r="H134" s="431"/>
      <c r="I134" s="431"/>
      <c r="J134" s="159"/>
      <c r="K134" s="159"/>
    </row>
    <row r="135" spans="1:13" x14ac:dyDescent="0.2">
      <c r="A135" s="210" t="s">
        <v>89</v>
      </c>
      <c r="B135" s="431" t="s">
        <v>103</v>
      </c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</row>
    <row r="165" spans="1:13" x14ac:dyDescent="0.2">
      <c r="A165" s="431" t="s">
        <v>93</v>
      </c>
      <c r="B165" s="431"/>
      <c r="C165" s="431"/>
      <c r="D165" s="431"/>
      <c r="E165" s="431"/>
      <c r="F165" s="431"/>
    </row>
    <row r="166" spans="1:13" x14ac:dyDescent="0.2">
      <c r="A166" s="210" t="s">
        <v>86</v>
      </c>
      <c r="B166" s="431" t="s">
        <v>95</v>
      </c>
      <c r="C166" s="431"/>
      <c r="D166" s="431"/>
      <c r="E166" s="431"/>
      <c r="F166" s="431"/>
      <c r="G166" s="431"/>
      <c r="H166" s="431"/>
      <c r="I166" s="431"/>
      <c r="J166" s="431"/>
      <c r="K166" s="431"/>
    </row>
    <row r="167" spans="1:13" x14ac:dyDescent="0.2">
      <c r="A167" s="210" t="s">
        <v>87</v>
      </c>
      <c r="B167" s="431" t="str">
        <f>CONCATENATE("Irrigated corn yield is ",'Strip-Till'!$F$7," bu. and irrigated peanut yield is ",'Strip-Till'!$D$7," lbs.")</f>
        <v>Irrigated corn yield is 200 bu. and irrigated peanut yield is 4700 lbs.</v>
      </c>
      <c r="C167" s="431"/>
      <c r="D167" s="431"/>
      <c r="E167" s="431"/>
      <c r="F167" s="431"/>
      <c r="G167" s="431"/>
      <c r="H167" s="431"/>
      <c r="I167" s="159"/>
      <c r="J167" s="159"/>
      <c r="K167" s="159"/>
    </row>
    <row r="168" spans="1:13" x14ac:dyDescent="0.2">
      <c r="A168" s="210" t="s">
        <v>88</v>
      </c>
      <c r="B168" s="431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31"/>
      <c r="D168" s="431"/>
      <c r="E168" s="431"/>
      <c r="F168" s="431"/>
      <c r="G168" s="431"/>
      <c r="H168" s="431"/>
      <c r="I168" s="431"/>
      <c r="J168" s="159"/>
      <c r="K168" s="159"/>
    </row>
    <row r="169" spans="1:13" x14ac:dyDescent="0.2">
      <c r="A169" s="210" t="s">
        <v>89</v>
      </c>
      <c r="B169" s="431" t="s">
        <v>103</v>
      </c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99" spans="1:13" x14ac:dyDescent="0.2">
      <c r="A199" s="431" t="s">
        <v>93</v>
      </c>
      <c r="B199" s="431"/>
      <c r="C199" s="431"/>
      <c r="D199" s="431"/>
      <c r="E199" s="431"/>
      <c r="F199" s="431"/>
    </row>
    <row r="200" spans="1:13" x14ac:dyDescent="0.2">
      <c r="A200" s="210" t="s">
        <v>86</v>
      </c>
      <c r="B200" s="431" t="s">
        <v>96</v>
      </c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</row>
    <row r="201" spans="1:13" x14ac:dyDescent="0.2">
      <c r="A201" s="210" t="s">
        <v>87</v>
      </c>
      <c r="B201" s="431" t="str">
        <f>CONCATENATE("Irrigated soybean yield is ",'Strip-Till'!$H$7," bu. and irrigated peanut yield is ",'Strip-Till'!$D$7," lbs.")</f>
        <v>Irrigated soybean yield is 60 bu. and irrigated peanut yield is 4700 lbs.</v>
      </c>
      <c r="C201" s="431"/>
      <c r="D201" s="431"/>
      <c r="E201" s="431"/>
      <c r="F201" s="431"/>
      <c r="G201" s="431"/>
      <c r="H201" s="431"/>
      <c r="I201" s="159"/>
      <c r="J201" s="159"/>
      <c r="K201" s="159"/>
    </row>
    <row r="202" spans="1:13" x14ac:dyDescent="0.2">
      <c r="A202" s="210" t="s">
        <v>88</v>
      </c>
      <c r="B202" s="431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31"/>
      <c r="D202" s="431"/>
      <c r="E202" s="431"/>
      <c r="F202" s="431"/>
      <c r="G202" s="431"/>
      <c r="H202" s="431"/>
      <c r="I202" s="431"/>
      <c r="J202" s="159"/>
      <c r="K202" s="159"/>
    </row>
    <row r="203" spans="1:13" x14ac:dyDescent="0.2">
      <c r="A203" s="210" t="s">
        <v>89</v>
      </c>
      <c r="B203" s="431" t="s">
        <v>103</v>
      </c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</row>
    <row r="233" spans="1:13" x14ac:dyDescent="0.2">
      <c r="A233" s="432" t="s">
        <v>93</v>
      </c>
      <c r="B233" s="432"/>
      <c r="C233" s="432"/>
      <c r="D233" s="432"/>
      <c r="E233" s="432"/>
      <c r="F233" s="432"/>
    </row>
    <row r="234" spans="1:13" x14ac:dyDescent="0.2">
      <c r="A234" s="210" t="s">
        <v>86</v>
      </c>
      <c r="B234" s="431" t="s">
        <v>97</v>
      </c>
      <c r="C234" s="431"/>
      <c r="D234" s="431"/>
      <c r="E234" s="431"/>
      <c r="F234" s="431"/>
      <c r="G234" s="431"/>
      <c r="H234" s="431"/>
      <c r="I234" s="431"/>
      <c r="J234" s="431"/>
      <c r="K234" s="431"/>
    </row>
    <row r="235" spans="1:13" x14ac:dyDescent="0.2">
      <c r="A235" s="210" t="s">
        <v>87</v>
      </c>
      <c r="B235" s="431" t="str">
        <f>CONCATENATE("Irrigated cotton yield is ",'Strip-Till'!$B$7," lbs. and irrigated corn yield is ",'Strip-Till'!$F$7," bu.")</f>
        <v>Irrigated cotton yield is 1200 lbs. and irrigated corn yield is 200 bu.</v>
      </c>
      <c r="C235" s="431"/>
      <c r="D235" s="431"/>
      <c r="E235" s="431"/>
      <c r="F235" s="431"/>
      <c r="G235" s="431"/>
      <c r="H235" s="431"/>
      <c r="I235" s="159"/>
      <c r="J235" s="159"/>
      <c r="K235" s="159"/>
    </row>
    <row r="236" spans="1:13" x14ac:dyDescent="0.2">
      <c r="A236" s="210" t="s">
        <v>88</v>
      </c>
      <c r="B236" s="431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31"/>
      <c r="D236" s="431"/>
      <c r="E236" s="431"/>
      <c r="F236" s="431"/>
      <c r="G236" s="431"/>
      <c r="H236" s="431"/>
      <c r="I236" s="431"/>
      <c r="J236" s="159"/>
      <c r="K236" s="159"/>
    </row>
    <row r="237" spans="1:13" x14ac:dyDescent="0.2">
      <c r="A237" s="210" t="s">
        <v>89</v>
      </c>
      <c r="B237" s="431" t="s">
        <v>103</v>
      </c>
      <c r="C237" s="431"/>
      <c r="D237" s="431"/>
      <c r="E237" s="431"/>
      <c r="F237" s="431"/>
      <c r="G237" s="431"/>
      <c r="H237" s="431"/>
      <c r="I237" s="431"/>
      <c r="J237" s="431"/>
      <c r="K237" s="431"/>
      <c r="L237" s="431"/>
      <c r="M237" s="431"/>
    </row>
    <row r="267" spans="1:13" x14ac:dyDescent="0.2">
      <c r="A267" s="431" t="s">
        <v>93</v>
      </c>
      <c r="B267" s="431"/>
      <c r="C267" s="431"/>
      <c r="D267" s="431"/>
      <c r="E267" s="431"/>
      <c r="F267" s="431"/>
    </row>
    <row r="268" spans="1:13" x14ac:dyDescent="0.2">
      <c r="A268" s="210" t="s">
        <v>86</v>
      </c>
      <c r="B268" s="431" t="s">
        <v>98</v>
      </c>
      <c r="C268" s="431"/>
      <c r="D268" s="431"/>
      <c r="E268" s="431"/>
      <c r="F268" s="431"/>
      <c r="G268" s="431"/>
      <c r="H268" s="431"/>
      <c r="I268" s="431"/>
      <c r="J268" s="431"/>
      <c r="K268" s="431"/>
    </row>
    <row r="269" spans="1:13" x14ac:dyDescent="0.2">
      <c r="A269" s="210" t="s">
        <v>87</v>
      </c>
      <c r="B269" s="431" t="str">
        <f>CONCATENATE("Irrigated peanut yield is ",'Strip-Till'!$D$7," lbs. and irrigated corn yield is ",'Strip-Till'!$F$7," bu.")</f>
        <v>Irrigated peanut yield is 4700 lbs. and irrigated corn yield is 200 bu.</v>
      </c>
      <c r="C269" s="431"/>
      <c r="D269" s="431"/>
      <c r="E269" s="431"/>
      <c r="F269" s="431"/>
      <c r="G269" s="431"/>
      <c r="H269" s="431"/>
      <c r="I269" s="159"/>
      <c r="J269" s="159"/>
      <c r="K269" s="159"/>
    </row>
    <row r="270" spans="1:13" x14ac:dyDescent="0.2">
      <c r="A270" s="210" t="s">
        <v>88</v>
      </c>
      <c r="B270" s="431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31"/>
      <c r="D270" s="431"/>
      <c r="E270" s="431"/>
      <c r="F270" s="431"/>
      <c r="G270" s="431"/>
      <c r="H270" s="431"/>
      <c r="I270" s="431"/>
      <c r="J270" s="159"/>
      <c r="K270" s="159"/>
    </row>
    <row r="271" spans="1:13" x14ac:dyDescent="0.2">
      <c r="A271" s="210" t="s">
        <v>89</v>
      </c>
      <c r="B271" s="431" t="s">
        <v>103</v>
      </c>
      <c r="C271" s="431"/>
      <c r="D271" s="431"/>
      <c r="E271" s="431"/>
      <c r="F271" s="431"/>
      <c r="G271" s="431"/>
      <c r="H271" s="431"/>
      <c r="I271" s="431"/>
      <c r="J271" s="431"/>
      <c r="K271" s="431"/>
      <c r="L271" s="431"/>
      <c r="M271" s="431"/>
    </row>
    <row r="301" spans="1:12" x14ac:dyDescent="0.2">
      <c r="A301" s="431" t="s">
        <v>93</v>
      </c>
      <c r="B301" s="431"/>
      <c r="C301" s="431"/>
      <c r="D301" s="431"/>
      <c r="E301" s="431"/>
      <c r="F301" s="431"/>
    </row>
    <row r="302" spans="1:12" x14ac:dyDescent="0.2">
      <c r="A302" s="210" t="s">
        <v>86</v>
      </c>
      <c r="B302" s="431" t="s">
        <v>99</v>
      </c>
      <c r="C302" s="431"/>
      <c r="D302" s="431"/>
      <c r="E302" s="431"/>
      <c r="F302" s="431"/>
      <c r="G302" s="431"/>
      <c r="H302" s="431"/>
      <c r="I302" s="431"/>
      <c r="J302" s="431"/>
      <c r="K302" s="431"/>
      <c r="L302" s="431"/>
    </row>
    <row r="303" spans="1:12" x14ac:dyDescent="0.2">
      <c r="A303" s="210" t="s">
        <v>87</v>
      </c>
      <c r="B303" s="431" t="str">
        <f>CONCATENATE("Irrigated soybean yield is ",'Strip-Till'!$H$7," bu. and irrigated corn yield is ",'Strip-Till'!$F$7," bu.")</f>
        <v>Irrigated soybean yield is 60 bu. and irrigated corn yield is 200 bu.</v>
      </c>
      <c r="C303" s="431"/>
      <c r="D303" s="431"/>
      <c r="E303" s="431"/>
      <c r="F303" s="431"/>
      <c r="G303" s="431"/>
      <c r="H303" s="431"/>
      <c r="I303" s="159"/>
      <c r="J303" s="159"/>
      <c r="K303" s="159"/>
    </row>
    <row r="304" spans="1:12" x14ac:dyDescent="0.2">
      <c r="A304" s="210" t="s">
        <v>88</v>
      </c>
      <c r="B304" s="431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31"/>
      <c r="D304" s="431"/>
      <c r="E304" s="431"/>
      <c r="F304" s="431"/>
      <c r="G304" s="431"/>
      <c r="H304" s="431"/>
      <c r="I304" s="431"/>
      <c r="J304" s="159"/>
      <c r="K304" s="159"/>
    </row>
    <row r="305" spans="1:13" x14ac:dyDescent="0.2">
      <c r="A305" s="210" t="s">
        <v>89</v>
      </c>
      <c r="B305" s="431" t="s">
        <v>103</v>
      </c>
      <c r="C305" s="431"/>
      <c r="D305" s="431"/>
      <c r="E305" s="431"/>
      <c r="F305" s="431"/>
      <c r="G305" s="431"/>
      <c r="H305" s="431"/>
      <c r="I305" s="431"/>
      <c r="J305" s="431"/>
      <c r="K305" s="431"/>
      <c r="L305" s="431"/>
      <c r="M305" s="431"/>
    </row>
    <row r="334" spans="1:12" x14ac:dyDescent="0.2">
      <c r="A334" s="432" t="s">
        <v>93</v>
      </c>
      <c r="B334" s="432"/>
      <c r="C334" s="432"/>
      <c r="D334" s="432"/>
      <c r="E334" s="432"/>
      <c r="F334" s="432"/>
    </row>
    <row r="335" spans="1:12" x14ac:dyDescent="0.2">
      <c r="A335" s="210" t="s">
        <v>86</v>
      </c>
      <c r="B335" s="431" t="s">
        <v>100</v>
      </c>
      <c r="C335" s="431"/>
      <c r="D335" s="431"/>
      <c r="E335" s="431"/>
      <c r="F335" s="431"/>
      <c r="G335" s="431"/>
      <c r="H335" s="431"/>
      <c r="I335" s="431"/>
      <c r="J335" s="431"/>
      <c r="K335" s="431"/>
      <c r="L335" s="431"/>
    </row>
    <row r="336" spans="1:12" x14ac:dyDescent="0.2">
      <c r="A336" s="210" t="s">
        <v>87</v>
      </c>
      <c r="B336" s="431" t="str">
        <f>CONCATENATE("Irrigated cotton yield is ",'Strip-Till'!$B$7," lbs. and irrigated soybean yield is ",'Strip-Till'!$H$7," bu.")</f>
        <v>Irrigated cotton yield is 1200 lbs. and irrigated soybean yield is 60 bu.</v>
      </c>
      <c r="C336" s="431"/>
      <c r="D336" s="431"/>
      <c r="E336" s="431"/>
      <c r="F336" s="431"/>
      <c r="G336" s="431"/>
      <c r="H336" s="431"/>
      <c r="I336" s="159"/>
      <c r="J336" s="159"/>
      <c r="K336" s="159"/>
    </row>
    <row r="337" spans="1:13" x14ac:dyDescent="0.2">
      <c r="A337" s="210" t="s">
        <v>88</v>
      </c>
      <c r="B337" s="431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31"/>
      <c r="D337" s="431"/>
      <c r="E337" s="431"/>
      <c r="F337" s="431"/>
      <c r="G337" s="431"/>
      <c r="H337" s="431"/>
      <c r="I337" s="431"/>
      <c r="J337" s="159"/>
      <c r="K337" s="159"/>
    </row>
    <row r="338" spans="1:13" x14ac:dyDescent="0.2">
      <c r="A338" s="210" t="s">
        <v>89</v>
      </c>
      <c r="B338" s="431" t="s">
        <v>103</v>
      </c>
      <c r="C338" s="431"/>
      <c r="D338" s="431"/>
      <c r="E338" s="431"/>
      <c r="F338" s="431"/>
      <c r="G338" s="431"/>
      <c r="H338" s="431"/>
      <c r="I338" s="431"/>
      <c r="J338" s="431"/>
      <c r="K338" s="431"/>
      <c r="L338" s="431"/>
      <c r="M338" s="431"/>
    </row>
    <row r="369" spans="1:13" x14ac:dyDescent="0.2">
      <c r="A369" s="431" t="s">
        <v>93</v>
      </c>
      <c r="B369" s="431"/>
      <c r="C369" s="431"/>
      <c r="D369" s="431"/>
      <c r="E369" s="431"/>
      <c r="F369" s="431"/>
    </row>
    <row r="370" spans="1:13" x14ac:dyDescent="0.2">
      <c r="A370" s="210" t="s">
        <v>86</v>
      </c>
      <c r="B370" s="431" t="s">
        <v>101</v>
      </c>
      <c r="C370" s="431"/>
      <c r="D370" s="431"/>
      <c r="E370" s="431"/>
      <c r="F370" s="431"/>
      <c r="G370" s="431"/>
      <c r="H370" s="431"/>
      <c r="I370" s="431"/>
      <c r="J370" s="431"/>
      <c r="K370" s="431"/>
      <c r="L370" s="431"/>
    </row>
    <row r="371" spans="1:13" x14ac:dyDescent="0.2">
      <c r="A371" s="210" t="s">
        <v>87</v>
      </c>
      <c r="B371" s="431" t="str">
        <f>CONCATENATE("Irrigated peanut yield is ",'Strip-Till'!$D$7," lbs. and irrigated soybean yield is ",'Strip-Till'!$H$7," bu.")</f>
        <v>Irrigated peanut yield is 4700 lbs. and irrigated soybean yield is 60 bu.</v>
      </c>
      <c r="C371" s="431"/>
      <c r="D371" s="431"/>
      <c r="E371" s="431"/>
      <c r="F371" s="431"/>
      <c r="G371" s="431"/>
      <c r="H371" s="431"/>
      <c r="I371" s="159"/>
      <c r="J371" s="159"/>
      <c r="K371" s="159"/>
    </row>
    <row r="372" spans="1:13" x14ac:dyDescent="0.2">
      <c r="A372" s="210" t="s">
        <v>88</v>
      </c>
      <c r="B372" s="431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31"/>
      <c r="D372" s="431"/>
      <c r="E372" s="431"/>
      <c r="F372" s="431"/>
      <c r="G372" s="431"/>
      <c r="H372" s="431"/>
      <c r="I372" s="431"/>
      <c r="J372" s="159"/>
      <c r="K372" s="159"/>
    </row>
    <row r="373" spans="1:13" x14ac:dyDescent="0.2">
      <c r="A373" s="210" t="s">
        <v>89</v>
      </c>
      <c r="B373" s="431" t="s">
        <v>103</v>
      </c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</row>
    <row r="403" spans="1:13" x14ac:dyDescent="0.2">
      <c r="A403" s="431" t="s">
        <v>93</v>
      </c>
      <c r="B403" s="431"/>
      <c r="C403" s="431"/>
      <c r="D403" s="431"/>
      <c r="E403" s="431"/>
      <c r="F403" s="431"/>
    </row>
    <row r="404" spans="1:13" x14ac:dyDescent="0.2">
      <c r="A404" s="210" t="s">
        <v>86</v>
      </c>
      <c r="B404" s="431" t="s">
        <v>102</v>
      </c>
      <c r="C404" s="431"/>
      <c r="D404" s="431"/>
      <c r="E404" s="431"/>
      <c r="F404" s="431"/>
      <c r="G404" s="431"/>
      <c r="H404" s="431"/>
      <c r="I404" s="431"/>
      <c r="J404" s="431"/>
      <c r="K404" s="431"/>
      <c r="L404" s="431"/>
    </row>
    <row r="405" spans="1:13" x14ac:dyDescent="0.2">
      <c r="A405" s="210" t="s">
        <v>87</v>
      </c>
      <c r="B405" s="431" t="str">
        <f>CONCATENATE("Irrigated corn yield is ",'Strip-Till'!$F$7," bu. and irrigated soybean yield is ",'Strip-Till'!$H$7," bu.")</f>
        <v>Irrigated corn yield is 200 bu. and irrigated soybean yield is 60 bu.</v>
      </c>
      <c r="C405" s="431"/>
      <c r="D405" s="431"/>
      <c r="E405" s="431"/>
      <c r="F405" s="431"/>
      <c r="G405" s="431"/>
      <c r="H405" s="431"/>
      <c r="I405" s="159"/>
      <c r="J405" s="159"/>
      <c r="K405" s="159"/>
    </row>
    <row r="406" spans="1:13" x14ac:dyDescent="0.2">
      <c r="A406" s="210" t="s">
        <v>88</v>
      </c>
      <c r="B406" s="431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31"/>
      <c r="D406" s="431"/>
      <c r="E406" s="431"/>
      <c r="F406" s="431"/>
      <c r="G406" s="431"/>
      <c r="H406" s="431"/>
      <c r="I406" s="431"/>
      <c r="J406" s="159"/>
      <c r="K406" s="159"/>
    </row>
    <row r="407" spans="1:13" x14ac:dyDescent="0.2">
      <c r="A407" s="210" t="s">
        <v>89</v>
      </c>
      <c r="B407" s="431" t="s">
        <v>103</v>
      </c>
      <c r="C407" s="431"/>
      <c r="D407" s="431"/>
      <c r="E407" s="431"/>
      <c r="F407" s="431"/>
      <c r="G407" s="431"/>
      <c r="H407" s="431"/>
      <c r="I407" s="431"/>
      <c r="J407" s="431"/>
      <c r="K407" s="431"/>
      <c r="L407" s="431"/>
      <c r="M407" s="431"/>
    </row>
  </sheetData>
  <sheetProtection sheet="1" objects="1" scenarios="1"/>
  <mergeCells count="60">
    <mergeCell ref="A29:F29"/>
    <mergeCell ref="B30:K30"/>
    <mergeCell ref="B31:H31"/>
    <mergeCell ref="B32:I32"/>
    <mergeCell ref="A63:F63"/>
    <mergeCell ref="B33:M33"/>
    <mergeCell ref="B64:K64"/>
    <mergeCell ref="B65:H65"/>
    <mergeCell ref="B66:I66"/>
    <mergeCell ref="A97:F97"/>
    <mergeCell ref="B98:L98"/>
    <mergeCell ref="B67:M67"/>
    <mergeCell ref="B99:H99"/>
    <mergeCell ref="B100:I100"/>
    <mergeCell ref="A131:F131"/>
    <mergeCell ref="B132:K132"/>
    <mergeCell ref="B133:H133"/>
    <mergeCell ref="B101:M101"/>
    <mergeCell ref="B134:I134"/>
    <mergeCell ref="A165:F165"/>
    <mergeCell ref="B166:K166"/>
    <mergeCell ref="B167:H167"/>
    <mergeCell ref="B168:I168"/>
    <mergeCell ref="B135:M135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A267:F267"/>
    <mergeCell ref="B237:M237"/>
    <mergeCell ref="B268:K268"/>
    <mergeCell ref="B269:H269"/>
    <mergeCell ref="B270:I270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 and Yangxuan Liu&amp;RAg and Applied Economics,11/2021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 x14ac:dyDescent="0.15"/>
  <cols>
    <col min="1" max="8" width="9.33203125" style="66" customWidth="1"/>
    <col min="9" max="16384" width="9.33203125" style="66"/>
  </cols>
  <sheetData>
    <row r="1" spans="1:13" s="53" customFormat="1" ht="12" hidden="1" x14ac:dyDescent="0.15">
      <c r="A1" s="52"/>
      <c r="B1" s="438" t="s">
        <v>45</v>
      </c>
      <c r="C1" s="438"/>
      <c r="D1" s="438"/>
      <c r="E1" s="438"/>
      <c r="F1" s="438"/>
      <c r="G1" s="438"/>
      <c r="H1" s="52"/>
    </row>
    <row r="2" spans="1:13" s="53" customFormat="1" ht="12" hidden="1" x14ac:dyDescent="0.15">
      <c r="A2" s="54" t="s">
        <v>40</v>
      </c>
      <c r="B2" s="55" t="str">
        <f>Conventional!B6</f>
        <v>Cotton</v>
      </c>
      <c r="C2" s="55" t="str">
        <f>Conventional!D6</f>
        <v>Peanuts</v>
      </c>
      <c r="D2" s="55" t="str">
        <f>Conventional!F6</f>
        <v>Corn</v>
      </c>
      <c r="E2" s="55" t="str">
        <f>Conventional!H6</f>
        <v>Soybeans</v>
      </c>
      <c r="F2" s="55" t="str">
        <f>Conventional!J6</f>
        <v>Sorghum</v>
      </c>
      <c r="G2" s="55" t="str">
        <f>Conventional!V6</f>
        <v>Wheat</v>
      </c>
      <c r="H2" s="52"/>
    </row>
    <row r="3" spans="1:13" s="53" customFormat="1" ht="12" hidden="1" x14ac:dyDescent="0.15">
      <c r="A3" s="54" t="s">
        <v>41</v>
      </c>
      <c r="B3" s="56">
        <f>Conventional!B7</f>
        <v>1200</v>
      </c>
      <c r="C3" s="56">
        <f>Conventional!D7</f>
        <v>4700</v>
      </c>
      <c r="D3" s="56">
        <f>Conventional!F7</f>
        <v>200</v>
      </c>
      <c r="E3" s="56">
        <f>Conventional!H7</f>
        <v>60</v>
      </c>
      <c r="F3" s="56">
        <f>Conventional!J7</f>
        <v>100</v>
      </c>
      <c r="G3" s="56">
        <f>Conventional!V7</f>
        <v>75</v>
      </c>
      <c r="H3" s="57"/>
    </row>
    <row r="4" spans="1:13" s="53" customFormat="1" ht="12" hidden="1" x14ac:dyDescent="0.15">
      <c r="A4" s="53" t="s">
        <v>42</v>
      </c>
      <c r="B4" s="58">
        <f>Conventional!B8</f>
        <v>0.78</v>
      </c>
      <c r="C4" s="59">
        <f>Conventional!D8</f>
        <v>475</v>
      </c>
      <c r="D4" s="60">
        <f>Conventional!F8</f>
        <v>6.8</v>
      </c>
      <c r="E4" s="60">
        <f>Conventional!H8</f>
        <v>13.8</v>
      </c>
      <c r="F4" s="60">
        <f>Conventional!J8</f>
        <v>6.4</v>
      </c>
      <c r="G4" s="60">
        <f>Conventional!V8</f>
        <v>7.8</v>
      </c>
      <c r="H4" s="60"/>
    </row>
    <row r="5" spans="1:13" s="53" customFormat="1" ht="12" hidden="1" x14ac:dyDescent="0.15">
      <c r="A5" s="61" t="s">
        <v>44</v>
      </c>
      <c r="B5" s="62">
        <f>B3*B4</f>
        <v>936</v>
      </c>
      <c r="C5" s="62">
        <f>C3*C4/2000</f>
        <v>1116.25</v>
      </c>
      <c r="D5" s="62">
        <f>D3*D4</f>
        <v>1360</v>
      </c>
      <c r="E5" s="62">
        <f>E3*E4</f>
        <v>828</v>
      </c>
      <c r="F5" s="62">
        <f>F3*F4</f>
        <v>640</v>
      </c>
      <c r="G5" s="62">
        <f>G3*G4</f>
        <v>585</v>
      </c>
      <c r="H5" s="63"/>
    </row>
    <row r="6" spans="1:13" s="53" customFormat="1" ht="12" hidden="1" x14ac:dyDescent="0.15">
      <c r="A6" s="61" t="s">
        <v>43</v>
      </c>
      <c r="B6" s="64">
        <f>Conventional!B30</f>
        <v>694.28966363636368</v>
      </c>
      <c r="C6" s="64">
        <f>Conventional!D30</f>
        <v>807.13298437500009</v>
      </c>
      <c r="D6" s="64">
        <f>Conventional!F30</f>
        <v>991.38681250000013</v>
      </c>
      <c r="E6" s="64">
        <f>Conventional!H30</f>
        <v>405.14216781250002</v>
      </c>
      <c r="F6" s="64">
        <f>Conventional!J30</f>
        <v>556.80734374999997</v>
      </c>
      <c r="G6" s="64">
        <f>Conventional!V30</f>
        <v>473.32876250000004</v>
      </c>
      <c r="H6" s="59"/>
    </row>
    <row r="7" spans="1:13" s="53" customFormat="1" ht="16" x14ac:dyDescent="0.2">
      <c r="A7" s="439" t="s">
        <v>127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</row>
    <row r="8" spans="1:13" s="53" customFormat="1" ht="16" x14ac:dyDescent="0.2">
      <c r="A8" s="51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15">
      <c r="A9" s="440" t="s">
        <v>153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</row>
    <row r="10" spans="1:13" x14ac:dyDescent="0.15">
      <c r="A10" s="434" t="s">
        <v>47</v>
      </c>
      <c r="B10" s="434"/>
      <c r="C10" s="434"/>
      <c r="D10" s="434"/>
      <c r="E10" s="434"/>
      <c r="F10" s="434"/>
      <c r="H10" s="434" t="s">
        <v>50</v>
      </c>
      <c r="I10" s="434"/>
      <c r="J10" s="434"/>
      <c r="K10" s="434"/>
      <c r="L10" s="434"/>
      <c r="M10" s="434"/>
    </row>
    <row r="11" spans="1:13" s="53" customFormat="1" ht="12" x14ac:dyDescent="0.15">
      <c r="A11" s="433" t="s">
        <v>36</v>
      </c>
      <c r="B11" s="433"/>
      <c r="C11" s="433"/>
      <c r="D11" s="433"/>
      <c r="E11" s="433"/>
      <c r="F11" s="433"/>
      <c r="H11" s="437" t="s">
        <v>36</v>
      </c>
      <c r="I11" s="437"/>
      <c r="J11" s="437"/>
      <c r="K11" s="437"/>
      <c r="L11" s="437"/>
      <c r="M11" s="437"/>
    </row>
    <row r="12" spans="1:13" x14ac:dyDescent="0.15">
      <c r="A12" s="67" t="s">
        <v>41</v>
      </c>
      <c r="B12" s="68">
        <v>-0.25</v>
      </c>
      <c r="C12" s="68">
        <v>-0.1</v>
      </c>
      <c r="D12" s="69" t="s">
        <v>37</v>
      </c>
      <c r="E12" s="70" t="s">
        <v>38</v>
      </c>
      <c r="F12" s="70" t="s">
        <v>39</v>
      </c>
      <c r="H12" s="67" t="s">
        <v>41</v>
      </c>
      <c r="I12" s="71">
        <v>-0.25</v>
      </c>
      <c r="J12" s="71">
        <v>-0.1</v>
      </c>
      <c r="K12" s="72" t="s">
        <v>37</v>
      </c>
      <c r="L12" s="73" t="s">
        <v>38</v>
      </c>
      <c r="M12" s="73" t="s">
        <v>39</v>
      </c>
    </row>
    <row r="13" spans="1:13" x14ac:dyDescent="0.15">
      <c r="A13" s="74" t="s">
        <v>42</v>
      </c>
      <c r="B13" s="69">
        <f>0.75*D13</f>
        <v>150</v>
      </c>
      <c r="C13" s="69">
        <f>0.9*D13</f>
        <v>180</v>
      </c>
      <c r="D13" s="69">
        <f>D3</f>
        <v>200</v>
      </c>
      <c r="E13" s="69">
        <f>D13*1.1</f>
        <v>220.00000000000003</v>
      </c>
      <c r="F13" s="69">
        <f>D13*1.25</f>
        <v>250</v>
      </c>
      <c r="H13" s="74" t="s">
        <v>42</v>
      </c>
      <c r="I13" s="69">
        <f>0.75*K13</f>
        <v>900</v>
      </c>
      <c r="J13" s="69">
        <f>0.9*K13</f>
        <v>1080</v>
      </c>
      <c r="K13" s="69">
        <f>B3</f>
        <v>1200</v>
      </c>
      <c r="L13" s="69">
        <f>K13*1.1</f>
        <v>1320</v>
      </c>
      <c r="M13" s="69">
        <f>K13*1.25</f>
        <v>1500</v>
      </c>
    </row>
    <row r="14" spans="1:13" x14ac:dyDescent="0.15">
      <c r="A14" s="75">
        <f>A16*0.7</f>
        <v>4.76</v>
      </c>
      <c r="B14" s="76">
        <f>$A$14*B$13-$D$6</f>
        <v>-277.38681250000013</v>
      </c>
      <c r="C14" s="76">
        <f>$A$14*C$13-$D$6</f>
        <v>-134.58681250000018</v>
      </c>
      <c r="D14" s="76">
        <f>$A$14*D$13-$D$6</f>
        <v>-39.386812500000133</v>
      </c>
      <c r="E14" s="76">
        <f>$A$14*E$13-$D$6</f>
        <v>55.813187499999913</v>
      </c>
      <c r="F14" s="76">
        <f>$A$14*F$13-$D$6</f>
        <v>198.61318749999987</v>
      </c>
      <c r="H14" s="75">
        <f>H16*0.7</f>
        <v>0.54599999999999993</v>
      </c>
      <c r="I14" s="78">
        <f>$H$14*$I$13-$B$6</f>
        <v>-202.88966363636376</v>
      </c>
      <c r="J14" s="78">
        <f>$H$14*J13-$B$6</f>
        <v>-104.60966363636373</v>
      </c>
      <c r="K14" s="78">
        <f>$H$14*K13-$B$6</f>
        <v>-39.089663636363753</v>
      </c>
      <c r="L14" s="78">
        <f>$H$14*L13-$B$6</f>
        <v>26.430336363636229</v>
      </c>
      <c r="M14" s="78">
        <f>$H$14*M13-$B$6</f>
        <v>124.7103363636362</v>
      </c>
    </row>
    <row r="15" spans="1:13" x14ac:dyDescent="0.15">
      <c r="A15" s="77">
        <f>A16*0.85</f>
        <v>5.7799999999999994</v>
      </c>
      <c r="B15" s="78">
        <f>$A$15*B$13-$D$6</f>
        <v>-124.38681250000025</v>
      </c>
      <c r="C15" s="78">
        <f>$A$15*C$13-$D$6</f>
        <v>49.013187499999731</v>
      </c>
      <c r="D15" s="78">
        <f>$A$15*D$13-$D$6</f>
        <v>164.61318749999964</v>
      </c>
      <c r="E15" s="78">
        <f>$A$15*E$13-$D$6</f>
        <v>280.2131875</v>
      </c>
      <c r="F15" s="78">
        <f>$A$15*F$13-$D$6</f>
        <v>453.61318749999964</v>
      </c>
      <c r="H15" s="77">
        <f>H16*0.85</f>
        <v>0.66300000000000003</v>
      </c>
      <c r="I15" s="78">
        <f>$H$15*$I$13-$B$6</f>
        <v>-97.589663636363639</v>
      </c>
      <c r="J15" s="78">
        <f>$H$15*J13-$B$6</f>
        <v>21.750336363636393</v>
      </c>
      <c r="K15" s="78">
        <f>$H$15*K13-$B$6</f>
        <v>101.31033636363634</v>
      </c>
      <c r="L15" s="78">
        <f>$H$15*L13-$B$6</f>
        <v>180.8703363636364</v>
      </c>
      <c r="M15" s="78">
        <f>$H$15*M13-$B$6</f>
        <v>300.21033636363632</v>
      </c>
    </row>
    <row r="16" spans="1:13" x14ac:dyDescent="0.15">
      <c r="A16" s="77">
        <f>D4</f>
        <v>6.8</v>
      </c>
      <c r="B16" s="78">
        <f>$A$16*B$13-$D$6</f>
        <v>28.613187499999867</v>
      </c>
      <c r="C16" s="78">
        <f>$A$16*C$13-$D$6</f>
        <v>232.61318749999987</v>
      </c>
      <c r="D16" s="78">
        <f>$A$16*D$13-$D$6</f>
        <v>368.61318749999987</v>
      </c>
      <c r="E16" s="78">
        <f>$A$16*E$13-$D$6</f>
        <v>504.61318750000009</v>
      </c>
      <c r="F16" s="78">
        <f>$A$16*F$13-$D$6</f>
        <v>708.61318749999987</v>
      </c>
      <c r="H16" s="77">
        <f>B4</f>
        <v>0.78</v>
      </c>
      <c r="I16" s="78">
        <f>$H$16*$I$13-$B$6</f>
        <v>7.7103363636363156</v>
      </c>
      <c r="J16" s="78">
        <f>$H$16*J13-$B$6</f>
        <v>148.11033636363629</v>
      </c>
      <c r="K16" s="78">
        <f>$H$16*K13-$B$6</f>
        <v>241.71033636363632</v>
      </c>
      <c r="L16" s="78">
        <f>$H$16*L13-$B$6</f>
        <v>335.31033636363645</v>
      </c>
      <c r="M16" s="78">
        <f>$H$16*M13-$B$6</f>
        <v>475.71033636363632</v>
      </c>
    </row>
    <row r="17" spans="1:13" x14ac:dyDescent="0.15">
      <c r="A17" s="77">
        <f>A16*1.15</f>
        <v>7.8199999999999994</v>
      </c>
      <c r="B17" s="78">
        <f>$A$17*B$13-$D$6</f>
        <v>181.61318749999987</v>
      </c>
      <c r="C17" s="78">
        <f>$A$17*C$13-$D$6</f>
        <v>416.21318749999978</v>
      </c>
      <c r="D17" s="78">
        <f>$A$17*D$13-$D$6</f>
        <v>572.61318749999964</v>
      </c>
      <c r="E17" s="78">
        <f>$A$17*E$13-$D$6</f>
        <v>729.01318749999996</v>
      </c>
      <c r="F17" s="78">
        <f>$A$17*F$13-$D$6</f>
        <v>963.61318749999964</v>
      </c>
      <c r="H17" s="77">
        <f>H16*1.15</f>
        <v>0.89699999999999991</v>
      </c>
      <c r="I17" s="78">
        <f>$H$17*$I$13-$B$6</f>
        <v>113.01033636363627</v>
      </c>
      <c r="J17" s="78">
        <f>$H$17*J13-$B$6</f>
        <v>274.47033636363619</v>
      </c>
      <c r="K17" s="78">
        <f>$H$17*K13-$B$6</f>
        <v>382.11033636363618</v>
      </c>
      <c r="L17" s="78">
        <f>$H$17*L13-$B$6</f>
        <v>489.75033636363628</v>
      </c>
      <c r="M17" s="78">
        <f>$H$17*M13-$B$6</f>
        <v>651.21033636363609</v>
      </c>
    </row>
    <row r="18" spans="1:13" x14ac:dyDescent="0.15">
      <c r="A18" s="79">
        <f>A16*1.3</f>
        <v>8.84</v>
      </c>
      <c r="B18" s="80">
        <f>$A$18*B$13-$D$6</f>
        <v>334.61318749999987</v>
      </c>
      <c r="C18" s="80">
        <f>$A$18*C$13-$D$6</f>
        <v>599.81318749999991</v>
      </c>
      <c r="D18" s="80">
        <f>$A$18*D$13-$D$6</f>
        <v>776.61318749999987</v>
      </c>
      <c r="E18" s="80">
        <f>$A$18*E$13-$D$6</f>
        <v>953.41318750000005</v>
      </c>
      <c r="F18" s="80">
        <f>$A$18*F$13-$D$6</f>
        <v>1218.6131874999999</v>
      </c>
      <c r="H18" s="79">
        <f>H16*1.3</f>
        <v>1.014</v>
      </c>
      <c r="I18" s="80">
        <f>$H$18*$I$13-$B$6</f>
        <v>218.31033636363634</v>
      </c>
      <c r="J18" s="80">
        <f>$H$18*J13-$B$6</f>
        <v>400.83033636363643</v>
      </c>
      <c r="K18" s="80">
        <f>$H$18*K13-$B$6</f>
        <v>522.51033636363627</v>
      </c>
      <c r="L18" s="80">
        <f>$H$18*L13-$B$6</f>
        <v>644.19033636363633</v>
      </c>
      <c r="M18" s="80">
        <f>$H$18*M13-$B$6</f>
        <v>826.71033636363632</v>
      </c>
    </row>
    <row r="20" spans="1:13" x14ac:dyDescent="0.15">
      <c r="A20" s="434" t="s">
        <v>48</v>
      </c>
      <c r="B20" s="434"/>
      <c r="C20" s="434"/>
      <c r="D20" s="434"/>
      <c r="E20" s="434"/>
      <c r="F20" s="434"/>
      <c r="H20" s="435" t="s">
        <v>120</v>
      </c>
      <c r="I20" s="435"/>
      <c r="J20" s="435"/>
      <c r="K20" s="435"/>
      <c r="L20" s="435"/>
      <c r="M20" s="435"/>
    </row>
    <row r="21" spans="1:13" s="53" customFormat="1" ht="12" x14ac:dyDescent="0.15">
      <c r="A21" s="433" t="s">
        <v>36</v>
      </c>
      <c r="B21" s="433"/>
      <c r="C21" s="433"/>
      <c r="D21" s="433"/>
      <c r="E21" s="433"/>
      <c r="F21" s="433"/>
      <c r="H21" s="436" t="s">
        <v>36</v>
      </c>
      <c r="I21" s="436"/>
      <c r="J21" s="436"/>
      <c r="K21" s="436"/>
      <c r="L21" s="436"/>
      <c r="M21" s="436"/>
    </row>
    <row r="22" spans="1:13" x14ac:dyDescent="0.15">
      <c r="A22" s="67" t="s">
        <v>41</v>
      </c>
      <c r="B22" s="68">
        <v>-0.25</v>
      </c>
      <c r="C22" s="68">
        <v>-0.1</v>
      </c>
      <c r="D22" s="69" t="s">
        <v>37</v>
      </c>
      <c r="E22" s="70" t="s">
        <v>38</v>
      </c>
      <c r="F22" s="70" t="s">
        <v>39</v>
      </c>
      <c r="H22" s="67" t="s">
        <v>41</v>
      </c>
      <c r="I22" s="68">
        <v>-0.25</v>
      </c>
      <c r="J22" s="68">
        <v>-0.1</v>
      </c>
      <c r="K22" s="69" t="s">
        <v>37</v>
      </c>
      <c r="L22" s="70" t="s">
        <v>38</v>
      </c>
      <c r="M22" s="70" t="s">
        <v>39</v>
      </c>
    </row>
    <row r="23" spans="1:13" x14ac:dyDescent="0.15">
      <c r="A23" s="74" t="s">
        <v>42</v>
      </c>
      <c r="B23" s="69">
        <f>0.75*D23</f>
        <v>75</v>
      </c>
      <c r="C23" s="69">
        <f>0.9*D23</f>
        <v>90</v>
      </c>
      <c r="D23" s="69">
        <f>F3</f>
        <v>100</v>
      </c>
      <c r="E23" s="69">
        <f>D23*1.1</f>
        <v>110.00000000000001</v>
      </c>
      <c r="F23" s="69">
        <f>D23*1.25</f>
        <v>125</v>
      </c>
      <c r="H23" s="74" t="s">
        <v>42</v>
      </c>
      <c r="I23" s="69">
        <f>0.75*K23</f>
        <v>3525</v>
      </c>
      <c r="J23" s="69">
        <f>0.9*K23</f>
        <v>4230</v>
      </c>
      <c r="K23" s="69">
        <f>C3</f>
        <v>4700</v>
      </c>
      <c r="L23" s="69">
        <f>K23*1.1</f>
        <v>5170</v>
      </c>
      <c r="M23" s="69">
        <f>K23*1.25</f>
        <v>5875</v>
      </c>
    </row>
    <row r="24" spans="1:13" x14ac:dyDescent="0.15">
      <c r="A24" s="75">
        <f>A26*0.7</f>
        <v>4.4799999999999995</v>
      </c>
      <c r="B24" s="76">
        <f>$A$24*B$23-$F$6</f>
        <v>-220.80734375000003</v>
      </c>
      <c r="C24" s="76">
        <f>$A$24*C$23-$F$6</f>
        <v>-153.60734375000004</v>
      </c>
      <c r="D24" s="76">
        <f>$A$24*D$23-$F$6</f>
        <v>-108.80734375000003</v>
      </c>
      <c r="E24" s="76">
        <f>$A$24*E$23-$F$6</f>
        <v>-64.007343749999961</v>
      </c>
      <c r="F24" s="76">
        <f>$A$24*F$23-$F$6</f>
        <v>3.1926562499999136</v>
      </c>
      <c r="H24" s="81">
        <f>H26*0.7</f>
        <v>332.5</v>
      </c>
      <c r="I24" s="76">
        <f>$H$24*I$23/2000-$C$6</f>
        <v>-221.10173437500009</v>
      </c>
      <c r="J24" s="76">
        <f>$H$24*J$23/2000-$C$6</f>
        <v>-103.89548437500014</v>
      </c>
      <c r="K24" s="76">
        <f>$H$24*K$23/2000-$C$6</f>
        <v>-25.757984375000092</v>
      </c>
      <c r="L24" s="76">
        <f>$H$24*L$23/2000-$C$6</f>
        <v>52.379515624999954</v>
      </c>
      <c r="M24" s="76">
        <f>$H$24*M$23/2000-$C$6</f>
        <v>169.58576562499991</v>
      </c>
    </row>
    <row r="25" spans="1:13" x14ac:dyDescent="0.15">
      <c r="A25" s="77">
        <f>A26*0.85</f>
        <v>5.44</v>
      </c>
      <c r="B25" s="78">
        <f>$A$25*B$23-$F$6</f>
        <v>-148.80734374999992</v>
      </c>
      <c r="C25" s="78">
        <f>$A$25*C$23-$F$6</f>
        <v>-67.20734374999995</v>
      </c>
      <c r="D25" s="78">
        <f>$A$25*D$23-$F$6</f>
        <v>-12.807343749999973</v>
      </c>
      <c r="E25" s="78">
        <f>$A$25*E$23-$F$6</f>
        <v>41.592656250000118</v>
      </c>
      <c r="F25" s="78">
        <f>$A$25*F$23-$F$6</f>
        <v>123.19265625000003</v>
      </c>
      <c r="H25" s="82">
        <f>H26*0.85</f>
        <v>403.75</v>
      </c>
      <c r="I25" s="78">
        <f>$H$25*I$23/2000-$C$6</f>
        <v>-95.523609375000092</v>
      </c>
      <c r="J25" s="78">
        <f>$H$25*J$23/2000-$C$6</f>
        <v>46.798265624999885</v>
      </c>
      <c r="K25" s="78">
        <f>$H$25*K$23/2000-$C$6</f>
        <v>141.67951562499991</v>
      </c>
      <c r="L25" s="78">
        <f>$H$25*L$23/2000-$C$6</f>
        <v>236.56076562499982</v>
      </c>
      <c r="M25" s="78">
        <f>$H$25*M$23/2000-$C$6</f>
        <v>378.88264062499991</v>
      </c>
    </row>
    <row r="26" spans="1:13" x14ac:dyDescent="0.15">
      <c r="A26" s="77">
        <f>F4</f>
        <v>6.4</v>
      </c>
      <c r="B26" s="78">
        <f>$A$26*B$23-$F$6</f>
        <v>-76.807343749999973</v>
      </c>
      <c r="C26" s="78">
        <f>$A$26*C$23-$F$6</f>
        <v>19.192656250000027</v>
      </c>
      <c r="D26" s="78">
        <f>$A$26*D$23-$F$6</f>
        <v>83.192656250000027</v>
      </c>
      <c r="E26" s="78">
        <f>$A$26*E$23-$F$6</f>
        <v>147.19265625000014</v>
      </c>
      <c r="F26" s="78">
        <f>$A$26*F$23-$F$6</f>
        <v>243.19265625000003</v>
      </c>
      <c r="H26" s="82">
        <f>C4</f>
        <v>475</v>
      </c>
      <c r="I26" s="78">
        <f>$H$26*I$23/2000-$C$6</f>
        <v>30.054515624999908</v>
      </c>
      <c r="J26" s="78">
        <f>$H$26*J$23/2000-$C$6</f>
        <v>197.49201562499991</v>
      </c>
      <c r="K26" s="78">
        <f>$H$26*K$23/2000-$C$6</f>
        <v>309.11701562499991</v>
      </c>
      <c r="L26" s="78">
        <f>$H$26*L$23/2000-$C$6</f>
        <v>420.74201562499991</v>
      </c>
      <c r="M26" s="78">
        <f>$H$26*M$23/2000-$C$6</f>
        <v>588.17951562499991</v>
      </c>
    </row>
    <row r="27" spans="1:13" x14ac:dyDescent="0.15">
      <c r="A27" s="77">
        <f>A26*1.15</f>
        <v>7.3599999999999994</v>
      </c>
      <c r="B27" s="78">
        <f>$A$27*B$23-$F$6</f>
        <v>-4.8073437499999727</v>
      </c>
      <c r="C27" s="78">
        <f>$A$27*C$23-$F$6</f>
        <v>105.59265625</v>
      </c>
      <c r="D27" s="78">
        <f>$A$27*D$23-$F$6</f>
        <v>179.19265625000003</v>
      </c>
      <c r="E27" s="78">
        <f>$A$27*E$23-$F$6</f>
        <v>252.79265625000005</v>
      </c>
      <c r="F27" s="78">
        <f>$A$27*F$23-$F$6</f>
        <v>363.19265624999991</v>
      </c>
      <c r="H27" s="82">
        <f>H26*1.15</f>
        <v>546.25</v>
      </c>
      <c r="I27" s="78">
        <f>$H$27*I$23/2000-$C$6</f>
        <v>155.63264062499991</v>
      </c>
      <c r="J27" s="78">
        <f>$H$27*J$23/2000-$C$6</f>
        <v>348.18576562499982</v>
      </c>
      <c r="K27" s="78">
        <f>$H$27*K$23/2000-$C$6</f>
        <v>476.55451562499991</v>
      </c>
      <c r="L27" s="78">
        <f>$H$27*L$23/2000-$C$6</f>
        <v>604.923265625</v>
      </c>
      <c r="M27" s="78">
        <f>$H$27*M$23/2000-$C$6</f>
        <v>797.47639062499991</v>
      </c>
    </row>
    <row r="28" spans="1:13" x14ac:dyDescent="0.15">
      <c r="A28" s="79">
        <f>A26*1.3</f>
        <v>8.32</v>
      </c>
      <c r="B28" s="80">
        <f>$A$28*B$23-$F$6</f>
        <v>67.192656250000027</v>
      </c>
      <c r="C28" s="80">
        <f>$A$28*C$23-$F$6</f>
        <v>191.9926562500001</v>
      </c>
      <c r="D28" s="80">
        <f>$A$28*D$23-$F$6</f>
        <v>275.19265625000003</v>
      </c>
      <c r="E28" s="80">
        <f>$A$28*E$23-$F$6</f>
        <v>358.39265625000019</v>
      </c>
      <c r="F28" s="80">
        <f>$A$28*F$23-$F$6</f>
        <v>483.19265625000003</v>
      </c>
      <c r="H28" s="83">
        <f>H26*1.3</f>
        <v>617.5</v>
      </c>
      <c r="I28" s="80">
        <f>$H$28*I$23/2000-$C$6</f>
        <v>281.21076562499991</v>
      </c>
      <c r="J28" s="80">
        <f>$H$28*J$23/2000-$C$6</f>
        <v>498.87951562499995</v>
      </c>
      <c r="K28" s="80">
        <f>$H$28*K$23/2000-$C$6</f>
        <v>643.99201562499991</v>
      </c>
      <c r="L28" s="80">
        <f>$H$28*L$23/2000-$C$6</f>
        <v>789.10451562499986</v>
      </c>
      <c r="M28" s="80">
        <f>$H$28*M$23/2000-$C$6</f>
        <v>1006.7732656249999</v>
      </c>
    </row>
    <row r="30" spans="1:13" x14ac:dyDescent="0.15">
      <c r="A30" s="434" t="s">
        <v>49</v>
      </c>
      <c r="B30" s="434"/>
      <c r="C30" s="434"/>
      <c r="D30" s="434"/>
      <c r="E30" s="434"/>
      <c r="F30" s="434"/>
      <c r="H30" s="434" t="s">
        <v>64</v>
      </c>
      <c r="I30" s="434"/>
      <c r="J30" s="434"/>
      <c r="K30" s="434"/>
      <c r="L30" s="434"/>
      <c r="M30" s="434"/>
    </row>
    <row r="31" spans="1:13" s="53" customFormat="1" ht="12" x14ac:dyDescent="0.15">
      <c r="A31" s="433" t="s">
        <v>36</v>
      </c>
      <c r="B31" s="433"/>
      <c r="C31" s="433"/>
      <c r="D31" s="433"/>
      <c r="E31" s="433"/>
      <c r="F31" s="433"/>
      <c r="H31" s="433" t="s">
        <v>36</v>
      </c>
      <c r="I31" s="433"/>
      <c r="J31" s="433"/>
      <c r="K31" s="433"/>
      <c r="L31" s="433"/>
      <c r="M31" s="433"/>
    </row>
    <row r="32" spans="1:13" x14ac:dyDescent="0.15">
      <c r="A32" s="67" t="s">
        <v>41</v>
      </c>
      <c r="B32" s="68">
        <v>-0.25</v>
      </c>
      <c r="C32" s="68">
        <v>-0.1</v>
      </c>
      <c r="D32" s="69" t="s">
        <v>37</v>
      </c>
      <c r="E32" s="70" t="s">
        <v>38</v>
      </c>
      <c r="F32" s="70" t="s">
        <v>39</v>
      </c>
      <c r="H32" s="67" t="s">
        <v>41</v>
      </c>
      <c r="I32" s="68">
        <v>-0.25</v>
      </c>
      <c r="J32" s="68">
        <v>-0.1</v>
      </c>
      <c r="K32" s="69" t="s">
        <v>37</v>
      </c>
      <c r="L32" s="70" t="s">
        <v>38</v>
      </c>
      <c r="M32" s="70" t="s">
        <v>39</v>
      </c>
    </row>
    <row r="33" spans="1:13" x14ac:dyDescent="0.15">
      <c r="A33" s="74" t="s">
        <v>42</v>
      </c>
      <c r="B33" s="69">
        <f>0.75*D33</f>
        <v>45</v>
      </c>
      <c r="C33" s="69">
        <f>0.9*D33</f>
        <v>54</v>
      </c>
      <c r="D33" s="69">
        <f>E3</f>
        <v>60</v>
      </c>
      <c r="E33" s="69">
        <f>D33*1.1</f>
        <v>66</v>
      </c>
      <c r="F33" s="69">
        <f>D33*1.25</f>
        <v>75</v>
      </c>
      <c r="H33" s="74" t="s">
        <v>42</v>
      </c>
      <c r="I33" s="69">
        <f>0.75*K33</f>
        <v>56.25</v>
      </c>
      <c r="J33" s="69">
        <f>0.9*K33</f>
        <v>67.5</v>
      </c>
      <c r="K33" s="69">
        <f>G3</f>
        <v>75</v>
      </c>
      <c r="L33" s="69">
        <f>K33*1.1</f>
        <v>82.5</v>
      </c>
      <c r="M33" s="69">
        <f>K33*1.25</f>
        <v>93.75</v>
      </c>
    </row>
    <row r="34" spans="1:13" x14ac:dyDescent="0.15">
      <c r="A34" s="75">
        <f>A36*0.7</f>
        <v>9.66</v>
      </c>
      <c r="B34" s="76">
        <f>$A$34*B$33-$E$6</f>
        <v>29.557832187499969</v>
      </c>
      <c r="C34" s="76">
        <f>$A$34*C$33-$E$6</f>
        <v>116.49783218749997</v>
      </c>
      <c r="D34" s="76">
        <f>$A$34*D$33-$E$6</f>
        <v>174.4578321875</v>
      </c>
      <c r="E34" s="76">
        <f>$A$34*E$33-$E$6</f>
        <v>232.41783218750004</v>
      </c>
      <c r="F34" s="76">
        <f>$A$34*F$33-$E$6</f>
        <v>319.35783218749998</v>
      </c>
      <c r="H34" s="75">
        <f>H36*0.7</f>
        <v>5.46</v>
      </c>
      <c r="I34" s="76">
        <f>$H$34*I$33-$G$6</f>
        <v>-166.20376250000004</v>
      </c>
      <c r="J34" s="76">
        <f>$H$34*J$33-$G$6</f>
        <v>-104.77876250000003</v>
      </c>
      <c r="K34" s="76">
        <f>$H$34*K$33-$G$6</f>
        <v>-63.828762500000039</v>
      </c>
      <c r="L34" s="76">
        <f>$H$34*L$33-$G$6</f>
        <v>-22.87876250000005</v>
      </c>
      <c r="M34" s="76">
        <f>$H$34*M$33-$G$6</f>
        <v>38.546237499999961</v>
      </c>
    </row>
    <row r="35" spans="1:13" x14ac:dyDescent="0.15">
      <c r="A35" s="77">
        <f>A36*0.85</f>
        <v>11.73</v>
      </c>
      <c r="B35" s="78">
        <f>$A$35*B$33-$E$6</f>
        <v>122.7078321875</v>
      </c>
      <c r="C35" s="78">
        <f>$A$35*C$33-$E$6</f>
        <v>228.27783218750005</v>
      </c>
      <c r="D35" s="78">
        <f>$A$35*D$33-$E$6</f>
        <v>298.65783218750005</v>
      </c>
      <c r="E35" s="78">
        <f>$A$35*E$33-$E$6</f>
        <v>369.03783218750004</v>
      </c>
      <c r="F35" s="78">
        <f>$A$35*F$33-$E$6</f>
        <v>474.60783218749998</v>
      </c>
      <c r="H35" s="77">
        <f>H36*0.85</f>
        <v>6.63</v>
      </c>
      <c r="I35" s="78">
        <f>$H$35*I$33-$G$6</f>
        <v>-100.39126250000004</v>
      </c>
      <c r="J35" s="78">
        <f>$H$35*J$33-$G$6</f>
        <v>-25.803762500000062</v>
      </c>
      <c r="K35" s="78">
        <f>$H$35*K$33-$G$6</f>
        <v>23.921237499999961</v>
      </c>
      <c r="L35" s="78">
        <f>$H$35*L$33-$G$6</f>
        <v>73.646237499999984</v>
      </c>
      <c r="M35" s="78">
        <f>$H$35*M$33-$G$6</f>
        <v>148.23373749999996</v>
      </c>
    </row>
    <row r="36" spans="1:13" x14ac:dyDescent="0.15">
      <c r="A36" s="77">
        <f>E4</f>
        <v>13.8</v>
      </c>
      <c r="B36" s="78">
        <f>$A$36*B$33-$E$6</f>
        <v>215.85783218749998</v>
      </c>
      <c r="C36" s="78">
        <f>$A$36*C$33-$E$6</f>
        <v>340.05783218750003</v>
      </c>
      <c r="D36" s="78">
        <f>$A$36*D$33-$E$6</f>
        <v>422.85783218749998</v>
      </c>
      <c r="E36" s="78">
        <f>$A$36*E$33-$E$6</f>
        <v>505.65783218750005</v>
      </c>
      <c r="F36" s="78">
        <f>$A$36*F$33-$E$6</f>
        <v>629.85783218749998</v>
      </c>
      <c r="H36" s="77">
        <f>G4</f>
        <v>7.8</v>
      </c>
      <c r="I36" s="78">
        <f>$H$36*I$33-$G$6</f>
        <v>-34.578762500000039</v>
      </c>
      <c r="J36" s="78">
        <f>$H$36*J$33-$G$6</f>
        <v>53.171237499999961</v>
      </c>
      <c r="K36" s="78">
        <f>$H$36*K$33-$G$6</f>
        <v>111.67123749999996</v>
      </c>
      <c r="L36" s="78">
        <f>$H$36*L$33-$G$6</f>
        <v>170.17123749999996</v>
      </c>
      <c r="M36" s="78">
        <f>$H$36*M$33-$G$6</f>
        <v>257.92123749999996</v>
      </c>
    </row>
    <row r="37" spans="1:13" x14ac:dyDescent="0.15">
      <c r="A37" s="77">
        <f>A36*1.15</f>
        <v>15.87</v>
      </c>
      <c r="B37" s="78">
        <f>$A$37*B$33-$E$6</f>
        <v>309.00783218749996</v>
      </c>
      <c r="C37" s="78">
        <f>$A$37*C$33-$E$6</f>
        <v>451.83783218749988</v>
      </c>
      <c r="D37" s="78">
        <f>$A$37*D$33-$E$6</f>
        <v>547.05783218749991</v>
      </c>
      <c r="E37" s="78">
        <f>$A$37*E$33-$E$6</f>
        <v>642.27783218749983</v>
      </c>
      <c r="F37" s="78">
        <f>$A$37*F$33-$E$6</f>
        <v>785.10783218749998</v>
      </c>
      <c r="H37" s="77">
        <f>H36*1.15</f>
        <v>8.9699999999999989</v>
      </c>
      <c r="I37" s="78">
        <f>$H$37*I$33-$G$6</f>
        <v>31.233737499999904</v>
      </c>
      <c r="J37" s="78">
        <f>$H$37*J$33-$G$6</f>
        <v>132.14623749999987</v>
      </c>
      <c r="K37" s="78">
        <f>$H$37*K$33-$G$6</f>
        <v>199.42123749999985</v>
      </c>
      <c r="L37" s="78">
        <f>$H$37*L$33-$G$6</f>
        <v>266.69623749999982</v>
      </c>
      <c r="M37" s="78">
        <f>$H$37*M$33-$G$6</f>
        <v>367.60873749999985</v>
      </c>
    </row>
    <row r="38" spans="1:13" x14ac:dyDescent="0.15">
      <c r="A38" s="79">
        <f>A36*1.3</f>
        <v>17.940000000000001</v>
      </c>
      <c r="B38" s="80">
        <f>$A$38*B$33-$E$6</f>
        <v>402.15783218750005</v>
      </c>
      <c r="C38" s="80">
        <f>$A$38*C$33-$E$6</f>
        <v>563.61783218750008</v>
      </c>
      <c r="D38" s="80">
        <f>$A$38*D$33-$E$6</f>
        <v>671.25783218750007</v>
      </c>
      <c r="E38" s="80">
        <f>$A$38*E$33-$E$6</f>
        <v>778.89783218750017</v>
      </c>
      <c r="F38" s="80">
        <f>$A$38*F$33-$E$6</f>
        <v>940.35783218749998</v>
      </c>
      <c r="H38" s="79">
        <f>H36*1.3</f>
        <v>10.14</v>
      </c>
      <c r="I38" s="80">
        <f>$H$38*I$33-$G$6</f>
        <v>97.046237499999961</v>
      </c>
      <c r="J38" s="80">
        <f>$H$38*J$33-$G$6</f>
        <v>211.12123750000001</v>
      </c>
      <c r="K38" s="80">
        <f>$H$38*K$33-$G$6</f>
        <v>287.17123749999996</v>
      </c>
      <c r="L38" s="80">
        <f>$H$38*L$33-$G$6</f>
        <v>363.22123750000003</v>
      </c>
      <c r="M38" s="80">
        <f>$H$38*M$33-$G$6</f>
        <v>477.29623749999996</v>
      </c>
    </row>
    <row r="39" spans="1:13" s="53" customFormat="1" ht="12" x14ac:dyDescent="0.15"/>
    <row r="49" s="53" customFormat="1" ht="12" x14ac:dyDescent="0.15"/>
    <row r="59" s="53" customFormat="1" ht="12" x14ac:dyDescent="0.15"/>
  </sheetData>
  <sheetProtection sheet="1" objects="1" scenarios="1"/>
  <mergeCells count="15">
    <mergeCell ref="A10:F10"/>
    <mergeCell ref="A11:F11"/>
    <mergeCell ref="H11:M11"/>
    <mergeCell ref="B1:G1"/>
    <mergeCell ref="H10:M10"/>
    <mergeCell ref="A7:M7"/>
    <mergeCell ref="A9:M9"/>
    <mergeCell ref="H31:M31"/>
    <mergeCell ref="A30:F30"/>
    <mergeCell ref="A31:F31"/>
    <mergeCell ref="A20:F20"/>
    <mergeCell ref="A21:F21"/>
    <mergeCell ref="H20:M20"/>
    <mergeCell ref="H21:M21"/>
    <mergeCell ref="H30:M30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Microsoft Office User</cp:lastModifiedBy>
  <cp:lastPrinted>2019-03-04T16:28:48Z</cp:lastPrinted>
  <dcterms:created xsi:type="dcterms:W3CDTF">2007-11-26T00:37:18Z</dcterms:created>
  <dcterms:modified xsi:type="dcterms:W3CDTF">2023-01-10T13:45:48Z</dcterms:modified>
</cp:coreProperties>
</file>