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Bud" sheetId="1" r:id="rId1"/>
    <sheet name="Yr1" sheetId="2" r:id="rId2"/>
    <sheet name="Yr2" sheetId="3" r:id="rId3"/>
    <sheet name="Yr3" sheetId="4" r:id="rId4"/>
    <sheet name="Chem" sheetId="5" r:id="rId5"/>
    <sheet name="Mach" sheetId="6" r:id="rId6"/>
    <sheet name="FxdCost" sheetId="7" r:id="rId7"/>
    <sheet name="Drip" sheetId="8" r:id="rId8"/>
    <sheet name="Returns" sheetId="9" r:id="rId9"/>
    <sheet name="H" sheetId="10" r:id="rId10"/>
    <sheet name="N" sheetId="11" r:id="rId11"/>
  </sheets>
  <definedNames>
    <definedName name="\AUTOEXEC">'Bud'!$U$149:$U$151</definedName>
    <definedName name="\C">'Bud'!$I$149:$I$189</definedName>
    <definedName name="\FLOW">'N'!$E$1:$E$4</definedName>
    <definedName name="\T">'Bud'!$C$149:$C$189</definedName>
    <definedName name="\TOTAL">'N'!$B$1:$B$4</definedName>
    <definedName name="\V">'Bud'!$O$149:$O$189</definedName>
    <definedName name="\VARIABLE">'N'!$H$1:$H$4</definedName>
    <definedName name="\X">'Bud'!$F$149:$F$189</definedName>
    <definedName name="\Y">'Bud'!$L$149:$L$189</definedName>
    <definedName name="\Z">'Bud'!$R$149:$R$189</definedName>
    <definedName name="ENR">'Bud'!$O$105:$O$105</definedName>
    <definedName name="ENR_MNR">'Bud'!$O$105:$O$105</definedName>
    <definedName name="ETR">'Bud'!$M$104:$M$104</definedName>
    <definedName name="EXPP">'Bud'!$O$86:$O$86</definedName>
    <definedName name="EXPY">'Bud'!$M$86:$M$86</definedName>
    <definedName name="MEDP">'Bud'!$G$27:$G$27</definedName>
    <definedName name="MEDY">'Bud'!$G$26:$G$26</definedName>
    <definedName name="MNR">'Bud'!$M$106:$M$106</definedName>
    <definedName name="MTC">'Bud'!$O$104:$O$104</definedName>
    <definedName name="MTCV">'Bud'!$O$104:$O$104</definedName>
    <definedName name="MTR">'Bud'!$M$105:$M$105</definedName>
    <definedName name="STRHH">'Bud'!$M$100:$M$100</definedName>
    <definedName name="STRHL">'Bud'!$M$101:$M$101</definedName>
    <definedName name="STRLH">'Bud'!$O$101:$O$101</definedName>
    <definedName name="STRLL">'Bud'!$O$100:$O$100</definedName>
    <definedName name="STRO">'Bud'!$M$102:$M$102</definedName>
    <definedName name="STRP">'Bud'!$O$102:$O$102</definedName>
    <definedName name="UNIT">'Bud'!$I$21:$I$21</definedName>
    <definedName name="UNITCOST">'Bud'!$I$66:$I$66</definedName>
  </definedNames>
  <calcPr fullCalcOnLoad="1"/>
</workbook>
</file>

<file path=xl/sharedStrings.xml><?xml version="1.0" encoding="utf-8"?>
<sst xmlns="http://schemas.openxmlformats.org/spreadsheetml/2006/main" count="756" uniqueCount="338">
  <si>
    <t/>
  </si>
  <si>
    <t>-</t>
  </si>
  <si>
    <t xml:space="preserve"> </t>
  </si>
  <si>
    <t xml:space="preserve">                                                            </t>
  </si>
  <si>
    <t xml:space="preserve">          RISK RATED RETURNS OVER TOTAL COSTS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</si>
  <si>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</si>
  <si>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</si>
  <si>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</si>
  <si>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</si>
  <si>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</si>
  <si>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</si>
  <si>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</si>
  <si>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</si>
  <si>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</si>
  <si>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</si>
  <si>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</si>
  <si>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</si>
  <si>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</si>
  <si>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</si>
  <si>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</si>
  <si>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</si>
  <si>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</si>
  <si>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</si>
  <si>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</si>
  <si>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</si>
  <si>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</si>
  <si>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</si>
  <si>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</si>
  <si>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</si>
  <si>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</si>
  <si>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</si>
  <si>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</si>
  <si>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</si>
  <si>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</si>
  <si>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</si>
  <si>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</si>
  <si>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</si>
  <si>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</si>
  <si>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</si>
  <si>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</si>
  <si>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</si>
  <si>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</si>
  <si>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</si>
  <si>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</si>
  <si>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</si>
  <si>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</si>
  <si>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</si>
  <si>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</si>
  <si>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</si>
  <si>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</si>
  <si>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</si>
  <si>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</si>
  <si>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</si>
  <si>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</si>
  <si>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</si>
  <si>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Fuel</t>
  </si>
  <si>
    <t xml:space="preserve"> Harvest</t>
  </si>
  <si>
    <t xml:space="preserve"> Haul</t>
  </si>
  <si>
    <t xml:space="preserve"> Item</t>
  </si>
  <si>
    <t xml:space="preserve"> Operation</t>
  </si>
  <si>
    <t xml:space="preserve"> Rep &amp; maint.+ irrigation</t>
  </si>
  <si>
    <t xml:space="preserve"> Repair &amp; Maintenance</t>
  </si>
  <si>
    <t xml:space="preserve"> Rotary Mower</t>
  </si>
  <si>
    <t xml:space="preserve"> Rotary Mower(15')</t>
  </si>
  <si>
    <t xml:space="preserve"> Shake</t>
  </si>
  <si>
    <t xml:space="preserve"> Sprayer,airblast</t>
  </si>
  <si>
    <t xml:space="preserve"> Sprayer:</t>
  </si>
  <si>
    <t xml:space="preserve"> Sweep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</si>
  <si>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</si>
  <si>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</si>
  <si>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</si>
  <si>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</si>
  <si>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</si>
  <si>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</si>
  <si>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</si>
  <si>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</si>
  <si>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</si>
  <si>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</si>
  <si>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</si>
  <si>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</si>
  <si>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**Only one sweeper is required for 100 acres or less.</t>
  </si>
  <si>
    <t>*Price per lb.</t>
  </si>
  <si>
    <t>*Returns($)</t>
  </si>
  <si>
    <t>*Yield (lbs)</t>
  </si>
  <si>
    <t>:</t>
  </si>
  <si>
    <t>::</t>
  </si>
  <si>
    <t>{EditGoto Bud:a1}</t>
  </si>
  <si>
    <t>{PUTBLOCK "Cash Flow Budget",Bud:e14}</t>
  </si>
  <si>
    <t>{PUTBLOCK "FIXED COST",Bud:b53}</t>
  </si>
  <si>
    <t>{PUTBLOCK "FIXED OUTLAYS",Bud:b53}</t>
  </si>
  <si>
    <t>{PUTBLOCK "Total Cost Budget",Bud:e14}</t>
  </si>
  <si>
    <t>{PUTBLOCK "Total Fixed Costs",Bud:b59}</t>
  </si>
  <si>
    <t>{PUTBLOCK "Total Fixed Outlays",Bud:b59}</t>
  </si>
  <si>
    <t>{PUTBLOCK "Variable Cost Budget",Bud:e14}</t>
  </si>
  <si>
    <t>|</t>
  </si>
  <si>
    <t>Acre</t>
  </si>
  <si>
    <t>Acres</t>
  </si>
  <si>
    <t>ACRES</t>
  </si>
  <si>
    <t xml:space="preserve">Ammonium nitrate 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</si>
  <si>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</si>
  <si>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</si>
  <si>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</si>
  <si>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</si>
  <si>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</si>
  <si>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</si>
  <si>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</si>
  <si>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</si>
  <si>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BASED ON</t>
  </si>
  <si>
    <t xml:space="preserve">BE fixed costs                 </t>
  </si>
  <si>
    <t>Best</t>
  </si>
  <si>
    <t xml:space="preserve">Blower </t>
  </si>
  <si>
    <t>Break-Even (BE) Costs Per Lb.</t>
  </si>
  <si>
    <t>Brokerage fee (%)</t>
  </si>
  <si>
    <t>by</t>
  </si>
  <si>
    <t>Calculation of NR and for Z values</t>
  </si>
  <si>
    <t>Calculations</t>
  </si>
  <si>
    <t>Chances</t>
  </si>
  <si>
    <t>CHANCES FOR PROFIT =</t>
  </si>
  <si>
    <t>Cleaning &amp; Drying</t>
  </si>
  <si>
    <t>COST</t>
  </si>
  <si>
    <t>Crop</t>
  </si>
  <si>
    <t>Deprec.</t>
  </si>
  <si>
    <t>DEPREC.</t>
  </si>
  <si>
    <t>DEPTH OF WELL IN FEET</t>
  </si>
  <si>
    <t>Effic.</t>
  </si>
  <si>
    <t>ELECTRICITY</t>
  </si>
  <si>
    <t>Equip.</t>
  </si>
  <si>
    <t>Estimated Annual Maintenance Cost for Pecans</t>
  </si>
  <si>
    <t>Estimated Annual Maintenance Cost For Pecans</t>
  </si>
  <si>
    <t>Expected</t>
  </si>
  <si>
    <t>EXPECTED</t>
  </si>
  <si>
    <t>EXPECTED RETURNS FROM TOTAL ACREAGE</t>
  </si>
  <si>
    <t>FC/Ac</t>
  </si>
  <si>
    <t>Fertilizer (10-10-10)</t>
  </si>
  <si>
    <t>Field</t>
  </si>
  <si>
    <t>FIXED COST</t>
  </si>
  <si>
    <t>FIXED COSTS</t>
  </si>
  <si>
    <t>Foliar Boron</t>
  </si>
  <si>
    <t>Foliar Zn</t>
  </si>
  <si>
    <t>For</t>
  </si>
  <si>
    <t>Fuel</t>
  </si>
  <si>
    <t>Fungicide</t>
  </si>
  <si>
    <t>Fungicides</t>
  </si>
  <si>
    <t>Gal</t>
  </si>
  <si>
    <t>Harvest</t>
  </si>
  <si>
    <t>Harvest and Marketing Costs</t>
  </si>
  <si>
    <t>Harvester</t>
  </si>
  <si>
    <t xml:space="preserve">Harvesting (shake, sweep, haul) </t>
  </si>
  <si>
    <t>Herbicide</t>
  </si>
  <si>
    <t>Herbicides</t>
  </si>
  <si>
    <t xml:space="preserve">Herbicides </t>
  </si>
  <si>
    <t>Hour</t>
  </si>
  <si>
    <t>Hr.</t>
  </si>
  <si>
    <t>Hrs</t>
  </si>
  <si>
    <t>In reality , the higher fixed costs may begin earlier or later.</t>
  </si>
  <si>
    <t>Insecticide</t>
  </si>
  <si>
    <t>Insecticides</t>
  </si>
  <si>
    <t>Int</t>
  </si>
  <si>
    <t>Interest</t>
  </si>
  <si>
    <t>INTEREST</t>
  </si>
  <si>
    <t>INTEREST ON INVESTMENT CAPITAL</t>
  </si>
  <si>
    <t>Interest on operation</t>
  </si>
  <si>
    <t>Interest on Operation Capital</t>
  </si>
  <si>
    <t>INVESTMENT AND ANNUAL FIXED COSTS</t>
  </si>
  <si>
    <t>Irriagation</t>
  </si>
  <si>
    <t>Irrigation</t>
  </si>
  <si>
    <t>IRRIGATION: Enter 0 for none, 1 for drip, 2 for Solid Set</t>
  </si>
  <si>
    <t>Item</t>
  </si>
  <si>
    <t>ITEM</t>
  </si>
  <si>
    <t>Labor</t>
  </si>
  <si>
    <t>Land Lease</t>
  </si>
  <si>
    <t>Lbs</t>
  </si>
  <si>
    <t>Lbs.</t>
  </si>
  <si>
    <t>Life</t>
  </si>
  <si>
    <t>Lime (DOL.)</t>
  </si>
  <si>
    <t>Lime (Dolomite)</t>
  </si>
  <si>
    <t>Lime, applied</t>
  </si>
  <si>
    <t>Mach</t>
  </si>
  <si>
    <t>MARKETED</t>
  </si>
  <si>
    <t>Median</t>
  </si>
  <si>
    <t>MOTOR SIZE (HP)</t>
  </si>
  <si>
    <t>N (46% Urea)</t>
  </si>
  <si>
    <t>Net return levels (TOP ROW);</t>
  </si>
  <si>
    <t>NEW COST</t>
  </si>
  <si>
    <t>Number</t>
  </si>
  <si>
    <t>OPERATING COST PER ACRE PER YEAR</t>
  </si>
  <si>
    <t>OPERATING COSTS</t>
  </si>
  <si>
    <t>Other</t>
  </si>
  <si>
    <t>Over</t>
  </si>
  <si>
    <t>Per</t>
  </si>
  <si>
    <t>Percent</t>
  </si>
  <si>
    <t>Pess</t>
  </si>
  <si>
    <t>Phosphorus</t>
  </si>
  <si>
    <t>PIPE &amp; FITTINGS</t>
  </si>
  <si>
    <t>Potassium</t>
  </si>
  <si>
    <t>Potassium (K)</t>
  </si>
  <si>
    <t>Pre-Harvest</t>
  </si>
  <si>
    <t>Pre-Harvest Variable Costs</t>
  </si>
  <si>
    <t>Prepared by Esendugue Greg Fonsah, Lenny Wells, Will Hudson and Doug Collins</t>
  </si>
  <si>
    <t>Price</t>
  </si>
  <si>
    <t>PRICE</t>
  </si>
  <si>
    <t>Price/lb</t>
  </si>
  <si>
    <t>Purchase</t>
  </si>
  <si>
    <t>PUTBLOCK</t>
  </si>
  <si>
    <t>Quant.</t>
  </si>
  <si>
    <t>QUANT.</t>
  </si>
  <si>
    <t>Quantity</t>
  </si>
  <si>
    <t>Repair &amp; Matenance</t>
  </si>
  <si>
    <t>Repairs</t>
  </si>
  <si>
    <t>REPAIRS</t>
  </si>
  <si>
    <t>Repairs &amp; Maintenance</t>
  </si>
  <si>
    <t>Return over</t>
  </si>
  <si>
    <t>RETURNS</t>
  </si>
  <si>
    <t>RRRETURNS</t>
  </si>
  <si>
    <t xml:space="preserve">Salvage </t>
  </si>
  <si>
    <t>Shaker</t>
  </si>
  <si>
    <t>SPACING</t>
  </si>
  <si>
    <t>Speed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</si>
  <si>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</si>
  <si>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</si>
  <si>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</si>
  <si>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</si>
  <si>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</si>
  <si>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</si>
  <si>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</si>
  <si>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</si>
  <si>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</si>
  <si>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</si>
  <si>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</si>
  <si>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</si>
  <si>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FIXED COSTS</t>
  </si>
  <si>
    <t>Total Cost</t>
  </si>
  <si>
    <t>Total Establishment Costs</t>
  </si>
  <si>
    <t>Total Fixed Costs</t>
  </si>
  <si>
    <t>Total Harvest</t>
  </si>
  <si>
    <t>Total Harvesting and Marketing Costs</t>
  </si>
  <si>
    <t>Total Investment</t>
  </si>
  <si>
    <t>TOTAL INVESTMENT</t>
  </si>
  <si>
    <t>Total Operating Costs</t>
  </si>
  <si>
    <t>TOTAL OPERATING COSTS</t>
  </si>
  <si>
    <t xml:space="preserve">Total Operating Costs </t>
  </si>
  <si>
    <t>Total Pre-Harvest</t>
  </si>
  <si>
    <t>Total Variable Costs</t>
  </si>
  <si>
    <t>Tractor &amp; Equipment</t>
  </si>
  <si>
    <t>Tractors &amp; Equipment</t>
  </si>
  <si>
    <t>Tree</t>
  </si>
  <si>
    <t>Trees</t>
  </si>
  <si>
    <t>Truck</t>
  </si>
  <si>
    <t>Unit</t>
  </si>
  <si>
    <t>UNIT</t>
  </si>
  <si>
    <t>Use</t>
  </si>
  <si>
    <t>Used</t>
  </si>
  <si>
    <t>Value</t>
  </si>
  <si>
    <t>Var. Cost</t>
  </si>
  <si>
    <t>Variable Cost Budget</t>
  </si>
  <si>
    <t>Variable Costs</t>
  </si>
  <si>
    <t>VOLUME</t>
  </si>
  <si>
    <t>Wagons(4 used)</t>
  </si>
  <si>
    <t>Width</t>
  </si>
  <si>
    <t>Worst</t>
  </si>
  <si>
    <t>x</t>
  </si>
  <si>
    <t>Year</t>
  </si>
  <si>
    <t>Yield</t>
  </si>
  <si>
    <t>YIELD/AC</t>
  </si>
  <si>
    <t>Yrs.</t>
  </si>
  <si>
    <t>YRS.LIFE</t>
  </si>
  <si>
    <t>Zinc Sulfate</t>
  </si>
  <si>
    <t>Zinc Sulphate</t>
  </si>
  <si>
    <t>Zn Sulfate (ground)</t>
  </si>
  <si>
    <t>Dump carts</t>
  </si>
  <si>
    <t xml:space="preserve">Insecticide </t>
  </si>
  <si>
    <t>Land rent 1/-</t>
  </si>
  <si>
    <t xml:space="preserve">1/-  Land rents vary from $100 - $300 in Georgia.  It depends on whether it is irrigated or not. </t>
  </si>
  <si>
    <t>Irrigation (electricity)</t>
  </si>
  <si>
    <t>Limb rake</t>
  </si>
  <si>
    <t>Tubing &amp; Emitters Inline</t>
  </si>
  <si>
    <t>WELL (4")</t>
  </si>
  <si>
    <t>Pump &amp; Motor</t>
  </si>
  <si>
    <t xml:space="preserve">Filter &amp; Auto </t>
  </si>
  <si>
    <t>Misc.</t>
  </si>
  <si>
    <t xml:space="preserve">Installation </t>
  </si>
  <si>
    <t xml:space="preserve">Land prep 1/- </t>
  </si>
  <si>
    <t>1/-  Landprep vary significantly fro $0 - $1,000 per acre.</t>
  </si>
  <si>
    <t>FMO Commission</t>
  </si>
  <si>
    <t>Trees (40 x 40)  2/-</t>
  </si>
  <si>
    <t>3/-  Land lease vary from $100 - $300 depending on many factors such as irrigated or not.</t>
  </si>
  <si>
    <t>Land Lease 3/-</t>
  </si>
  <si>
    <t>Alion</t>
  </si>
  <si>
    <t>RU</t>
  </si>
  <si>
    <t>Lorsban</t>
  </si>
  <si>
    <t xml:space="preserve">Total </t>
  </si>
  <si>
    <t>Total Chemicals</t>
  </si>
  <si>
    <t>BE Yields (Lbs.)</t>
  </si>
  <si>
    <t>GA Pecan Commission</t>
  </si>
  <si>
    <t>Total Fixed Costs ($)</t>
  </si>
  <si>
    <t>Total budgeted cost per acre ($)</t>
  </si>
  <si>
    <t>BE pre-harvest variable cost per lb ($).</t>
  </si>
  <si>
    <t>BE harvest &amp; marketing cost per lb ($).</t>
  </si>
  <si>
    <t xml:space="preserve"> per lb ($)</t>
  </si>
  <si>
    <t>Opt.</t>
  </si>
  <si>
    <t>UGA, Ag and Applied Econ Dept., UGA Horticulture Dept., and Ext Coordinator, Lee Co.</t>
  </si>
  <si>
    <t>1st. Year Estimated Establishment And Maintenance</t>
  </si>
  <si>
    <t>2/-  No. of trees depend on planting distances, i.e. 40 x 40 fts = 27 trees; 50 x 25 = 35 trees; 40 x 20 = 55 trees; 60 x 30 = 24 trees</t>
  </si>
  <si>
    <t>TOTAL COSTS (TC)</t>
  </si>
  <si>
    <t>TOTAL FIXED COSTS (TFC)</t>
  </si>
  <si>
    <t>GROWERS ARE EXPECTED TO INPUT THEIR ACTUAL DATA HERE</t>
  </si>
  <si>
    <t>TOTAL FIXED COSTS ($)</t>
  </si>
  <si>
    <t xml:space="preserve"> Sprayer,herbicide*</t>
  </si>
  <si>
    <t>$/Lb</t>
  </si>
  <si>
    <t>of Profit</t>
  </si>
  <si>
    <t xml:space="preserve">                         BASE BUDGETED NET REVENUE  ($) =</t>
  </si>
  <si>
    <t>EXAMPLE OF CHEMICALS FOR PECANS</t>
  </si>
  <si>
    <t xml:space="preserve">                                                                      'ESTIMATING MACHINERY OPERATING COSTS FOR PECANS</t>
  </si>
  <si>
    <t>THIS BUDGET IS INTERACTIVE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</si>
  <si>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</si>
  <si>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</si>
  <si>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</si>
  <si>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</si>
  <si>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 xml:space="preserve">Sensitivity Analysis and Returns for Price and Yield over Total Cost </t>
  </si>
  <si>
    <t>Cost Per Acre For Georgia Pecans</t>
  </si>
  <si>
    <t xml:space="preserve">2nd Through 4th Years, Georgia Pecans </t>
  </si>
  <si>
    <t>5th Through 7th Years, Georgia Pecans</t>
  </si>
  <si>
    <t xml:space="preserve">ESTIMATED TOTAL ANNUAL FIXED MACHINERY COSTS FOR PECANS </t>
  </si>
  <si>
    <t xml:space="preserve">DRIP IRRIGATION FOR PECANS </t>
  </si>
  <si>
    <t>Net Return</t>
  </si>
  <si>
    <t>Chance</t>
  </si>
  <si>
    <t>Tractor (Hp 50)</t>
  </si>
  <si>
    <t>Sweeper</t>
  </si>
  <si>
    <t>Fixed Cost Per Acre ($)</t>
  </si>
  <si>
    <t>General Overhead &amp; Management</t>
  </si>
  <si>
    <t>PECANS - 2023</t>
  </si>
  <si>
    <t>General Overhead and Management</t>
  </si>
  <si>
    <t>GROWERS ARE ENCOURAGED TO ENTER THEIR OWN NUMBERS</t>
  </si>
  <si>
    <t>yields, selling and input price data.</t>
  </si>
  <si>
    <t xml:space="preserve">THIS BUDGET IS INTERACTIVE </t>
  </si>
  <si>
    <t>PECANS RETURNS</t>
  </si>
  <si>
    <t>Tractor (Hp 95)</t>
  </si>
  <si>
    <t xml:space="preserve">GEORGIA PECAN PRODUCTION BUDGET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</si>
</sst>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0.000"/>
    <numFmt numFmtId="167" formatCode="[$$-409]\ #,##0"/>
    <numFmt numFmtId="168" formatCode="0.0"/>
    <numFmt numFmtId="169" formatCode="[$$-409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</numFmts>
  <fonts count="5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45"/>
      <name val="Arial"/>
      <family val="2"/>
    </font>
    <font>
      <sz val="11"/>
      <color indexed="36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0"/>
      <color indexed="11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5" fillId="2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4"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64" fontId="0" fillId="2" borderId="10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2" borderId="10" xfId="0" applyNumberFormat="1" applyFont="1" applyFill="1" applyBorder="1" applyAlignment="1">
      <alignment horizontal="center"/>
    </xf>
    <xf numFmtId="168" fontId="0" fillId="2" borderId="10" xfId="0" applyNumberFormat="1" applyFill="1" applyBorder="1" applyAlignment="1">
      <alignment horizontal="center"/>
    </xf>
    <xf numFmtId="2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/>
    </xf>
    <xf numFmtId="0" fontId="7" fillId="35" borderId="1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right"/>
    </xf>
    <xf numFmtId="1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2" borderId="10" xfId="0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0" fontId="50" fillId="2" borderId="10" xfId="0" applyFont="1" applyFill="1" applyBorder="1" applyAlignment="1">
      <alignment/>
    </xf>
    <xf numFmtId="164" fontId="3" fillId="2" borderId="10" xfId="0" applyNumberFormat="1" applyFont="1" applyFill="1" applyBorder="1" applyAlignment="1">
      <alignment horizontal="right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1" fontId="3" fillId="2" borderId="12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1" fontId="0" fillId="2" borderId="11" xfId="0" applyNumberForma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right"/>
    </xf>
    <xf numFmtId="1" fontId="3" fillId="2" borderId="13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51" fillId="2" borderId="10" xfId="0" applyFont="1" applyFill="1" applyBorder="1" applyAlignment="1">
      <alignment/>
    </xf>
    <xf numFmtId="164" fontId="0" fillId="2" borderId="11" xfId="0" applyNumberForma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2" fontId="0" fillId="2" borderId="11" xfId="0" applyNumberFormat="1" applyFill="1" applyBorder="1" applyAlignment="1">
      <alignment horizontal="center"/>
    </xf>
    <xf numFmtId="167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3" fontId="0" fillId="2" borderId="10" xfId="0" applyNumberFormat="1" applyFont="1" applyFill="1" applyBorder="1" applyAlignment="1">
      <alignment horizontal="center"/>
    </xf>
    <xf numFmtId="0" fontId="52" fillId="2" borderId="10" xfId="0" applyFont="1" applyFill="1" applyBorder="1" applyAlignment="1">
      <alignment/>
    </xf>
    <xf numFmtId="8" fontId="0" fillId="2" borderId="10" xfId="0" applyNumberFormat="1" applyFill="1" applyBorder="1" applyAlignment="1">
      <alignment/>
    </xf>
    <xf numFmtId="9" fontId="0" fillId="2" borderId="10" xfId="0" applyNumberFormat="1" applyFill="1" applyBorder="1" applyAlignment="1">
      <alignment/>
    </xf>
    <xf numFmtId="2" fontId="50" fillId="2" borderId="10" xfId="0" applyNumberFormat="1" applyFont="1" applyFill="1" applyBorder="1" applyAlignment="1">
      <alignment/>
    </xf>
    <xf numFmtId="8" fontId="0" fillId="2" borderId="10" xfId="0" applyNumberFormat="1" applyFont="1" applyFill="1" applyBorder="1" applyAlignment="1">
      <alignment/>
    </xf>
    <xf numFmtId="9" fontId="50" fillId="2" borderId="10" xfId="0" applyNumberFormat="1" applyFont="1" applyFill="1" applyBorder="1" applyAlignment="1">
      <alignment/>
    </xf>
    <xf numFmtId="8" fontId="50" fillId="2" borderId="10" xfId="0" applyNumberFormat="1" applyFont="1" applyFill="1" applyBorder="1" applyAlignment="1">
      <alignment/>
    </xf>
    <xf numFmtId="0" fontId="51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3" fontId="51" fillId="2" borderId="10" xfId="0" applyNumberFormat="1" applyFont="1" applyFill="1" applyBorder="1" applyAlignment="1">
      <alignment horizontal="center"/>
    </xf>
    <xf numFmtId="1" fontId="0" fillId="2" borderId="12" xfId="0" applyNumberFormat="1" applyFill="1" applyBorder="1" applyAlignment="1">
      <alignment/>
    </xf>
    <xf numFmtId="9" fontId="3" fillId="2" borderId="12" xfId="0" applyNumberFormat="1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50" fillId="2" borderId="10" xfId="0" applyNumberFormat="1" applyFont="1" applyFill="1" applyBorder="1" applyAlignment="1">
      <alignment horizontal="center"/>
    </xf>
    <xf numFmtId="0" fontId="50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2" fontId="51" fillId="2" borderId="0" xfId="0" applyNumberFormat="1" applyFont="1" applyFill="1" applyBorder="1" applyAlignment="1">
      <alignment/>
    </xf>
    <xf numFmtId="2" fontId="50" fillId="2" borderId="0" xfId="0" applyNumberFormat="1" applyFont="1" applyFill="1" applyBorder="1" applyAlignment="1">
      <alignment/>
    </xf>
    <xf numFmtId="2" fontId="50" fillId="2" borderId="0" xfId="0" applyNumberFormat="1" applyFont="1" applyFill="1" applyAlignment="1">
      <alignment/>
    </xf>
    <xf numFmtId="1" fontId="0" fillId="2" borderId="10" xfId="0" applyNumberFormat="1" applyFont="1" applyFill="1" applyBorder="1" applyAlignment="1">
      <alignment horizontal="center"/>
    </xf>
    <xf numFmtId="10" fontId="50" fillId="2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" fontId="0" fillId="2" borderId="10" xfId="0" applyNumberFormat="1" applyFill="1" applyBorder="1" applyAlignment="1">
      <alignment horizontal="right"/>
    </xf>
    <xf numFmtId="2" fontId="51" fillId="36" borderId="0" xfId="0" applyNumberFormat="1" applyFont="1" applyFill="1" applyAlignment="1">
      <alignment vertical="center"/>
    </xf>
    <xf numFmtId="2" fontId="50" fillId="36" borderId="0" xfId="0" applyNumberFormat="1" applyFont="1" applyFill="1" applyAlignment="1">
      <alignment vertical="center"/>
    </xf>
    <xf numFmtId="2" fontId="53" fillId="37" borderId="0" xfId="0" applyNumberFormat="1" applyFont="1" applyFill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1" fillId="36" borderId="10" xfId="0" applyFont="1" applyFill="1" applyBorder="1" applyAlignment="1">
      <alignment vertical="center"/>
    </xf>
    <xf numFmtId="2" fontId="54" fillId="37" borderId="0" xfId="0" applyNumberFormat="1" applyFont="1" applyFill="1" applyAlignment="1">
      <alignment horizontal="left"/>
    </xf>
    <xf numFmtId="0" fontId="4" fillId="2" borderId="10" xfId="0" applyFont="1" applyFill="1" applyBorder="1" applyAlignment="1">
      <alignment horizontal="center"/>
    </xf>
    <xf numFmtId="2" fontId="54" fillId="37" borderId="0" xfId="0" applyNumberFormat="1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2" fontId="53" fillId="37" borderId="0" xfId="0" applyNumberFormat="1" applyFont="1" applyFill="1" applyAlignment="1">
      <alignment horizontal="center"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/>
    </xf>
    <xf numFmtId="2" fontId="53" fillId="37" borderId="0" xfId="0" applyNumberFormat="1" applyFont="1" applyFill="1" applyAlignment="1">
      <alignment horizontal="left"/>
    </xf>
    <xf numFmtId="9" fontId="3" fillId="2" borderId="10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left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00FF"/>
      <rgbColor rgb="00000080"/>
      <rgbColor rgb="00FFFFFF"/>
      <rgbColor rgb="00B0FFFF"/>
      <rgbColor rgb="00FFB0B0"/>
      <rgbColor rgb="00FFB0FF"/>
      <rgbColor rgb="00FFA0D0"/>
      <rgbColor rgb="00FFFFBF"/>
      <rgbColor rgb="00BFFFFF"/>
      <rgbColor rgb="00E6E6E6"/>
      <rgbColor rgb="00FF0080"/>
      <rgbColor rgb="00FFFF00"/>
      <rgbColor rgb="0000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127</xdr:row>
      <xdr:rowOff>0</xdr:rowOff>
    </xdr:from>
    <xdr:to>
      <xdr:col>8</xdr:col>
      <xdr:colOff>190500</xdr:colOff>
      <xdr:row>130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20945475"/>
          <a:ext cx="2114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46</xdr:row>
      <xdr:rowOff>0</xdr:rowOff>
    </xdr:from>
    <xdr:to>
      <xdr:col>5</xdr:col>
      <xdr:colOff>1228725</xdr:colOff>
      <xdr:row>49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772400"/>
          <a:ext cx="2095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</xdr:row>
      <xdr:rowOff>0</xdr:rowOff>
    </xdr:from>
    <xdr:to>
      <xdr:col>6</xdr:col>
      <xdr:colOff>219075</xdr:colOff>
      <xdr:row>46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7286625"/>
          <a:ext cx="2181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43</xdr:row>
      <xdr:rowOff>0</xdr:rowOff>
    </xdr:from>
    <xdr:to>
      <xdr:col>6</xdr:col>
      <xdr:colOff>571500</xdr:colOff>
      <xdr:row>46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286625"/>
          <a:ext cx="2200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45</xdr:row>
      <xdr:rowOff>0</xdr:rowOff>
    </xdr:from>
    <xdr:to>
      <xdr:col>6</xdr:col>
      <xdr:colOff>857250</xdr:colOff>
      <xdr:row>48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7600950"/>
          <a:ext cx="2076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45</xdr:row>
      <xdr:rowOff>0</xdr:rowOff>
    </xdr:from>
    <xdr:to>
      <xdr:col>8</xdr:col>
      <xdr:colOff>76200</xdr:colOff>
      <xdr:row>48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742950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60</xdr:row>
      <xdr:rowOff>0</xdr:rowOff>
    </xdr:from>
    <xdr:to>
      <xdr:col>7</xdr:col>
      <xdr:colOff>371475</xdr:colOff>
      <xdr:row>63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9896475"/>
          <a:ext cx="2057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38</xdr:row>
      <xdr:rowOff>0</xdr:rowOff>
    </xdr:from>
    <xdr:to>
      <xdr:col>7</xdr:col>
      <xdr:colOff>152400</xdr:colOff>
      <xdr:row>41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6238875"/>
          <a:ext cx="2152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3:AQ146"/>
  <sheetViews>
    <sheetView tabSelected="1" zoomScale="89" zoomScaleNormal="89" workbookViewId="0" topLeftCell="A1">
      <selection activeCell="C35" sqref="C35"/>
    </sheetView>
  </sheetViews>
  <sheetFormatPr defaultColWidth="9.140625" defaultRowHeight="12.75"/>
  <cols>
    <col min="1" max="1" width="5.28125" style="1" customWidth="1"/>
    <col min="2" max="2" width="8.28125" style="1" customWidth="1"/>
    <col min="3" max="3" width="8.7109375" style="1" customWidth="1"/>
    <col min="4" max="4" width="8.421875" style="1" customWidth="1"/>
    <col min="5" max="5" width="16.8515625" style="1" customWidth="1"/>
    <col min="6" max="6" width="14.28125" style="1" customWidth="1"/>
    <col min="7" max="7" width="14.140625" style="1" customWidth="1"/>
    <col min="8" max="8" width="14.7109375" style="1" customWidth="1"/>
    <col min="9" max="9" width="15.421875" style="1" customWidth="1"/>
    <col min="10" max="10" width="14.8515625" style="1" customWidth="1"/>
    <col min="11" max="11" width="14.28125" style="1" customWidth="1"/>
    <col min="12" max="12" width="11.7109375" style="1" customWidth="1"/>
    <col min="13" max="17" width="9.140625" style="1" customWidth="1"/>
    <col min="18" max="19" width="7.7109375" style="1" customWidth="1"/>
    <col min="20" max="31" width="9.140625" style="1" customWidth="1"/>
    <col min="32" max="32" width="3.28125" style="1" customWidth="1"/>
    <col min="33" max="33" width="1.57421875" style="1" customWidth="1"/>
    <col min="34" max="34" width="2.421875" style="1" customWidth="1"/>
    <col min="35" max="35" width="54.7109375" style="1" customWidth="1"/>
    <col min="36" max="36" width="2.421875" style="1" customWidth="1"/>
    <col min="37" max="37" width="1.57421875" style="1" customWidth="1"/>
    <col min="38" max="16384" width="9.140625" style="1" customWidth="1"/>
  </cols>
  <sheetData>
    <row r="3" spans="4:10" ht="12.75">
      <c r="D3" s="2"/>
      <c r="E3" s="103" t="s">
        <v>337</v>
      </c>
      <c r="F3" s="2"/>
      <c r="G3" s="2"/>
      <c r="H3" s="2"/>
      <c r="I3" s="2"/>
      <c r="J3" s="2"/>
    </row>
    <row r="4" spans="1:11" ht="12.75">
      <c r="A4" s="1" t="s">
        <v>3</v>
      </c>
      <c r="D4" s="2" t="s">
        <v>198</v>
      </c>
      <c r="E4" s="2"/>
      <c r="F4" s="2"/>
      <c r="G4" s="2"/>
      <c r="H4" s="2"/>
      <c r="I4" s="2"/>
      <c r="J4" s="2"/>
      <c r="K4" s="1" t="s">
        <v>0</v>
      </c>
    </row>
    <row r="5" spans="4:11" ht="12.75">
      <c r="D5" s="61" t="s">
        <v>300</v>
      </c>
      <c r="E5" s="2"/>
      <c r="F5" s="2"/>
      <c r="G5" s="2"/>
      <c r="H5" s="2"/>
      <c r="I5" s="2"/>
      <c r="J5" s="3" t="s">
        <v>0</v>
      </c>
      <c r="K5" s="1" t="s">
        <v>0</v>
      </c>
    </row>
    <row r="6" spans="4:11" ht="12.75">
      <c r="D6" s="2"/>
      <c r="E6" s="2"/>
      <c r="F6" s="2"/>
      <c r="G6" s="2"/>
      <c r="H6" s="2"/>
      <c r="I6" s="2"/>
      <c r="J6" s="2"/>
      <c r="K6" s="1" t="s">
        <v>0</v>
      </c>
    </row>
    <row r="7" spans="4:11" ht="12.75">
      <c r="D7" s="2">
        <v>2023</v>
      </c>
      <c r="E7" s="2"/>
      <c r="F7" s="2"/>
      <c r="G7" s="2"/>
      <c r="H7" s="2"/>
      <c r="I7" s="2"/>
      <c r="J7" s="2"/>
      <c r="K7" s="1" t="s">
        <v>0</v>
      </c>
    </row>
    <row r="8" ht="12.75">
      <c r="K8" s="1" t="s">
        <v>0</v>
      </c>
    </row>
    <row r="9" spans="4:11" ht="17.25">
      <c r="D9" s="81" t="s">
        <v>313</v>
      </c>
      <c r="J9" s="4" t="s">
        <v>0</v>
      </c>
      <c r="K9" s="1" t="s">
        <v>0</v>
      </c>
    </row>
    <row r="10" spans="1:12" ht="21">
      <c r="A10" s="112" t="s">
        <v>332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4:10" ht="17.25">
      <c r="D11" s="81"/>
      <c r="J11" s="4"/>
    </row>
    <row r="12" spans="2:10" ht="12.75">
      <c r="B12" s="105" t="s">
        <v>314</v>
      </c>
      <c r="C12" s="106"/>
      <c r="D12" s="106"/>
      <c r="E12" s="106"/>
      <c r="F12" s="106"/>
      <c r="G12" s="106"/>
      <c r="H12" s="106"/>
      <c r="I12" s="106"/>
      <c r="J12" s="100"/>
    </row>
    <row r="13" spans="2:10" ht="12.75">
      <c r="B13" s="106" t="s">
        <v>315</v>
      </c>
      <c r="C13" s="106"/>
      <c r="D13" s="106"/>
      <c r="E13" s="106"/>
      <c r="F13" s="106"/>
      <c r="G13" s="106"/>
      <c r="H13" s="106"/>
      <c r="I13" s="106"/>
      <c r="J13" s="100"/>
    </row>
    <row r="14" spans="2:10" ht="12.75">
      <c r="B14" s="106" t="s">
        <v>316</v>
      </c>
      <c r="C14" s="106"/>
      <c r="D14" s="106"/>
      <c r="E14" s="106"/>
      <c r="F14" s="106"/>
      <c r="G14" s="106"/>
      <c r="H14" s="106"/>
      <c r="I14" s="106"/>
      <c r="J14" s="100"/>
    </row>
    <row r="15" spans="2:10" ht="12.75">
      <c r="B15" s="100" t="s">
        <v>333</v>
      </c>
      <c r="C15" s="100"/>
      <c r="D15" s="100"/>
      <c r="E15" s="100"/>
      <c r="F15" s="100"/>
      <c r="G15" s="100"/>
      <c r="H15" s="100"/>
      <c r="I15" s="100"/>
      <c r="J15" s="100"/>
    </row>
    <row r="16" ht="12.75">
      <c r="A16" s="1" t="s">
        <v>85</v>
      </c>
    </row>
    <row r="17" spans="6:11" ht="12.75">
      <c r="F17" s="13"/>
      <c r="K17" s="1" t="s">
        <v>0</v>
      </c>
    </row>
    <row r="18" spans="5:20" ht="15">
      <c r="E18" s="108" t="s">
        <v>330</v>
      </c>
      <c r="F18" s="109"/>
      <c r="G18" s="109"/>
      <c r="K18" s="1" t="s">
        <v>0</v>
      </c>
      <c r="O18" s="31"/>
      <c r="P18" s="97"/>
      <c r="Q18" s="97"/>
      <c r="R18" s="32"/>
      <c r="S18" s="97"/>
      <c r="T18" s="97"/>
    </row>
    <row r="20" spans="5:18" ht="12.75">
      <c r="E20" s="1" t="s">
        <v>254</v>
      </c>
      <c r="K20" s="1" t="s">
        <v>0</v>
      </c>
      <c r="N20" s="7"/>
      <c r="O20" s="7"/>
      <c r="P20" s="9"/>
      <c r="Q20" s="7"/>
      <c r="R20" s="7"/>
    </row>
    <row r="21" spans="5:11" ht="12.75">
      <c r="E21" s="1" t="s">
        <v>5</v>
      </c>
      <c r="I21" s="5">
        <v>1</v>
      </c>
      <c r="K21" s="1" t="s">
        <v>2</v>
      </c>
    </row>
    <row r="22" spans="4:11" ht="12.75">
      <c r="D22" s="1" t="s">
        <v>166</v>
      </c>
      <c r="I22" s="5">
        <v>1</v>
      </c>
      <c r="K22" s="1" t="s">
        <v>0</v>
      </c>
    </row>
    <row r="23" spans="11:20" ht="12.75">
      <c r="K23" s="1" t="s">
        <v>0</v>
      </c>
      <c r="O23" s="31"/>
      <c r="P23" s="32"/>
      <c r="Q23" s="32"/>
      <c r="R23" s="32"/>
      <c r="S23" s="32"/>
      <c r="T23" s="32"/>
    </row>
    <row r="24" spans="2:11" ht="12.75">
      <c r="B24" s="13"/>
      <c r="C24" s="13"/>
      <c r="D24" s="13"/>
      <c r="E24" s="17" t="s">
        <v>109</v>
      </c>
      <c r="F24" s="60" t="s">
        <v>299</v>
      </c>
      <c r="G24" s="17" t="s">
        <v>179</v>
      </c>
      <c r="H24" s="9" t="s">
        <v>191</v>
      </c>
      <c r="I24" s="9" t="s">
        <v>259</v>
      </c>
      <c r="J24" s="4" t="s">
        <v>0</v>
      </c>
      <c r="K24" s="1" t="s">
        <v>0</v>
      </c>
    </row>
    <row r="25" spans="5:18" ht="12.75">
      <c r="E25" s="6"/>
      <c r="F25" s="6"/>
      <c r="G25" s="6"/>
      <c r="H25" s="6"/>
      <c r="I25" s="6"/>
      <c r="K25" s="1" t="s">
        <v>0</v>
      </c>
      <c r="N25" s="7"/>
      <c r="O25" s="7"/>
      <c r="P25" s="32"/>
      <c r="Q25" s="7"/>
      <c r="R25" s="7"/>
    </row>
    <row r="26" spans="2:20" ht="12.75">
      <c r="B26" s="31" t="s">
        <v>83</v>
      </c>
      <c r="C26" s="31"/>
      <c r="D26" s="31"/>
      <c r="E26" s="101">
        <v>1680</v>
      </c>
      <c r="F26" s="101">
        <v>1540</v>
      </c>
      <c r="G26" s="75">
        <v>1400</v>
      </c>
      <c r="H26" s="101">
        <v>1260</v>
      </c>
      <c r="I26" s="101">
        <v>1120</v>
      </c>
      <c r="P26" s="75"/>
      <c r="Q26" s="75"/>
      <c r="R26" s="75"/>
      <c r="S26" s="75"/>
      <c r="T26" s="75"/>
    </row>
    <row r="27" spans="2:9" ht="12.75">
      <c r="B27" s="31" t="s">
        <v>81</v>
      </c>
      <c r="C27" s="31"/>
      <c r="D27" s="31"/>
      <c r="E27" s="97">
        <v>2.22</v>
      </c>
      <c r="F27" s="97">
        <v>2.04</v>
      </c>
      <c r="G27" s="32">
        <v>1.85</v>
      </c>
      <c r="H27" s="97">
        <v>1.67</v>
      </c>
      <c r="I27" s="97">
        <v>1.48</v>
      </c>
    </row>
    <row r="28" spans="11:19" ht="12.75">
      <c r="K28" s="1" t="s">
        <v>0</v>
      </c>
      <c r="S28" s="1" t="s">
        <v>0</v>
      </c>
    </row>
    <row r="29" spans="2:11" ht="12.75">
      <c r="B29" s="17" t="s">
        <v>167</v>
      </c>
      <c r="C29" s="17"/>
      <c r="D29" s="17"/>
      <c r="E29" s="17"/>
      <c r="F29" s="17" t="s">
        <v>248</v>
      </c>
      <c r="G29" s="17" t="s">
        <v>204</v>
      </c>
      <c r="H29" s="9" t="s">
        <v>199</v>
      </c>
      <c r="I29" s="8" t="s">
        <v>69</v>
      </c>
      <c r="J29" s="14" t="s">
        <v>227</v>
      </c>
      <c r="K29" s="1" t="s">
        <v>0</v>
      </c>
    </row>
    <row r="30" ht="12.75">
      <c r="K30" s="1" t="s">
        <v>0</v>
      </c>
    </row>
    <row r="31" spans="2:9" ht="12.75">
      <c r="B31" s="1" t="s">
        <v>255</v>
      </c>
      <c r="I31" s="11" t="s">
        <v>0</v>
      </c>
    </row>
    <row r="32" spans="3:12" ht="12.75">
      <c r="C32" s="1" t="s">
        <v>176</v>
      </c>
      <c r="F32" s="6" t="s">
        <v>226</v>
      </c>
      <c r="G32" s="28">
        <v>1</v>
      </c>
      <c r="H32" s="28">
        <v>60</v>
      </c>
      <c r="I32" s="28">
        <f aca="true" t="shared" si="0" ref="I32:I46">G32*H32</f>
        <v>60</v>
      </c>
      <c r="J32" s="28">
        <f>I32*I21</f>
        <v>60</v>
      </c>
      <c r="K32" s="6"/>
      <c r="L32" s="47"/>
    </row>
    <row r="33" spans="3:12" ht="12.75">
      <c r="C33" s="1" t="s">
        <v>181</v>
      </c>
      <c r="F33" s="6" t="s">
        <v>172</v>
      </c>
      <c r="G33" s="28">
        <v>125</v>
      </c>
      <c r="H33" s="28">
        <v>1.108</v>
      </c>
      <c r="I33" s="28">
        <f t="shared" si="0"/>
        <v>138.5</v>
      </c>
      <c r="J33" s="28">
        <f>I33*I21</f>
        <v>138.5</v>
      </c>
      <c r="K33" s="6" t="s">
        <v>0</v>
      </c>
      <c r="L33" s="102"/>
    </row>
    <row r="34" spans="3:12" ht="12.75">
      <c r="C34" s="1" t="s">
        <v>192</v>
      </c>
      <c r="F34" s="6" t="s">
        <v>172</v>
      </c>
      <c r="G34" s="28">
        <v>40</v>
      </c>
      <c r="H34" s="28">
        <v>0.8</v>
      </c>
      <c r="I34" s="28">
        <f t="shared" si="0"/>
        <v>32</v>
      </c>
      <c r="J34" s="28">
        <f>I34*I$22</f>
        <v>32</v>
      </c>
      <c r="K34" s="6"/>
      <c r="L34" s="102"/>
    </row>
    <row r="35" spans="3:12" ht="12.75">
      <c r="C35" s="1" t="s">
        <v>194</v>
      </c>
      <c r="F35" s="6" t="s">
        <v>172</v>
      </c>
      <c r="G35" s="28">
        <v>60</v>
      </c>
      <c r="H35" s="40">
        <v>0.8</v>
      </c>
      <c r="I35" s="28">
        <f t="shared" si="0"/>
        <v>48</v>
      </c>
      <c r="J35" s="28">
        <f>I35*I$22</f>
        <v>48</v>
      </c>
      <c r="K35" s="6"/>
      <c r="L35" s="102"/>
    </row>
    <row r="36" spans="3:12" ht="12.75">
      <c r="C36" s="1" t="s">
        <v>268</v>
      </c>
      <c r="F36" s="6" t="s">
        <v>172</v>
      </c>
      <c r="G36" s="28">
        <v>5</v>
      </c>
      <c r="H36" s="40">
        <v>2.4</v>
      </c>
      <c r="I36" s="28">
        <f t="shared" si="0"/>
        <v>12</v>
      </c>
      <c r="J36" s="28">
        <f>I36*I$22</f>
        <v>12</v>
      </c>
      <c r="K36" s="6"/>
      <c r="L36" s="47"/>
    </row>
    <row r="37" spans="3:12" ht="12.75">
      <c r="C37" s="1" t="s">
        <v>138</v>
      </c>
      <c r="F37" s="6" t="s">
        <v>105</v>
      </c>
      <c r="G37" s="28">
        <v>3</v>
      </c>
      <c r="H37" s="40">
        <v>2</v>
      </c>
      <c r="I37" s="28">
        <f t="shared" si="0"/>
        <v>6</v>
      </c>
      <c r="J37" s="28">
        <f>I37*I$22</f>
        <v>6</v>
      </c>
      <c r="K37" s="6"/>
      <c r="L37" s="47"/>
    </row>
    <row r="38" spans="3:12" ht="12.75">
      <c r="C38" s="1" t="s">
        <v>137</v>
      </c>
      <c r="F38" s="6" t="s">
        <v>105</v>
      </c>
      <c r="G38" s="28">
        <v>3</v>
      </c>
      <c r="H38" s="40">
        <v>1.3</v>
      </c>
      <c r="I38" s="28">
        <f t="shared" si="0"/>
        <v>3.9000000000000004</v>
      </c>
      <c r="J38" s="28">
        <f>I38*I$22</f>
        <v>3.9000000000000004</v>
      </c>
      <c r="K38" s="6"/>
      <c r="L38" s="47"/>
    </row>
    <row r="39" spans="3:12" ht="12.75">
      <c r="C39" s="1" t="s">
        <v>142</v>
      </c>
      <c r="F39" s="6" t="s">
        <v>105</v>
      </c>
      <c r="G39" s="28">
        <v>10</v>
      </c>
      <c r="H39" s="40">
        <v>18</v>
      </c>
      <c r="I39" s="28">
        <f t="shared" si="0"/>
        <v>180</v>
      </c>
      <c r="J39" s="28">
        <f>I39*I21</f>
        <v>180</v>
      </c>
      <c r="K39" s="6"/>
      <c r="L39" s="102"/>
    </row>
    <row r="40" spans="3:12" ht="12.75">
      <c r="C40" s="1" t="s">
        <v>150</v>
      </c>
      <c r="F40" s="6" t="s">
        <v>143</v>
      </c>
      <c r="G40" s="28">
        <v>4</v>
      </c>
      <c r="H40" s="40">
        <v>38.03</v>
      </c>
      <c r="I40" s="28">
        <f t="shared" si="0"/>
        <v>152.12</v>
      </c>
      <c r="J40" s="28">
        <f>I40*I$22</f>
        <v>152.12</v>
      </c>
      <c r="K40" s="6"/>
      <c r="L40" s="102"/>
    </row>
    <row r="41" spans="3:12" ht="12.75">
      <c r="C41" s="1" t="s">
        <v>270</v>
      </c>
      <c r="F41" s="6" t="s">
        <v>105</v>
      </c>
      <c r="G41" s="28">
        <v>8</v>
      </c>
      <c r="H41" s="28">
        <v>14.97</v>
      </c>
      <c r="I41" s="28">
        <f t="shared" si="0"/>
        <v>119.76</v>
      </c>
      <c r="J41" s="28">
        <f>I41*I$22</f>
        <v>119.76</v>
      </c>
      <c r="K41" s="6"/>
      <c r="L41" s="86"/>
    </row>
    <row r="42" spans="3:12" ht="12.75">
      <c r="C42" s="1" t="s">
        <v>169</v>
      </c>
      <c r="F42" s="6" t="s">
        <v>152</v>
      </c>
      <c r="G42" s="28">
        <v>25</v>
      </c>
      <c r="H42" s="28">
        <v>13.67</v>
      </c>
      <c r="I42" s="28">
        <f t="shared" si="0"/>
        <v>341.75</v>
      </c>
      <c r="J42" s="28">
        <f>I42*I$22</f>
        <v>341.75</v>
      </c>
      <c r="K42" s="6"/>
      <c r="L42" s="86"/>
    </row>
    <row r="43" spans="3:12" ht="12.75">
      <c r="C43" s="36" t="s">
        <v>55</v>
      </c>
      <c r="F43" s="6" t="s">
        <v>143</v>
      </c>
      <c r="G43" s="28">
        <v>33</v>
      </c>
      <c r="H43" s="28">
        <v>4.8</v>
      </c>
      <c r="I43" s="28">
        <f t="shared" si="0"/>
        <v>158.4</v>
      </c>
      <c r="J43" s="28">
        <f>I43*I21</f>
        <v>158.4</v>
      </c>
      <c r="K43" s="6"/>
      <c r="L43" s="102"/>
    </row>
    <row r="44" spans="3:12" ht="12.75">
      <c r="C44" s="1" t="s">
        <v>60</v>
      </c>
      <c r="F44" s="6" t="s">
        <v>95</v>
      </c>
      <c r="G44" s="28">
        <v>1</v>
      </c>
      <c r="H44" s="28">
        <v>55</v>
      </c>
      <c r="I44" s="28">
        <f t="shared" si="0"/>
        <v>55</v>
      </c>
      <c r="J44" s="28">
        <f>I44*I21</f>
        <v>55</v>
      </c>
      <c r="K44" s="6"/>
      <c r="L44" s="47"/>
    </row>
    <row r="45" spans="3:12" ht="12.75">
      <c r="C45" s="1" t="s">
        <v>271</v>
      </c>
      <c r="F45" s="6" t="s">
        <v>95</v>
      </c>
      <c r="G45" s="28">
        <v>1</v>
      </c>
      <c r="H45" s="28">
        <v>0</v>
      </c>
      <c r="I45" s="28">
        <f t="shared" si="0"/>
        <v>0</v>
      </c>
      <c r="J45" s="28">
        <f>I45*I21</f>
        <v>0</v>
      </c>
      <c r="K45" s="6"/>
      <c r="L45" s="47"/>
    </row>
    <row r="46" spans="3:12" ht="12.75">
      <c r="C46" s="1" t="s">
        <v>273</v>
      </c>
      <c r="F46" s="6" t="s">
        <v>95</v>
      </c>
      <c r="G46" s="28">
        <v>1</v>
      </c>
      <c r="H46" s="28">
        <v>100</v>
      </c>
      <c r="I46" s="28">
        <f t="shared" si="0"/>
        <v>100</v>
      </c>
      <c r="J46" s="28">
        <f>I46*I21</f>
        <v>100</v>
      </c>
      <c r="K46" s="12" t="s">
        <v>0</v>
      </c>
      <c r="L46" s="47"/>
    </row>
    <row r="47" spans="3:12" ht="12.75">
      <c r="C47" s="1" t="s">
        <v>162</v>
      </c>
      <c r="F47" s="6" t="s">
        <v>68</v>
      </c>
      <c r="G47" s="28">
        <f>SUM(I32:I45)</f>
        <v>1307.43</v>
      </c>
      <c r="H47" s="28">
        <v>0.075</v>
      </c>
      <c r="I47" s="28">
        <f>G47*H47/2</f>
        <v>49.028625</v>
      </c>
      <c r="J47" s="28">
        <f>I47*I21</f>
        <v>49.028625</v>
      </c>
      <c r="K47" s="6" t="s">
        <v>0</v>
      </c>
      <c r="L47" s="47"/>
    </row>
    <row r="48" spans="2:12" ht="13.5" thickBot="1">
      <c r="B48" s="13" t="s">
        <v>197</v>
      </c>
      <c r="F48" s="6"/>
      <c r="G48" s="6"/>
      <c r="H48" s="6"/>
      <c r="I48" s="50">
        <f>SUM(I31:I46)</f>
        <v>1407.43</v>
      </c>
      <c r="J48" s="55">
        <f>I48*I21</f>
        <v>1407.43</v>
      </c>
      <c r="K48" s="12" t="s">
        <v>0</v>
      </c>
      <c r="L48" s="47"/>
    </row>
    <row r="49" spans="9:11" ht="13.5" thickTop="1">
      <c r="I49" s="49"/>
      <c r="J49" s="49"/>
      <c r="K49" s="12" t="s">
        <v>0</v>
      </c>
    </row>
    <row r="50" spans="2:11" ht="12.75">
      <c r="B50" s="31" t="s">
        <v>145</v>
      </c>
      <c r="C50" s="36"/>
      <c r="D50" s="36"/>
      <c r="E50" s="36"/>
      <c r="F50" s="17" t="s">
        <v>248</v>
      </c>
      <c r="G50" s="17" t="s">
        <v>204</v>
      </c>
      <c r="H50" s="9" t="s">
        <v>199</v>
      </c>
      <c r="I50" s="8" t="s">
        <v>69</v>
      </c>
      <c r="J50" s="14" t="s">
        <v>227</v>
      </c>
      <c r="K50" s="12" t="s">
        <v>0</v>
      </c>
    </row>
    <row r="51" spans="2:11" ht="12.75">
      <c r="B51" s="36"/>
      <c r="C51" s="36" t="s">
        <v>147</v>
      </c>
      <c r="D51" s="36"/>
      <c r="E51" s="36"/>
      <c r="F51" s="37" t="s">
        <v>95</v>
      </c>
      <c r="G51" s="45">
        <v>1</v>
      </c>
      <c r="H51" s="45">
        <v>147</v>
      </c>
      <c r="I51" s="45">
        <f>G51*H51</f>
        <v>147</v>
      </c>
      <c r="J51" s="46">
        <f>I51*I21</f>
        <v>147</v>
      </c>
      <c r="K51" s="12" t="s">
        <v>0</v>
      </c>
    </row>
    <row r="52" spans="2:11" ht="12.75">
      <c r="B52" s="36"/>
      <c r="C52" s="36" t="s">
        <v>118</v>
      </c>
      <c r="D52" s="36"/>
      <c r="E52" s="36"/>
      <c r="F52" s="37" t="s">
        <v>172</v>
      </c>
      <c r="G52" s="44">
        <f>MEDY</f>
        <v>1400</v>
      </c>
      <c r="H52" s="45">
        <v>0.13</v>
      </c>
      <c r="I52" s="45">
        <f>H52*G52</f>
        <v>182</v>
      </c>
      <c r="J52" s="46">
        <f>I52*I21</f>
        <v>182</v>
      </c>
      <c r="K52" s="12" t="s">
        <v>0</v>
      </c>
    </row>
    <row r="53" spans="2:11" ht="12.75">
      <c r="B53" s="36"/>
      <c r="C53" s="36" t="s">
        <v>169</v>
      </c>
      <c r="D53" s="36"/>
      <c r="E53" s="36"/>
      <c r="F53" s="37" t="s">
        <v>152</v>
      </c>
      <c r="G53" s="45">
        <v>4</v>
      </c>
      <c r="H53" s="45">
        <f>H42</f>
        <v>13.67</v>
      </c>
      <c r="I53" s="45">
        <f>G53*H53</f>
        <v>54.68</v>
      </c>
      <c r="J53" s="46">
        <f>I53*I21</f>
        <v>54.68</v>
      </c>
      <c r="K53" s="12" t="s">
        <v>0</v>
      </c>
    </row>
    <row r="54" spans="2:11" ht="12.75">
      <c r="B54" s="36"/>
      <c r="C54" s="36" t="s">
        <v>112</v>
      </c>
      <c r="D54" s="36"/>
      <c r="E54" s="36"/>
      <c r="F54" s="37" t="s">
        <v>172</v>
      </c>
      <c r="G54" s="44">
        <f>MEDY</f>
        <v>1400</v>
      </c>
      <c r="H54" s="45">
        <v>0.021</v>
      </c>
      <c r="I54" s="45">
        <f>G54*H54</f>
        <v>29.400000000000002</v>
      </c>
      <c r="J54" s="46">
        <f>I54*I21</f>
        <v>29.400000000000002</v>
      </c>
      <c r="K54" s="6"/>
    </row>
    <row r="55" spans="2:11" ht="12.75">
      <c r="B55" s="36"/>
      <c r="C55" s="36" t="s">
        <v>283</v>
      </c>
      <c r="D55" s="36"/>
      <c r="E55" s="36"/>
      <c r="F55" s="37" t="s">
        <v>172</v>
      </c>
      <c r="G55" s="44">
        <f>MEDY</f>
        <v>1400</v>
      </c>
      <c r="H55" s="45">
        <v>0.032</v>
      </c>
      <c r="I55" s="45">
        <f>G55*H55</f>
        <v>44.800000000000004</v>
      </c>
      <c r="J55" s="46">
        <f>I55*I22</f>
        <v>44.800000000000004</v>
      </c>
      <c r="K55" s="6"/>
    </row>
    <row r="56" spans="2:11" ht="12.75">
      <c r="B56" s="36"/>
      <c r="C56" s="36" t="s">
        <v>293</v>
      </c>
      <c r="D56" s="36"/>
      <c r="E56" s="36"/>
      <c r="F56" s="37" t="s">
        <v>172</v>
      </c>
      <c r="G56" s="44">
        <v>1000</v>
      </c>
      <c r="H56" s="45">
        <v>0.011</v>
      </c>
      <c r="I56" s="44">
        <f>G56*H56</f>
        <v>11</v>
      </c>
      <c r="J56" s="46">
        <f>I56*I22</f>
        <v>11</v>
      </c>
      <c r="K56" s="12" t="s">
        <v>0</v>
      </c>
    </row>
    <row r="57" spans="2:11" ht="13.5" thickBot="1">
      <c r="B57" s="31" t="s">
        <v>235</v>
      </c>
      <c r="C57" s="36"/>
      <c r="D57" s="36"/>
      <c r="E57" s="36"/>
      <c r="F57" s="37"/>
      <c r="G57" s="37"/>
      <c r="H57" s="36"/>
      <c r="I57" s="52">
        <f>SUM(I51:I56)</f>
        <v>468.88</v>
      </c>
      <c r="J57" s="53">
        <f>SUM(J51:J56)</f>
        <v>468.88</v>
      </c>
      <c r="K57" s="12" t="s">
        <v>0</v>
      </c>
    </row>
    <row r="58" spans="2:11" ht="14.25" thickBot="1" thickTop="1">
      <c r="B58" s="13" t="s">
        <v>242</v>
      </c>
      <c r="F58" s="6"/>
      <c r="G58" s="6"/>
      <c r="H58" s="6"/>
      <c r="I58" s="58">
        <f>I48+I57</f>
        <v>1876.31</v>
      </c>
      <c r="J58" s="59">
        <f>I58*I21</f>
        <v>1876.31</v>
      </c>
      <c r="K58" s="6"/>
    </row>
    <row r="59" spans="6:11" ht="13.5" thickTop="1">
      <c r="F59" s="6"/>
      <c r="G59" s="6"/>
      <c r="H59" s="6"/>
      <c r="I59" s="54"/>
      <c r="J59" s="54"/>
      <c r="K59" s="12" t="s">
        <v>0</v>
      </c>
    </row>
    <row r="60" spans="2:40" ht="12.75">
      <c r="B60" s="13" t="s">
        <v>135</v>
      </c>
      <c r="C60" s="13"/>
      <c r="F60" s="17" t="s">
        <v>248</v>
      </c>
      <c r="G60" s="17" t="s">
        <v>204</v>
      </c>
      <c r="H60" s="9" t="s">
        <v>199</v>
      </c>
      <c r="I60" s="8" t="s">
        <v>69</v>
      </c>
      <c r="J60" s="14" t="s">
        <v>227</v>
      </c>
      <c r="K60" s="6"/>
      <c r="AN60" s="1" t="s">
        <v>119</v>
      </c>
    </row>
    <row r="61" spans="3:11" ht="12.75">
      <c r="C61" s="1" t="s">
        <v>243</v>
      </c>
      <c r="F61" s="6" t="s">
        <v>95</v>
      </c>
      <c r="G61" s="7">
        <v>1</v>
      </c>
      <c r="H61" s="7">
        <f>FxdCost!I39</f>
        <v>158.50454166666665</v>
      </c>
      <c r="I61" s="7">
        <f>G61*H61</f>
        <v>158.50454166666665</v>
      </c>
      <c r="J61" s="10">
        <f>I21*I61</f>
        <v>158.50454166666665</v>
      </c>
      <c r="K61" s="12" t="s">
        <v>0</v>
      </c>
    </row>
    <row r="62" spans="3:11" ht="12.75">
      <c r="C62" s="1" t="s">
        <v>165</v>
      </c>
      <c r="F62" s="6" t="s">
        <v>95</v>
      </c>
      <c r="G62" s="7">
        <v>1</v>
      </c>
      <c r="H62" s="7">
        <f>+Drip!I57</f>
        <v>26.8838675</v>
      </c>
      <c r="I62" s="7">
        <f>G62*H62</f>
        <v>26.8838675</v>
      </c>
      <c r="J62" s="10">
        <f>I21*I62</f>
        <v>26.8838675</v>
      </c>
      <c r="K62" s="6"/>
    </row>
    <row r="63" spans="3:11" ht="12.75">
      <c r="C63" s="36" t="s">
        <v>331</v>
      </c>
      <c r="F63" s="6" t="s">
        <v>95</v>
      </c>
      <c r="G63" s="5">
        <f>I48</f>
        <v>1407.43</v>
      </c>
      <c r="H63" s="7">
        <v>0.1</v>
      </c>
      <c r="I63" s="7">
        <f>G63*H63</f>
        <v>140.74300000000002</v>
      </c>
      <c r="J63" s="10">
        <f>I21*I63</f>
        <v>140.74300000000002</v>
      </c>
      <c r="K63" s="6"/>
    </row>
    <row r="64" spans="2:11" ht="13.5" thickBot="1">
      <c r="B64" s="13" t="s">
        <v>294</v>
      </c>
      <c r="F64" s="6" t="s">
        <v>95</v>
      </c>
      <c r="G64" s="6"/>
      <c r="H64" s="6"/>
      <c r="I64" s="50">
        <f>SUM(I61:I63)</f>
        <v>326.1314091666667</v>
      </c>
      <c r="J64" s="57">
        <f>I21*I64</f>
        <v>326.1314091666667</v>
      </c>
      <c r="K64" s="6"/>
    </row>
    <row r="65" spans="7:11" ht="13.5" thickTop="1">
      <c r="G65" s="6"/>
      <c r="H65" s="6"/>
      <c r="I65" s="56" t="s">
        <v>0</v>
      </c>
      <c r="J65" s="54"/>
      <c r="K65" s="6"/>
    </row>
    <row r="66" spans="2:11" ht="13.5" thickBot="1">
      <c r="B66" s="13" t="s">
        <v>295</v>
      </c>
      <c r="G66" s="6"/>
      <c r="H66" s="6"/>
      <c r="I66" s="50">
        <f>I48+I57+I64</f>
        <v>2202.4414091666667</v>
      </c>
      <c r="J66" s="51">
        <f>I21*I66</f>
        <v>2202.4414091666667</v>
      </c>
      <c r="K66" s="6"/>
    </row>
    <row r="67" spans="7:11" ht="13.5" thickTop="1">
      <c r="G67" s="6"/>
      <c r="H67" s="6"/>
      <c r="I67" s="54"/>
      <c r="J67" s="54"/>
      <c r="K67" s="6"/>
    </row>
    <row r="68" spans="3:11" ht="12.75">
      <c r="C68" s="13" t="s">
        <v>111</v>
      </c>
      <c r="G68" s="6"/>
      <c r="H68" s="6"/>
      <c r="I68" s="6"/>
      <c r="J68" s="6"/>
      <c r="K68" s="6"/>
    </row>
    <row r="69" spans="3:11" ht="12.75">
      <c r="C69" s="1" t="s">
        <v>296</v>
      </c>
      <c r="G69" s="6"/>
      <c r="H69" s="6"/>
      <c r="I69" s="7">
        <f>I48/G26</f>
        <v>1.005307142857143</v>
      </c>
      <c r="J69" s="6"/>
      <c r="K69" s="6"/>
    </row>
    <row r="70" spans="3:17" ht="12.75">
      <c r="C70" s="1" t="s">
        <v>297</v>
      </c>
      <c r="G70" s="6"/>
      <c r="H70" s="6"/>
      <c r="I70" s="7">
        <f>I57/G26</f>
        <v>0.3349142857142857</v>
      </c>
      <c r="J70" s="6"/>
      <c r="K70" s="6"/>
      <c r="L70" s="1" t="s">
        <v>77</v>
      </c>
      <c r="M70" s="1" t="s">
        <v>77</v>
      </c>
      <c r="Q70" s="1" t="s">
        <v>77</v>
      </c>
    </row>
    <row r="71" spans="3:17" ht="12.75">
      <c r="C71" s="1" t="s">
        <v>108</v>
      </c>
      <c r="D71" s="1" t="s">
        <v>298</v>
      </c>
      <c r="G71" s="6"/>
      <c r="H71" s="6"/>
      <c r="I71" s="7">
        <f>I64/G26</f>
        <v>0.23295100654761905</v>
      </c>
      <c r="J71" s="6"/>
      <c r="K71" s="6"/>
      <c r="L71" s="1" t="s">
        <v>77</v>
      </c>
      <c r="M71" s="1" t="s">
        <v>6</v>
      </c>
      <c r="Q71" s="1" t="s">
        <v>77</v>
      </c>
    </row>
    <row r="72" spans="2:17" ht="12.75">
      <c r="B72" s="13"/>
      <c r="C72" s="1" t="s">
        <v>292</v>
      </c>
      <c r="G72" s="6"/>
      <c r="H72" s="6"/>
      <c r="I72" s="9">
        <f>UNITCOST/MEDP</f>
        <v>1190.50886981982</v>
      </c>
      <c r="J72" s="6"/>
      <c r="K72" s="6"/>
      <c r="L72" s="1" t="s">
        <v>77</v>
      </c>
      <c r="M72" s="1" t="s">
        <v>1</v>
      </c>
      <c r="Q72" s="1" t="s">
        <v>77</v>
      </c>
    </row>
    <row r="73" spans="7:17" ht="12.75">
      <c r="G73" s="6"/>
      <c r="H73" s="6"/>
      <c r="I73" s="22"/>
      <c r="J73" s="6"/>
      <c r="K73" s="6"/>
      <c r="L73" s="1" t="s">
        <v>77</v>
      </c>
      <c r="M73" s="11">
        <f>I21</f>
        <v>1</v>
      </c>
      <c r="N73" s="1" t="s">
        <v>9</v>
      </c>
      <c r="Q73" s="1" t="s">
        <v>77</v>
      </c>
    </row>
    <row r="74" spans="5:17" ht="12.75">
      <c r="E74" s="1" t="s">
        <v>72</v>
      </c>
      <c r="G74" s="6"/>
      <c r="H74" s="6"/>
      <c r="I74" s="6"/>
      <c r="J74" s="6"/>
      <c r="K74" s="6"/>
      <c r="L74" s="1" t="s">
        <v>77</v>
      </c>
      <c r="M74" s="11">
        <f>E26</f>
        <v>1680</v>
      </c>
      <c r="N74" s="1" t="s">
        <v>11</v>
      </c>
      <c r="O74" s="15">
        <f>E27</f>
        <v>2.22</v>
      </c>
      <c r="P74" s="1" t="s">
        <v>10</v>
      </c>
      <c r="Q74" s="1" t="s">
        <v>77</v>
      </c>
    </row>
    <row r="75" spans="7:17" ht="12.75">
      <c r="G75" s="6"/>
      <c r="H75" s="6"/>
      <c r="I75" s="6"/>
      <c r="J75" s="6"/>
      <c r="K75" s="6"/>
      <c r="L75" s="1" t="s">
        <v>77</v>
      </c>
      <c r="M75" s="11">
        <f>F26</f>
        <v>1540</v>
      </c>
      <c r="N75" s="1" t="s">
        <v>28</v>
      </c>
      <c r="O75" s="15">
        <f>F27</f>
        <v>2.04</v>
      </c>
      <c r="P75" s="1" t="s">
        <v>27</v>
      </c>
      <c r="Q75" s="1" t="s">
        <v>77</v>
      </c>
    </row>
    <row r="76" spans="2:15" ht="12.75">
      <c r="B76" s="1" t="s">
        <v>85</v>
      </c>
      <c r="G76" s="6"/>
      <c r="H76" s="6"/>
      <c r="I76" s="6"/>
      <c r="J76" s="6"/>
      <c r="K76" s="6"/>
      <c r="M76" s="11"/>
      <c r="O76" s="15"/>
    </row>
    <row r="77" spans="7:17" ht="12.75">
      <c r="G77" s="6"/>
      <c r="H77" s="6"/>
      <c r="I77" s="6"/>
      <c r="J77" s="6"/>
      <c r="K77" s="6"/>
      <c r="L77" s="1" t="s">
        <v>77</v>
      </c>
      <c r="M77" s="11">
        <f>G26</f>
        <v>1400</v>
      </c>
      <c r="N77" s="1" t="s">
        <v>21</v>
      </c>
      <c r="O77" s="15">
        <f>G27</f>
        <v>1.85</v>
      </c>
      <c r="P77" s="1" t="s">
        <v>20</v>
      </c>
      <c r="Q77" s="1" t="s">
        <v>77</v>
      </c>
    </row>
    <row r="78" spans="2:17" ht="12.75">
      <c r="B78" s="1" t="s">
        <v>272</v>
      </c>
      <c r="G78" s="6"/>
      <c r="H78" s="6"/>
      <c r="I78" s="6"/>
      <c r="J78" s="6"/>
      <c r="K78" s="6"/>
      <c r="L78" s="1" t="s">
        <v>77</v>
      </c>
      <c r="M78" s="11">
        <f>H26</f>
        <v>1260</v>
      </c>
      <c r="N78" s="1" t="s">
        <v>31</v>
      </c>
      <c r="O78" s="15">
        <f>H27</f>
        <v>1.67</v>
      </c>
      <c r="P78" s="1" t="s">
        <v>30</v>
      </c>
      <c r="Q78" s="1" t="s">
        <v>77</v>
      </c>
    </row>
    <row r="79" spans="7:17" ht="12.75">
      <c r="G79" s="6"/>
      <c r="H79" s="6"/>
      <c r="I79" s="6"/>
      <c r="J79" s="10" t="s">
        <v>0</v>
      </c>
      <c r="K79" s="6" t="s">
        <v>0</v>
      </c>
      <c r="L79" s="1" t="s">
        <v>77</v>
      </c>
      <c r="M79" s="11">
        <f>I26</f>
        <v>1120</v>
      </c>
      <c r="N79" s="1" t="s">
        <v>54</v>
      </c>
      <c r="O79" s="15">
        <f>I27</f>
        <v>1.48</v>
      </c>
      <c r="P79" s="1" t="s">
        <v>53</v>
      </c>
      <c r="Q79" s="1" t="s">
        <v>77</v>
      </c>
    </row>
    <row r="80" spans="7:17" ht="12.75">
      <c r="G80" s="6"/>
      <c r="H80" s="6"/>
      <c r="I80" s="6"/>
      <c r="J80" s="10" t="s">
        <v>0</v>
      </c>
      <c r="K80" s="6"/>
      <c r="L80" s="1" t="s">
        <v>77</v>
      </c>
      <c r="M80" s="15">
        <f>I70</f>
        <v>0.3349142857142857</v>
      </c>
      <c r="N80" s="1" t="s">
        <v>19</v>
      </c>
      <c r="Q80" s="1" t="s">
        <v>77</v>
      </c>
    </row>
    <row r="81" spans="7:17" ht="12.75">
      <c r="G81" s="6"/>
      <c r="H81" s="6"/>
      <c r="I81" s="6"/>
      <c r="J81" s="6"/>
      <c r="K81" s="6"/>
      <c r="L81" s="1" t="s">
        <v>77</v>
      </c>
      <c r="M81" s="15">
        <f>I48+I64</f>
        <v>1733.5614091666666</v>
      </c>
      <c r="N81" s="1" t="s">
        <v>44</v>
      </c>
      <c r="Q81" s="1" t="s">
        <v>77</v>
      </c>
    </row>
    <row r="82" spans="7:17" ht="12.75">
      <c r="G82" s="6"/>
      <c r="H82" s="6"/>
      <c r="I82" s="6"/>
      <c r="J82" s="6"/>
      <c r="K82" s="6"/>
      <c r="L82" s="1" t="s">
        <v>77</v>
      </c>
      <c r="M82" s="1" t="s">
        <v>77</v>
      </c>
      <c r="Q82" s="1" t="s">
        <v>77</v>
      </c>
    </row>
    <row r="83" spans="7:17" ht="12.75">
      <c r="G83" s="6"/>
      <c r="H83" s="6"/>
      <c r="I83" s="6"/>
      <c r="J83" s="6"/>
      <c r="K83" s="6"/>
      <c r="L83" s="1" t="s">
        <v>84</v>
      </c>
      <c r="M83" s="1" t="s">
        <v>1</v>
      </c>
      <c r="Q83" s="1" t="s">
        <v>84</v>
      </c>
    </row>
    <row r="84" spans="7:17" ht="12.75">
      <c r="G84" s="6"/>
      <c r="H84" s="6"/>
      <c r="I84" s="6"/>
      <c r="J84" s="6"/>
      <c r="K84" s="6"/>
      <c r="L84" s="1" t="s">
        <v>84</v>
      </c>
      <c r="N84" s="1" t="s">
        <v>115</v>
      </c>
      <c r="Q84" s="1" t="s">
        <v>84</v>
      </c>
    </row>
    <row r="85" spans="7:17" ht="12.75">
      <c r="G85" s="16"/>
      <c r="H85" s="6"/>
      <c r="I85" s="6"/>
      <c r="J85" s="6"/>
      <c r="K85" s="6"/>
      <c r="L85" s="1" t="s">
        <v>84</v>
      </c>
      <c r="M85" s="1" t="s">
        <v>1</v>
      </c>
      <c r="Q85" s="1" t="s">
        <v>84</v>
      </c>
    </row>
    <row r="86" spans="3:17" ht="12.75">
      <c r="C86" s="110" t="s">
        <v>131</v>
      </c>
      <c r="D86" s="110"/>
      <c r="E86" s="110"/>
      <c r="F86" s="110"/>
      <c r="G86" s="110"/>
      <c r="H86" s="110"/>
      <c r="I86" s="110"/>
      <c r="J86" s="6"/>
      <c r="K86" s="6"/>
      <c r="L86" s="1" t="s">
        <v>84</v>
      </c>
      <c r="M86" s="11">
        <f>0.04*M74+0.25*M75+0.42*M77+0.25*M78+0.04*M79</f>
        <v>1400</v>
      </c>
      <c r="N86" s="1" t="s">
        <v>17</v>
      </c>
      <c r="O86" s="1">
        <f>0.04*O74+0.25*O75+0.42*O77+0.25*O78+0.04*O79</f>
        <v>1.8524999999999998</v>
      </c>
      <c r="P86" s="1" t="s">
        <v>16</v>
      </c>
      <c r="Q86" s="1" t="s">
        <v>84</v>
      </c>
    </row>
    <row r="87" spans="7:17" ht="12.75">
      <c r="G87" s="17" t="s">
        <v>0</v>
      </c>
      <c r="H87" s="17"/>
      <c r="I87" s="6"/>
      <c r="J87" s="6"/>
      <c r="K87" s="6"/>
      <c r="L87" s="1" t="s">
        <v>84</v>
      </c>
      <c r="M87" s="1">
        <f>0.25*(M74-M86)+0.5*(M75-M86)</f>
        <v>140</v>
      </c>
      <c r="N87" s="1" t="s">
        <v>42</v>
      </c>
      <c r="O87" s="1">
        <f>0.25*(O74-O86)+0.5*(O75-O86)</f>
        <v>0.1856250000000002</v>
      </c>
      <c r="P87" s="1" t="s">
        <v>34</v>
      </c>
      <c r="Q87" s="1" t="s">
        <v>84</v>
      </c>
    </row>
    <row r="88" spans="7:17" ht="12.75">
      <c r="G88" s="6"/>
      <c r="H88" s="6"/>
      <c r="I88" s="6"/>
      <c r="J88" s="6"/>
      <c r="K88" s="6"/>
      <c r="L88" s="1" t="s">
        <v>84</v>
      </c>
      <c r="M88" s="1">
        <f>0.25*(M86-M79)+0.5*(M86-M78)</f>
        <v>140</v>
      </c>
      <c r="N88" s="1" t="s">
        <v>43</v>
      </c>
      <c r="O88" s="1">
        <f>0.25*(O86-O79)+0.5*(O86-O78)</f>
        <v>0.1843749999999999</v>
      </c>
      <c r="P88" s="1" t="s">
        <v>35</v>
      </c>
      <c r="Q88" s="1" t="s">
        <v>84</v>
      </c>
    </row>
    <row r="89" spans="3:17" ht="12.75">
      <c r="C89" s="1" t="s">
        <v>0</v>
      </c>
      <c r="D89" s="1" t="s">
        <v>130</v>
      </c>
      <c r="F89" s="1" t="s">
        <v>256</v>
      </c>
      <c r="G89" s="6"/>
      <c r="H89" s="7" t="s">
        <v>130</v>
      </c>
      <c r="I89" s="7" t="s">
        <v>0</v>
      </c>
      <c r="J89" s="10" t="s">
        <v>228</v>
      </c>
      <c r="K89" s="6"/>
      <c r="L89" s="1" t="s">
        <v>84</v>
      </c>
      <c r="M89" s="11">
        <f>M87^2</f>
        <v>19600</v>
      </c>
      <c r="N89" s="1" t="s">
        <v>51</v>
      </c>
      <c r="O89" s="1">
        <f>O87^2</f>
        <v>0.034456640625000076</v>
      </c>
      <c r="P89" s="1" t="s">
        <v>45</v>
      </c>
      <c r="Q89" s="1" t="s">
        <v>84</v>
      </c>
    </row>
    <row r="90" spans="3:17" ht="12.75">
      <c r="C90" s="1" t="s">
        <v>97</v>
      </c>
      <c r="D90" s="1" t="s">
        <v>263</v>
      </c>
      <c r="F90" s="1" t="s">
        <v>178</v>
      </c>
      <c r="G90" s="6"/>
      <c r="H90" s="7" t="s">
        <v>200</v>
      </c>
      <c r="I90" s="7" t="s">
        <v>0</v>
      </c>
      <c r="J90" s="10" t="s">
        <v>212</v>
      </c>
      <c r="K90" s="6" t="s">
        <v>2</v>
      </c>
      <c r="L90" s="1" t="s">
        <v>84</v>
      </c>
      <c r="M90" s="11">
        <f>M88^2</f>
        <v>19600</v>
      </c>
      <c r="N90" s="1" t="s">
        <v>52</v>
      </c>
      <c r="O90" s="1">
        <f>O88^2</f>
        <v>0.03399414062499996</v>
      </c>
      <c r="P90" s="1" t="s">
        <v>46</v>
      </c>
      <c r="Q90" s="1" t="s">
        <v>84</v>
      </c>
    </row>
    <row r="91" spans="7:17" ht="12.75">
      <c r="G91" s="6"/>
      <c r="H91" s="6"/>
      <c r="I91" s="6"/>
      <c r="J91" s="6"/>
      <c r="K91" s="6"/>
      <c r="L91" s="1" t="s">
        <v>84</v>
      </c>
      <c r="M91" s="1" t="s">
        <v>1</v>
      </c>
      <c r="Q91" s="1" t="s">
        <v>84</v>
      </c>
    </row>
    <row r="92" spans="3:17" ht="13.5" thickBot="1">
      <c r="C92" s="11">
        <f>I21</f>
        <v>1</v>
      </c>
      <c r="D92" s="11">
        <f>MEDY</f>
        <v>1400</v>
      </c>
      <c r="F92" s="91">
        <f>MEDY</f>
        <v>1400</v>
      </c>
      <c r="G92" s="6"/>
      <c r="H92" s="7">
        <f>MEDP</f>
        <v>1.85</v>
      </c>
      <c r="I92" s="6"/>
      <c r="J92" s="79">
        <f>F92*O86</f>
        <v>2593.4999999999995</v>
      </c>
      <c r="K92" s="6"/>
      <c r="L92" s="1" t="s">
        <v>84</v>
      </c>
      <c r="M92" s="11">
        <f>(M86^2*O89)+(O86-M80)^2*M89</f>
        <v>112675.11706900015</v>
      </c>
      <c r="N92" s="11" t="s">
        <v>47</v>
      </c>
      <c r="O92" s="11">
        <f>(M86^2*O90)+(O86-M80)^2*M90</f>
        <v>111768.61706899991</v>
      </c>
      <c r="P92" s="1" t="s">
        <v>50</v>
      </c>
      <c r="Q92" s="1" t="s">
        <v>84</v>
      </c>
    </row>
    <row r="93" spans="6:17" ht="13.5" thickTop="1">
      <c r="F93" s="49"/>
      <c r="G93" s="6"/>
      <c r="H93" s="6"/>
      <c r="I93" s="6"/>
      <c r="J93" s="54"/>
      <c r="K93" s="6"/>
      <c r="L93" s="1" t="s">
        <v>84</v>
      </c>
      <c r="M93" s="11">
        <f>(M86^2*O89)+(O86-M80)^2*M90</f>
        <v>112675.11706900015</v>
      </c>
      <c r="N93" s="11" t="s">
        <v>48</v>
      </c>
      <c r="O93" s="11">
        <f>M86^2*O90+(O86-M80)^2*M89</f>
        <v>111768.61706899991</v>
      </c>
      <c r="P93" s="1" t="s">
        <v>49</v>
      </c>
      <c r="Q93" s="1" t="s">
        <v>84</v>
      </c>
    </row>
    <row r="94" spans="7:18" ht="12.75">
      <c r="G94" s="6"/>
      <c r="H94" s="6"/>
      <c r="I94" s="6"/>
      <c r="J94" s="6"/>
      <c r="K94" s="6"/>
      <c r="L94" s="1" t="s">
        <v>84</v>
      </c>
      <c r="M94" s="11">
        <f>SQRT(M92)</f>
        <v>335.67114423048065</v>
      </c>
      <c r="N94" s="11" t="s">
        <v>36</v>
      </c>
      <c r="O94" s="11">
        <f>SQRT(O92)</f>
        <v>334.3181375112632</v>
      </c>
      <c r="P94" s="1" t="s">
        <v>39</v>
      </c>
      <c r="Q94" s="1" t="s">
        <v>84</v>
      </c>
      <c r="R94" s="1" t="s">
        <v>0</v>
      </c>
    </row>
    <row r="95" spans="7:17" ht="12.75">
      <c r="G95" s="6"/>
      <c r="H95" s="6"/>
      <c r="I95" s="6"/>
      <c r="J95" s="6"/>
      <c r="K95" s="6"/>
      <c r="L95" s="1" t="s">
        <v>84</v>
      </c>
      <c r="M95" s="11">
        <f>SQRT(M93)</f>
        <v>335.67114423048065</v>
      </c>
      <c r="N95" s="11" t="s">
        <v>37</v>
      </c>
      <c r="O95" s="11">
        <f>SQRT(O93)</f>
        <v>334.3181375112632</v>
      </c>
      <c r="P95" s="1" t="s">
        <v>38</v>
      </c>
      <c r="Q95" s="1" t="s">
        <v>84</v>
      </c>
    </row>
    <row r="96" spans="2:43" ht="12.75">
      <c r="B96" s="1" t="s">
        <v>4</v>
      </c>
      <c r="G96" s="6"/>
      <c r="H96" s="6"/>
      <c r="I96" s="6"/>
      <c r="J96" s="6"/>
      <c r="K96" s="6"/>
      <c r="L96" s="1" t="s">
        <v>84</v>
      </c>
      <c r="M96" s="11">
        <f>0.66*M94+0.17*M95+0.17*O95</f>
        <v>335.4411330882137</v>
      </c>
      <c r="N96" s="11" t="s">
        <v>40</v>
      </c>
      <c r="O96" s="11">
        <f>0.66*O94+0.17*M95+0.17*O95</f>
        <v>334.5481486535302</v>
      </c>
      <c r="P96" s="1" t="s">
        <v>41</v>
      </c>
      <c r="Q96" s="1" t="s">
        <v>84</v>
      </c>
      <c r="AQ96" s="1" t="s">
        <v>213</v>
      </c>
    </row>
    <row r="97" spans="7:17" ht="12.75">
      <c r="G97" s="6"/>
      <c r="H97" s="6"/>
      <c r="I97" s="6"/>
      <c r="J97" s="6"/>
      <c r="K97" s="6"/>
      <c r="L97" s="1" t="s">
        <v>84</v>
      </c>
      <c r="M97" s="1" t="s">
        <v>1</v>
      </c>
      <c r="Q97" s="1" t="s">
        <v>84</v>
      </c>
    </row>
    <row r="98" spans="2:17" ht="12.75">
      <c r="B98" s="1" t="s">
        <v>182</v>
      </c>
      <c r="G98" s="6"/>
      <c r="H98" s="6"/>
      <c r="I98" s="6"/>
      <c r="J98" s="6"/>
      <c r="K98" s="6"/>
      <c r="L98" s="1" t="s">
        <v>84</v>
      </c>
      <c r="M98" s="1" t="s">
        <v>114</v>
      </c>
      <c r="Q98" s="1" t="s">
        <v>84</v>
      </c>
    </row>
    <row r="99" spans="2:17" ht="12.75">
      <c r="B99" s="1" t="s">
        <v>222</v>
      </c>
      <c r="G99" s="6"/>
      <c r="H99" s="6"/>
      <c r="I99" s="6"/>
      <c r="J99" s="6"/>
      <c r="K99" s="6"/>
      <c r="L99" s="1" t="s">
        <v>84</v>
      </c>
      <c r="M99" s="1" t="s">
        <v>1</v>
      </c>
      <c r="Q99" s="1" t="s">
        <v>84</v>
      </c>
    </row>
    <row r="100" spans="2:17" ht="12.75">
      <c r="B100" s="1" t="s">
        <v>221</v>
      </c>
      <c r="G100" s="6"/>
      <c r="H100" s="6"/>
      <c r="I100" s="6"/>
      <c r="J100" s="6"/>
      <c r="K100" s="6"/>
      <c r="L100" s="1" t="s">
        <v>84</v>
      </c>
      <c r="M100" s="11">
        <f>M94*M73</f>
        <v>335.67114423048065</v>
      </c>
      <c r="N100" s="1" t="s">
        <v>36</v>
      </c>
      <c r="O100" s="11">
        <f>O94*M73</f>
        <v>334.3181375112632</v>
      </c>
      <c r="P100" s="1" t="s">
        <v>39</v>
      </c>
      <c r="Q100" s="1" t="s">
        <v>84</v>
      </c>
    </row>
    <row r="101" spans="7:17" ht="12.75">
      <c r="G101" s="6"/>
      <c r="H101" s="6"/>
      <c r="I101" s="6"/>
      <c r="J101" s="6"/>
      <c r="K101" s="6" t="s">
        <v>0</v>
      </c>
      <c r="L101" s="1" t="s">
        <v>84</v>
      </c>
      <c r="M101" s="11">
        <f>M95*M73</f>
        <v>335.67114423048065</v>
      </c>
      <c r="N101" s="1" t="s">
        <v>37</v>
      </c>
      <c r="O101" s="11">
        <f>O95*M73</f>
        <v>334.3181375112632</v>
      </c>
      <c r="P101" s="1" t="s">
        <v>38</v>
      </c>
      <c r="Q101" s="1" t="s">
        <v>84</v>
      </c>
    </row>
    <row r="102" spans="5:17" ht="12.75">
      <c r="E102" s="31" t="s">
        <v>29</v>
      </c>
      <c r="G102" s="17" t="s">
        <v>18</v>
      </c>
      <c r="H102" s="6"/>
      <c r="I102" s="32" t="s">
        <v>32</v>
      </c>
      <c r="J102" s="6"/>
      <c r="K102" s="6"/>
      <c r="L102" s="1" t="s">
        <v>84</v>
      </c>
      <c r="M102" s="11">
        <f>M73*M96</f>
        <v>335.4411330882137</v>
      </c>
      <c r="N102" s="1" t="s">
        <v>40</v>
      </c>
      <c r="O102" s="11">
        <f>M73*O96</f>
        <v>334.5481486535302</v>
      </c>
      <c r="P102" s="1" t="s">
        <v>41</v>
      </c>
      <c r="Q102" s="1" t="s">
        <v>84</v>
      </c>
    </row>
    <row r="103" spans="4:17" ht="12.75">
      <c r="D103" s="6"/>
      <c r="J103" s="6"/>
      <c r="K103" s="6"/>
      <c r="L103" s="1" t="s">
        <v>84</v>
      </c>
      <c r="M103" s="15">
        <f>O77</f>
        <v>1.85</v>
      </c>
      <c r="N103" s="1" t="s">
        <v>23</v>
      </c>
      <c r="O103" s="1">
        <f>M77</f>
        <v>1400</v>
      </c>
      <c r="P103" s="1" t="s">
        <v>26</v>
      </c>
      <c r="Q103" s="1" t="s">
        <v>84</v>
      </c>
    </row>
    <row r="104" spans="2:17" ht="12.75">
      <c r="B104" s="1" t="s">
        <v>82</v>
      </c>
      <c r="D104" s="10">
        <f>O$105+1.5*M$102</f>
        <v>894.2202904656533</v>
      </c>
      <c r="E104" s="10">
        <f>(O105+M102)</f>
        <v>726.4997239215465</v>
      </c>
      <c r="F104" s="10">
        <f>O105+0.5*M102</f>
        <v>558.7791573774397</v>
      </c>
      <c r="G104" s="14">
        <f>O105</f>
        <v>391.0585908333328</v>
      </c>
      <c r="H104" s="80">
        <f>O105-0.5*O102</f>
        <v>223.7845165065677</v>
      </c>
      <c r="I104" s="80">
        <f>O105-O102</f>
        <v>56.510442179802624</v>
      </c>
      <c r="J104" s="90">
        <f>O105-1.5*O102</f>
        <v>-110.76363214696244</v>
      </c>
      <c r="K104" s="6"/>
      <c r="L104" s="1" t="s">
        <v>84</v>
      </c>
      <c r="M104" s="11">
        <f>I21*M86*O86</f>
        <v>2593.4999999999995</v>
      </c>
      <c r="N104" s="1" t="s">
        <v>15</v>
      </c>
      <c r="O104" s="11">
        <f>(M81+M77*M80)*M73</f>
        <v>2202.4414091666667</v>
      </c>
      <c r="P104" s="1" t="s">
        <v>24</v>
      </c>
      <c r="Q104" s="1" t="s">
        <v>84</v>
      </c>
    </row>
    <row r="105" spans="2:17" ht="12.75">
      <c r="B105" s="1" t="s">
        <v>116</v>
      </c>
      <c r="D105" s="18">
        <f>IF(N109&lt;1,IF(M109,R109,1-R109),IF(M109,R110,1-R110))</f>
        <v>0.06693534965497708</v>
      </c>
      <c r="E105" s="18">
        <f>IF(T109&lt;1,IF(S109,X109,1-X109),IF(S109,X110,1-X110))</f>
        <v>0.15865428580023114</v>
      </c>
      <c r="F105" s="18">
        <f>IF(Z109&lt;1,IF(Y109,AD109,1-AD109),IF(Y109,AD110,1-AD110))</f>
        <v>0.3078679928761028</v>
      </c>
      <c r="G105" s="18">
        <f>IF(N111&lt;1,IF(M111,R111,1-R111),IF(M111,R112,1-R112))</f>
        <v>0.4991644448180172</v>
      </c>
      <c r="H105" s="19">
        <f>IF(T111&lt;1,IF(S111,X111,1-X111),IF(S111,X112,1-X112))</f>
        <v>0.690790573461466</v>
      </c>
      <c r="I105" s="19">
        <f>IF(Z111&lt;1,IF(Y111,AD111,1-AD111),IF(Y111,AD112,1-AD112))</f>
        <v>0.8413436567400917</v>
      </c>
      <c r="J105" s="20">
        <f>IF(N113&lt;1,IF(M113,R113,1-R113),IF(M113,R114,1-R114))</f>
        <v>0.9333211115649054</v>
      </c>
      <c r="K105" s="6" t="s">
        <v>0</v>
      </c>
      <c r="L105" s="1" t="s">
        <v>84</v>
      </c>
      <c r="M105" s="11">
        <f>M104+(0.7857*(O102-M102))</f>
        <v>2592.798382129669</v>
      </c>
      <c r="N105" s="1" t="s">
        <v>25</v>
      </c>
      <c r="O105" s="11">
        <f>M104-O104</f>
        <v>391.0585908333328</v>
      </c>
      <c r="P105" s="1" t="s">
        <v>13</v>
      </c>
      <c r="Q105" s="1" t="s">
        <v>84</v>
      </c>
    </row>
    <row r="106" spans="2:17" ht="12.75">
      <c r="B106" s="1" t="s">
        <v>116</v>
      </c>
      <c r="D106" s="21">
        <f>IF(N109&lt;1,IF(M109,1-R109,R109),IF(M109,1-R110,R110))</f>
        <v>0.933064650345023</v>
      </c>
      <c r="E106" s="21">
        <f>IF(T109&lt;1,IF(S109,1-X109,X109),IF(S109,1-X110,X110))</f>
        <v>0.8413457141997689</v>
      </c>
      <c r="F106" s="21">
        <f>IF(Z109&lt;1,IF(Y109,1-AD109,AD109),IF(Y109,1-AD110,AD110))</f>
        <v>0.6921320071238972</v>
      </c>
      <c r="G106" s="18">
        <f>IF(N111&lt;1,IF(M111,1-R111,R111),IF(M111,1-R112,R112))</f>
        <v>0.5008355551819828</v>
      </c>
      <c r="H106" s="18">
        <f>IF(T111&lt;1,IF(S111,1-X111,X111),IF(S111,1-X112,X112))</f>
        <v>0.309209426538534</v>
      </c>
      <c r="I106" s="18">
        <f>IF(Z111&lt;1,IF(Y111,1-AD111,AD111),IF(Y111,1-AD112,AD112))</f>
        <v>0.15865634325990827</v>
      </c>
      <c r="J106" s="18">
        <f>IF(N113&lt;1,IF(M113,1-R113,R113),IF(M113,1-R114,R114))</f>
        <v>0.06667888843509466</v>
      </c>
      <c r="K106" s="6"/>
      <c r="L106" s="1" t="s">
        <v>84</v>
      </c>
      <c r="M106" s="11">
        <f>M105-O104</f>
        <v>390.35697296300214</v>
      </c>
      <c r="N106" s="1" t="s">
        <v>22</v>
      </c>
      <c r="O106" s="1">
        <f>O105-M106</f>
        <v>0.701617870330665</v>
      </c>
      <c r="P106" s="1" t="s">
        <v>14</v>
      </c>
      <c r="Q106" s="1" t="s">
        <v>84</v>
      </c>
    </row>
    <row r="107" spans="4:17" ht="12.75">
      <c r="D107" s="6"/>
      <c r="E107" s="6"/>
      <c r="F107" s="6"/>
      <c r="G107" s="6"/>
      <c r="H107" s="6"/>
      <c r="I107" s="6"/>
      <c r="J107" s="6"/>
      <c r="K107" s="6"/>
      <c r="L107" s="1" t="s">
        <v>84</v>
      </c>
      <c r="M107" s="1" t="s">
        <v>1</v>
      </c>
      <c r="Q107" s="1" t="s">
        <v>84</v>
      </c>
    </row>
    <row r="108" spans="2:11" ht="13.5" thickBot="1">
      <c r="B108" s="13" t="s">
        <v>117</v>
      </c>
      <c r="D108" s="6"/>
      <c r="E108" s="92">
        <f>IF(T113&lt;1,IF(S113,X113,1-X113),IF(S113,X114,1-X114))</f>
        <v>0.878833015409914</v>
      </c>
      <c r="F108" s="60" t="s">
        <v>310</v>
      </c>
      <c r="G108" s="6"/>
      <c r="H108" s="6"/>
      <c r="I108" s="6"/>
      <c r="J108" s="57">
        <f>M73*(G26*G27-I66)</f>
        <v>387.55859083333326</v>
      </c>
      <c r="K108" s="6"/>
    </row>
    <row r="109" spans="5:30" ht="13.5" thickTop="1">
      <c r="E109" s="49"/>
      <c r="G109" s="6"/>
      <c r="H109" s="6"/>
      <c r="I109" s="6"/>
      <c r="J109" s="54"/>
      <c r="K109" s="6"/>
      <c r="M109" s="15" t="b">
        <f>+D104&gt;=M106</f>
        <v>1</v>
      </c>
      <c r="N109" s="15">
        <f>ABS((D104-O105)/IF(M109,M102,O102))</f>
        <v>1.5</v>
      </c>
      <c r="O109" s="15">
        <f>MIN(2.5,ABS((D104-(M106+O106*ABS(D104-M106)/ABS(IF(M109,M102+O106,O102-O106))*MIN(1,N109)))/(MIN(1.52,N109)/1.52*IF(M109,M100,O100)+(1.52-MIN(1.52,N109))/3.04*M101+(1.52-MIN(1.52,N109))/3.04*O101)))</f>
        <v>1.4979689661467153</v>
      </c>
      <c r="P109" s="15">
        <f aca="true" t="shared" si="1" ref="P109:P114">1/(1+(0.2316419*O109))</f>
        <v>0.7423946985403371</v>
      </c>
      <c r="Q109" s="15">
        <f aca="true" t="shared" si="2" ref="Q109:Q114">0.398942281*((2.71828)^((-(O109^2)/2)))</f>
        <v>0.1299126095527118</v>
      </c>
      <c r="R109" s="15">
        <f aca="true" t="shared" si="3" ref="R109:R114">Q109*(0.31938153*P109-0.356563782*P109^2+1.781477937*P109^3-1.821255978*P109^4+1.330274429*P109^5)</f>
        <v>0.06707073556234586</v>
      </c>
      <c r="S109" s="15" t="b">
        <f>+E104&gt;=M106</f>
        <v>1</v>
      </c>
      <c r="T109" s="15">
        <f>ABS((E104-O105)/IF(S109,M102,O102))</f>
        <v>1.0000000000000002</v>
      </c>
      <c r="U109" s="15">
        <f>MIN(2.5,ABS((E104-(M106+O106*ABS(E104-M106)/ABS(IF(S109,M102+O106,O102-O106))*MIN(1,T109)))/(MIN(1.52,T109)/1.52*IF(S109,M100,O100)+(1.52-MIN(1.52,T109))/3.04*M101+(1.52-MIN(1.52,T109))/3.04*O101)))</f>
        <v>1.0000042458229053</v>
      </c>
      <c r="V109" s="15">
        <f aca="true" t="shared" si="4" ref="V109:V114">1/(1+(0.2316419*U109))</f>
        <v>0.8119236617920889</v>
      </c>
      <c r="W109" s="15">
        <f aca="true" t="shared" si="5" ref="W109:W114">0.398942281*((2.71828)^((-(U109^2)/2)))</f>
        <v>0.24196977889883878</v>
      </c>
      <c r="X109" s="15">
        <f aca="true" t="shared" si="6" ref="X109:X114">W109*(0.31938153*V109-0.356563782*V109^2+1.781477937*V109^3-1.821255978*V109^4+1.330274429*V109^5)</f>
        <v>0.15865428580023114</v>
      </c>
      <c r="Y109" s="15" t="b">
        <f>+F104&gt;=M106</f>
        <v>1</v>
      </c>
      <c r="Z109" s="15">
        <f>ABS((F104-O105)/IF(Y109,M102,O102))</f>
        <v>0.5000000000000001</v>
      </c>
      <c r="AA109" s="15">
        <f>MIN(2.5,ABS((F104-(M106+O106*ABS(F104-M106)/ABS(IF(Y109,M102+O106,O102-O106))*MIN(1,Z109)))/(MIN(1.52,Z109)/1.52*IF(Y109,M100,O100)+(1.52-MIN(1.52,Z109))/3.04*M101+(1.52-MIN(1.52,Z109))/3.04*O101)))</f>
        <v>0.5019027258872167</v>
      </c>
      <c r="AB109" s="15">
        <f>1/(1+(0.2316419*AA109))</f>
        <v>0.8958472722557739</v>
      </c>
      <c r="AC109" s="15">
        <f>0.398942281*((2.71828)^((-(AA109^2)/2)))</f>
        <v>0.3517299377650461</v>
      </c>
      <c r="AD109" s="15">
        <f>AC109*(0.31938153*AB109-0.356563782*AB109^2+1.781477937*AB109^3-1.821255978*AB109^4+1.330274429*AB109^5)</f>
        <v>0.3078679928761028</v>
      </c>
    </row>
    <row r="110" spans="7:30" ht="12.75">
      <c r="G110" s="6"/>
      <c r="H110" s="6"/>
      <c r="I110" s="6"/>
      <c r="J110" s="6"/>
      <c r="K110" s="6"/>
      <c r="L110" s="1" t="s">
        <v>0</v>
      </c>
      <c r="O110" s="15">
        <f>MIN(2.5,ABS((D104-O105)/(MIN(1.52,N109)/1.52*IF(M109,M100,O100)+(1.52-MIN(1.52,N109))/3.04*M101+(1.52-MIN(1.52,N109))/3.04*O101)))</f>
        <v>1.499011909499943</v>
      </c>
      <c r="P110" s="15">
        <f t="shared" si="1"/>
        <v>0.7422615704576869</v>
      </c>
      <c r="Q110" s="15">
        <f t="shared" si="2"/>
        <v>0.1297097355542158</v>
      </c>
      <c r="R110" s="15">
        <f t="shared" si="3"/>
        <v>0.06693534965497708</v>
      </c>
      <c r="U110" s="15">
        <f>MIN(2.5,ABS((E104-O105)/(MIN(1.52,T109)/1.52*IF(S109,M100,O100)+(1.52-MIN(1.52,T109))/3.04*M101+(1.52-MIN(1.52,T109))/3.04*O101)))</f>
        <v>1.0000042458229053</v>
      </c>
      <c r="V110" s="15">
        <f t="shared" si="4"/>
        <v>0.8119236617920889</v>
      </c>
      <c r="W110" s="15">
        <f t="shared" si="5"/>
        <v>0.24196977889883878</v>
      </c>
      <c r="X110" s="15">
        <f t="shared" si="6"/>
        <v>0.15865428580023114</v>
      </c>
      <c r="AA110" s="15">
        <f>MIN(2.5,ABS((F104-O105)/(MIN(1.52,Z109)/1.52*IF(Y109,M100,O100)+(1.52-MIN(1.52,Z109))/3.04*M101+(1.52-MIN(1.52,Z109))/3.04*O101)))</f>
        <v>0.5003340494375875</v>
      </c>
      <c r="AB110" s="15">
        <f>1/(1+(0.2316419*AA110))</f>
        <v>0.8961389879825629</v>
      </c>
      <c r="AC110" s="15">
        <f>0.398942281*((2.71828)^((-(AA110^2)/2)))</f>
        <v>0.3520065385875969</v>
      </c>
      <c r="AD110" s="15">
        <f>AC110*(0.31938153*AB110-0.356563782*AB110^2+1.781477937*AB110^3-1.821255978*AB110^4+1.330274429*AB110^5)</f>
        <v>0.3084199610613322</v>
      </c>
    </row>
    <row r="111" spans="2:30" ht="12.75">
      <c r="B111" s="31" t="s">
        <v>318</v>
      </c>
      <c r="K111" s="1" t="s">
        <v>2</v>
      </c>
      <c r="M111" s="15" t="b">
        <f>+G104&gt;=M106</f>
        <v>1</v>
      </c>
      <c r="N111" s="15">
        <f>ABS((G104-O105)/IF(M111,M102,O102))</f>
        <v>0</v>
      </c>
      <c r="O111" s="15">
        <f>MIN(2.5,ABS((G104-(M106+O106*ABS(G104-M106)/ABS(IF(M111,M102+O106,O102-O106))*MIN(1,N111)))/(MIN(1.52,N111)/1.52*IF(M111,M100,O100)+(1.52-MIN(1.52,N111))/3.04*M101+(1.52-MIN(1.52,N111))/3.04*O101)))</f>
        <v>0.002094415207678241</v>
      </c>
      <c r="P111" s="15">
        <f t="shared" si="1"/>
        <v>0.9995150809424792</v>
      </c>
      <c r="Q111" s="15">
        <f t="shared" si="2"/>
        <v>0.3989414060064176</v>
      </c>
      <c r="R111" s="15">
        <f t="shared" si="3"/>
        <v>0.4991644448180172</v>
      </c>
      <c r="S111" s="15" t="b">
        <f>+H104&gt;=M106</f>
        <v>0</v>
      </c>
      <c r="T111" s="15">
        <f>ABS((H104-O105)/IF(S111,M102,O102))</f>
        <v>0.5</v>
      </c>
      <c r="U111" s="15">
        <f>MIN(2.5,ABS((H104-(M106+O106*ABS(H104-M106)/ABS(IF(S111,M102+O106,O102-O106))*MIN(1,T111)))/(MIN(1.52,T111)/1.52*IF(S111,M100,O100)+(1.52-MIN(1.52,T111))/3.04*M101+(1.52-MIN(1.52,T111))/3.04*O101)))</f>
        <v>0.49809254973290984</v>
      </c>
      <c r="V111" s="15">
        <f t="shared" si="4"/>
        <v>0.8965561537592462</v>
      </c>
      <c r="W111" s="15">
        <f t="shared" si="5"/>
        <v>0.3524006493354452</v>
      </c>
      <c r="X111" s="15">
        <f t="shared" si="6"/>
        <v>0.309209426538534</v>
      </c>
      <c r="Y111" s="15" t="b">
        <f>+I104&gt;=M106</f>
        <v>0</v>
      </c>
      <c r="Z111" s="15">
        <f>ABS((I104-O105)/IF(Y111,M102,O102))</f>
        <v>1</v>
      </c>
      <c r="AA111" s="15">
        <f>MIN(2.5,ABS((I104-(M106+O106*ABS(I104-M106)/ABS(IF(Y111,M102+O106,O102-O106))*MIN(1,Z111)))/(MIN(1.52,Z111)/1.52*IF(Y111,M100,O100)+(1.52-MIN(1.52,Z111))/3.04*M101+(1.52-MIN(1.52,Z111))/3.04*O101)))</f>
        <v>0.9999957428802345</v>
      </c>
      <c r="AB111" s="15">
        <f>1/(1+(0.2316419*AA111))</f>
        <v>0.8119249602188573</v>
      </c>
      <c r="AC111" s="15">
        <f>0.398942281*((2.71828)^((-(AA111^2)/2)))</f>
        <v>0.24197183636134845</v>
      </c>
      <c r="AD111" s="15">
        <f>AC111*(0.31938153*AB111-0.356563782*AB111^2+1.781477937*AB111^3-1.821255978*AB111^4+1.330274429*AB111^5)</f>
        <v>0.15865634325990827</v>
      </c>
    </row>
    <row r="112" spans="15:30" ht="12.75">
      <c r="O112" s="15">
        <f>MIN(2.5,ABS((G104-O105)/(MIN(1.52,N111)/1.52*IF(M111,M100,O100)+(1.52-MIN(1.52,N111))/3.04*M101+(1.52-MIN(1.52,N111))/3.04*O101)))</f>
        <v>0</v>
      </c>
      <c r="P112" s="15">
        <f t="shared" si="1"/>
        <v>1</v>
      </c>
      <c r="Q112" s="15">
        <f t="shared" si="2"/>
        <v>0.398942281</v>
      </c>
      <c r="R112" s="15">
        <f t="shared" si="3"/>
        <v>0.5000000002253843</v>
      </c>
      <c r="U112" s="15">
        <f>MIN(2.5,ABS((H104-O105)/(MIN(1.52,T111)/1.52*IF(S111,M100,O100)+(1.52-MIN(1.52,T111))/3.04*M101+(1.52-MIN(1.52,T111))/3.04*O101)))</f>
        <v>0.49966550645517666</v>
      </c>
      <c r="V112" s="15">
        <f t="shared" si="4"/>
        <v>0.8962633699644864</v>
      </c>
      <c r="W112" s="15">
        <f t="shared" si="5"/>
        <v>0.35212422387506076</v>
      </c>
      <c r="X112" s="15">
        <f t="shared" si="6"/>
        <v>0.3086553321989908</v>
      </c>
      <c r="AA112" s="15">
        <f>MIN(2.5,ABS((I104-O105)/(MIN(1.52,Z111)/1.52*IF(Y111,M100,O100)+(1.52-MIN(1.52,Z111))/3.04*M101+(1.52-MIN(1.52,Z111))/3.04*O101)))</f>
        <v>0.9999957428802345</v>
      </c>
      <c r="AB112" s="15">
        <f>1/(1+(0.2316419*AA112))</f>
        <v>0.8119249602188573</v>
      </c>
      <c r="AC112" s="15">
        <f>0.398942281*((2.71828)^((-(AA112^2)/2)))</f>
        <v>0.24197183636134845</v>
      </c>
      <c r="AD112" s="15">
        <f>AC112*(0.31938153*AB112-0.356563782*AB112^2+1.781477937*AB112^3-1.821255978*AB112^4+1.330274429*AB112^5)</f>
        <v>0.15865634325990827</v>
      </c>
    </row>
    <row r="113" spans="2:24" ht="12.75">
      <c r="B113" s="60" t="s">
        <v>201</v>
      </c>
      <c r="C113" s="60" t="s">
        <v>109</v>
      </c>
      <c r="D113" s="60" t="s">
        <v>299</v>
      </c>
      <c r="E113" s="60" t="s">
        <v>299</v>
      </c>
      <c r="F113" s="60" t="s">
        <v>129</v>
      </c>
      <c r="G113" s="60" t="s">
        <v>191</v>
      </c>
      <c r="H113" s="60" t="s">
        <v>191</v>
      </c>
      <c r="I113" s="60" t="s">
        <v>259</v>
      </c>
      <c r="J113" s="37" t="s">
        <v>324</v>
      </c>
      <c r="K113" s="60" t="s">
        <v>325</v>
      </c>
      <c r="M113" s="15" t="b">
        <f>+J104&gt;=M106</f>
        <v>0</v>
      </c>
      <c r="N113" s="15">
        <f>ABS((J104-O105)/IF(M113,M102,O102))</f>
        <v>1.5</v>
      </c>
      <c r="O113" s="15">
        <f>MIN(2.5,ABS((J104-(M106+O106*ABS(J104-M106)/ABS(IF(M113,M102+O106,O102-O106))*MIN(1,N113)))/(MIN(1.52,N113)/1.52*IF(M113,M100,O100)+(1.52-MIN(1.52,N113))/3.04*M101+(1.52-MIN(1.52,N113))/3.04*O101)))</f>
        <v>1.5020435405920038</v>
      </c>
      <c r="P113" s="15">
        <f t="shared" si="1"/>
        <v>0.7418748642853907</v>
      </c>
      <c r="Q113" s="15">
        <f t="shared" si="2"/>
        <v>0.12912102039248674</v>
      </c>
      <c r="R113" s="15">
        <f t="shared" si="3"/>
        <v>0.06654300969521303</v>
      </c>
      <c r="S113" s="15" t="b">
        <f>0&gt;=M106</f>
        <v>0</v>
      </c>
      <c r="T113" s="15">
        <f>ABS((0-O105)/IF(S113,M102,O102))</f>
        <v>1.1689157223175275</v>
      </c>
      <c r="U113" s="15">
        <f>MIN(2.5,ABS((0-(M106+O106*ABS(0-M106)/ABS(IF(S113,M102+O106,O102-O106))*MIN(1,T113)))/(MIN(1.52,T113)/1.52*IF(S113,M100,O100)+(1.52-MIN(1.52,T113))/3.04*M101+(1.52-MIN(1.52,T113))/3.04*O101)))</f>
        <v>1.1695285538805287</v>
      </c>
      <c r="V113" s="15">
        <f t="shared" si="4"/>
        <v>0.7868366531452324</v>
      </c>
      <c r="W113" s="15">
        <f t="shared" si="5"/>
        <v>0.20132463166648493</v>
      </c>
      <c r="X113" s="15">
        <f t="shared" si="6"/>
        <v>0.12109548458099091</v>
      </c>
    </row>
    <row r="114" spans="2:24" ht="12.75">
      <c r="B114" s="37" t="s">
        <v>308</v>
      </c>
      <c r="C114" s="37" t="s">
        <v>68</v>
      </c>
      <c r="D114" s="37" t="s">
        <v>68</v>
      </c>
      <c r="E114" s="37" t="s">
        <v>68</v>
      </c>
      <c r="F114" s="37">
        <f>MEDY</f>
        <v>1400</v>
      </c>
      <c r="G114" s="37" t="s">
        <v>68</v>
      </c>
      <c r="H114" s="37" t="s">
        <v>68</v>
      </c>
      <c r="I114" s="37" t="s">
        <v>68</v>
      </c>
      <c r="J114" s="37" t="s">
        <v>68</v>
      </c>
      <c r="K114" s="37" t="s">
        <v>309</v>
      </c>
      <c r="O114" s="15">
        <f>MIN(2.5,ABS((J104-O105)/(MIN(1.52,N113)/1.52*IF(M113,M100,O100)+(1.52-MIN(1.52,N113))/3.04*M101+(1.52-MIN(1.52,N113))/3.04*O101)))</f>
        <v>1.5009920366433058</v>
      </c>
      <c r="P114" s="15">
        <f t="shared" si="1"/>
        <v>0.7420089454656849</v>
      </c>
      <c r="Q114" s="15">
        <f t="shared" si="2"/>
        <v>0.12932504424086727</v>
      </c>
      <c r="R114" s="15">
        <f t="shared" si="3"/>
        <v>0.06667888843509466</v>
      </c>
      <c r="U114" s="15">
        <f>MIN(2.5,ABS((0-O105)/(MIN(1.52,T113)/1.52*IF(S113,M100,O100)+(1.52-MIN(1.52,T113))/3.04*M101+(1.52-MIN(1.52,T113))/3.04*O101)))</f>
        <v>1.169173479282028</v>
      </c>
      <c r="V114" s="15">
        <f t="shared" si="4"/>
        <v>0.7868875784920446</v>
      </c>
      <c r="W114" s="15">
        <f t="shared" si="5"/>
        <v>0.2014082403311648</v>
      </c>
      <c r="X114" s="15">
        <f t="shared" si="6"/>
        <v>0.12116698459008607</v>
      </c>
    </row>
    <row r="115" spans="2:11" ht="12.75">
      <c r="B115" s="97">
        <v>1.48</v>
      </c>
      <c r="C115" s="37">
        <v>331</v>
      </c>
      <c r="D115" s="80">
        <v>178</v>
      </c>
      <c r="E115" s="94">
        <v>26</v>
      </c>
      <c r="F115" s="95">
        <v>-127</v>
      </c>
      <c r="G115" s="95">
        <v>-279</v>
      </c>
      <c r="H115" s="95">
        <v>-431</v>
      </c>
      <c r="I115" s="95">
        <v>-583</v>
      </c>
      <c r="J115" s="96">
        <v>-130</v>
      </c>
      <c r="K115" s="93">
        <v>0.34</v>
      </c>
    </row>
    <row r="116" spans="2:11" ht="12.75">
      <c r="B116" s="97">
        <v>1.67</v>
      </c>
      <c r="C116" s="80">
        <v>610</v>
      </c>
      <c r="D116" s="80">
        <v>451</v>
      </c>
      <c r="E116" s="80">
        <v>291</v>
      </c>
      <c r="F116" s="94">
        <v>132</v>
      </c>
      <c r="G116" s="95">
        <v>-28</v>
      </c>
      <c r="H116" s="96">
        <v>-188</v>
      </c>
      <c r="I116" s="95">
        <v>-347</v>
      </c>
      <c r="J116" s="37">
        <v>136</v>
      </c>
      <c r="K116" s="93">
        <v>0.66</v>
      </c>
    </row>
    <row r="117" spans="2:11" ht="12.75">
      <c r="B117" s="32">
        <v>1.85</v>
      </c>
      <c r="C117" s="94">
        <v>894</v>
      </c>
      <c r="D117" s="94">
        <v>726</v>
      </c>
      <c r="E117" s="94">
        <v>559</v>
      </c>
      <c r="F117" s="94">
        <v>391</v>
      </c>
      <c r="G117" s="94">
        <v>224</v>
      </c>
      <c r="H117" s="60">
        <v>57</v>
      </c>
      <c r="I117" s="95">
        <v>-111</v>
      </c>
      <c r="J117" s="60">
        <v>388</v>
      </c>
      <c r="K117" s="122">
        <v>0.88</v>
      </c>
    </row>
    <row r="118" spans="2:18" ht="12.75">
      <c r="B118" s="97">
        <v>2.04</v>
      </c>
      <c r="C118" s="80">
        <v>1181</v>
      </c>
      <c r="D118" s="80">
        <v>1004</v>
      </c>
      <c r="E118" s="80">
        <v>827</v>
      </c>
      <c r="F118" s="94">
        <v>651</v>
      </c>
      <c r="G118" s="94">
        <v>474</v>
      </c>
      <c r="H118" s="94">
        <v>298</v>
      </c>
      <c r="I118" s="94">
        <v>121</v>
      </c>
      <c r="J118" s="37">
        <v>654</v>
      </c>
      <c r="K118" s="18">
        <v>0.97</v>
      </c>
      <c r="N118" s="7"/>
      <c r="O118" s="7"/>
      <c r="P118" s="32"/>
      <c r="Q118" s="7"/>
      <c r="R118" s="7"/>
    </row>
    <row r="119" spans="1:19" ht="12.75">
      <c r="A119" s="1" t="s">
        <v>85</v>
      </c>
      <c r="B119" s="6">
        <v>2.22</v>
      </c>
      <c r="C119" s="6">
        <v>1473</v>
      </c>
      <c r="D119" s="6">
        <v>1286</v>
      </c>
      <c r="E119" s="6">
        <v>1099</v>
      </c>
      <c r="F119" s="6">
        <v>913</v>
      </c>
      <c r="G119" s="6">
        <v>727</v>
      </c>
      <c r="H119" s="37">
        <v>541</v>
      </c>
      <c r="I119" s="37">
        <v>355</v>
      </c>
      <c r="J119" s="6">
        <v>906</v>
      </c>
      <c r="K119" s="18">
        <v>0.99</v>
      </c>
      <c r="L119" s="7"/>
      <c r="M119" s="31"/>
      <c r="N119" s="31"/>
      <c r="O119" s="32"/>
      <c r="P119" s="32"/>
      <c r="Q119" s="32"/>
      <c r="R119" s="32"/>
      <c r="S119" s="32"/>
    </row>
    <row r="120" spans="13:21" ht="12.75">
      <c r="M120" s="1">
        <v>2.59</v>
      </c>
      <c r="N120" s="31">
        <v>2.42</v>
      </c>
      <c r="O120" s="97">
        <v>2.22</v>
      </c>
      <c r="P120" s="97">
        <v>2.04</v>
      </c>
      <c r="Q120" s="32">
        <v>1.85</v>
      </c>
      <c r="R120" s="97">
        <v>1.67</v>
      </c>
      <c r="S120" s="97">
        <v>1.48</v>
      </c>
      <c r="T120" s="1">
        <v>1.3</v>
      </c>
      <c r="U120" s="1">
        <v>1.11</v>
      </c>
    </row>
    <row r="121" spans="10:11" ht="12.75">
      <c r="J121" s="6"/>
      <c r="K121" s="6"/>
    </row>
    <row r="122" spans="2:11" ht="12.75">
      <c r="B122" s="98" t="s">
        <v>314</v>
      </c>
      <c r="C122" s="99"/>
      <c r="D122" s="99"/>
      <c r="E122" s="99"/>
      <c r="F122" s="99"/>
      <c r="G122" s="99"/>
      <c r="H122" s="99"/>
      <c r="I122" s="99"/>
      <c r="J122" s="99"/>
      <c r="K122" s="100"/>
    </row>
    <row r="123" spans="2:11" ht="12.75">
      <c r="B123" s="99" t="s">
        <v>315</v>
      </c>
      <c r="C123" s="99"/>
      <c r="D123" s="99"/>
      <c r="E123" s="99"/>
      <c r="F123" s="99"/>
      <c r="G123" s="99"/>
      <c r="H123" s="99"/>
      <c r="I123" s="99"/>
      <c r="J123" s="99"/>
      <c r="K123" s="100"/>
    </row>
    <row r="124" spans="2:11" ht="12.75">
      <c r="B124" s="100" t="s">
        <v>316</v>
      </c>
      <c r="C124" s="100"/>
      <c r="D124" s="100"/>
      <c r="E124" s="100"/>
      <c r="F124" s="100"/>
      <c r="G124" s="100"/>
      <c r="H124" s="100"/>
      <c r="I124" s="100"/>
      <c r="J124" s="100"/>
      <c r="K124" s="100"/>
    </row>
    <row r="125" spans="2:11" ht="12.75">
      <c r="B125" s="100" t="s">
        <v>317</v>
      </c>
      <c r="C125" s="100"/>
      <c r="D125" s="100"/>
      <c r="E125" s="100"/>
      <c r="F125" s="100"/>
      <c r="G125" s="100"/>
      <c r="H125" s="100"/>
      <c r="I125" s="100"/>
      <c r="J125" s="100"/>
      <c r="K125" s="100"/>
    </row>
    <row r="126" ht="12.75">
      <c r="A126" s="1" t="s">
        <v>260</v>
      </c>
    </row>
    <row r="127" ht="12.75">
      <c r="A127" s="1" t="s">
        <v>260</v>
      </c>
    </row>
    <row r="128" ht="12.75">
      <c r="A128" s="1" t="s">
        <v>260</v>
      </c>
    </row>
    <row r="129" ht="12.75">
      <c r="A129" s="1" t="s">
        <v>260</v>
      </c>
    </row>
    <row r="130" ht="12.75"/>
    <row r="131" spans="4:9" ht="12.75">
      <c r="D131" s="4"/>
      <c r="E131" s="4"/>
      <c r="F131" s="4"/>
      <c r="G131" s="4"/>
      <c r="H131" s="4"/>
      <c r="I131" s="4"/>
    </row>
    <row r="132" spans="4:9" ht="12.75">
      <c r="D132" s="4"/>
      <c r="E132" s="4"/>
      <c r="F132" s="4"/>
      <c r="G132" s="4"/>
      <c r="H132" s="4"/>
      <c r="I132" s="4"/>
    </row>
    <row r="134" spans="2:10" ht="12.75">
      <c r="B134" s="88"/>
      <c r="C134" s="88"/>
      <c r="D134" s="88"/>
      <c r="E134" s="88"/>
      <c r="F134" s="88"/>
      <c r="G134" s="88"/>
      <c r="H134" s="88"/>
      <c r="I134" s="88"/>
      <c r="J134" s="89"/>
    </row>
    <row r="135" spans="2:10" ht="12.75">
      <c r="B135" s="111"/>
      <c r="C135" s="111"/>
      <c r="D135" s="111"/>
      <c r="E135" s="111"/>
      <c r="F135" s="111"/>
      <c r="G135" s="111"/>
      <c r="H135" s="111"/>
      <c r="I135" s="111"/>
      <c r="J135" s="111"/>
    </row>
    <row r="136" ht="12.75">
      <c r="B136" s="66"/>
    </row>
    <row r="143" spans="2:9" ht="12.75">
      <c r="B143" s="13"/>
      <c r="C143" s="13"/>
      <c r="D143" s="13"/>
      <c r="E143" s="17"/>
      <c r="F143" s="17"/>
      <c r="G143" s="17"/>
      <c r="H143" s="9"/>
      <c r="I143" s="9"/>
    </row>
    <row r="144" spans="5:9" ht="12.75">
      <c r="E144" s="6"/>
      <c r="F144" s="6"/>
      <c r="G144" s="6"/>
      <c r="H144" s="6"/>
      <c r="I144" s="6"/>
    </row>
    <row r="145" spans="5:9" ht="12.75">
      <c r="E145" s="5"/>
      <c r="F145" s="5"/>
      <c r="G145" s="8"/>
      <c r="H145" s="5"/>
      <c r="I145" s="5"/>
    </row>
    <row r="146" spans="5:9" ht="12.75">
      <c r="E146" s="7"/>
      <c r="F146" s="7"/>
      <c r="G146" s="9"/>
      <c r="H146" s="7"/>
      <c r="I146" s="7"/>
    </row>
  </sheetData>
  <sheetProtection/>
  <mergeCells count="4">
    <mergeCell ref="E18:G18"/>
    <mergeCell ref="C86:I86"/>
    <mergeCell ref="B135:J135"/>
    <mergeCell ref="A10:L10"/>
  </mergeCells>
  <printOptions/>
  <pageMargins left="0.75" right="0.75" top="1" bottom="1" header="0.5" footer="0.5"/>
  <pageSetup horizontalDpi="600" verticalDpi="600" orientation="portrait" r:id="rId2"/>
  <rowBreaks count="2" manualBreakCount="2">
    <brk id="16" max="255" man="1"/>
    <brk id="7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1">
      <selection activeCell="M23" sqref="M23"/>
    </sheetView>
  </sheetViews>
  <sheetFormatPr defaultColWidth="9.140625" defaultRowHeight="12.75"/>
  <cols>
    <col min="2" max="2" width="21.7109375" style="0" customWidth="1"/>
    <col min="4" max="4" width="10.8515625" style="0" customWidth="1"/>
    <col min="5" max="5" width="11.7109375" style="0" customWidth="1"/>
    <col min="6" max="6" width="10.140625" style="0" customWidth="1"/>
    <col min="8" max="8" width="6.7109375" style="0" customWidth="1"/>
    <col min="9" max="9" width="14.57421875" style="0" customWidth="1"/>
    <col min="10" max="10" width="14.7109375" style="0" customWidth="1"/>
    <col min="11" max="11" width="14.00390625" style="0" customWidth="1"/>
    <col min="12" max="12" width="12.421875" style="0" customWidth="1"/>
    <col min="13" max="13" width="9.851562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1"/>
      <c r="B8" s="1"/>
      <c r="C8" s="1"/>
      <c r="D8" s="15"/>
      <c r="E8" s="1"/>
      <c r="F8" s="1"/>
      <c r="G8" s="1"/>
      <c r="H8" s="1"/>
      <c r="I8" s="1"/>
      <c r="J8" s="1"/>
      <c r="K8" s="1"/>
      <c r="L8" s="1"/>
      <c r="M8" s="82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1"/>
      <c r="B9" s="1"/>
      <c r="C9" s="1"/>
      <c r="D9" s="15"/>
      <c r="E9" s="1"/>
      <c r="F9" s="1"/>
      <c r="G9" s="1"/>
      <c r="H9" s="1"/>
      <c r="I9" s="1"/>
      <c r="J9" s="82"/>
      <c r="K9" s="1"/>
      <c r="L9" s="1"/>
      <c r="M9" s="82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s="1"/>
      <c r="B10" s="1"/>
      <c r="C10" s="1"/>
      <c r="D10" s="15"/>
      <c r="E10" s="1"/>
      <c r="F10" s="1"/>
      <c r="G10" s="1"/>
      <c r="H10" s="1"/>
      <c r="I10" s="86"/>
      <c r="J10" s="87"/>
      <c r="K10" s="47"/>
      <c r="L10" s="47"/>
      <c r="M10" s="87"/>
      <c r="N10" s="87"/>
      <c r="O10" s="1"/>
      <c r="P10" s="1"/>
      <c r="Q10" s="1"/>
      <c r="R10" s="1"/>
      <c r="S10" s="1"/>
      <c r="T10" s="1"/>
      <c r="U10" s="1"/>
      <c r="V10" s="1"/>
    </row>
    <row r="11" spans="1:22" ht="12.75">
      <c r="A11" s="1"/>
      <c r="B11" s="1"/>
      <c r="C11" s="1"/>
      <c r="D11" s="15"/>
      <c r="E11" s="1"/>
      <c r="F11" s="1"/>
      <c r="G11" s="1"/>
      <c r="H11" s="1"/>
      <c r="I11" s="86"/>
      <c r="J11" s="87"/>
      <c r="K11" s="47"/>
      <c r="L11" s="47"/>
      <c r="M11" s="87"/>
      <c r="N11" s="87"/>
      <c r="O11" s="1"/>
      <c r="P11" s="1"/>
      <c r="Q11" s="1"/>
      <c r="R11" s="1"/>
      <c r="S11" s="1"/>
      <c r="T11" s="1"/>
      <c r="U11" s="1"/>
      <c r="V11" s="1"/>
    </row>
    <row r="12" spans="1:22" ht="12.75">
      <c r="A12" s="1"/>
      <c r="B12" s="1"/>
      <c r="C12" s="1"/>
      <c r="D12" s="15"/>
      <c r="E12" s="1"/>
      <c r="F12" s="1"/>
      <c r="G12" s="1"/>
      <c r="H12" s="1"/>
      <c r="I12" s="86"/>
      <c r="J12" s="87"/>
      <c r="K12" s="47"/>
      <c r="L12" s="47"/>
      <c r="M12" s="87"/>
      <c r="N12" s="87"/>
      <c r="O12" s="1"/>
      <c r="P12" s="1"/>
      <c r="Q12" s="1"/>
      <c r="R12" s="1"/>
      <c r="S12" s="1"/>
      <c r="T12" s="1"/>
      <c r="U12" s="1"/>
      <c r="V12" s="1"/>
    </row>
    <row r="13" spans="1:22" ht="12.75">
      <c r="A13" s="1"/>
      <c r="B13" s="47"/>
      <c r="C13" s="47"/>
      <c r="D13" s="84"/>
      <c r="E13" s="47"/>
      <c r="F13" s="47"/>
      <c r="G13" s="1"/>
      <c r="H13" s="1"/>
      <c r="I13" s="86"/>
      <c r="J13" s="87"/>
      <c r="K13" s="47"/>
      <c r="L13" s="47"/>
      <c r="M13" s="87"/>
      <c r="N13" s="87"/>
      <c r="O13" s="1"/>
      <c r="P13" s="1"/>
      <c r="Q13" s="1"/>
      <c r="R13" s="1"/>
      <c r="S13" s="1"/>
      <c r="T13" s="1"/>
      <c r="U13" s="1"/>
      <c r="V13" s="1"/>
    </row>
    <row r="14" spans="1:22" ht="12.75">
      <c r="A14" s="1"/>
      <c r="B14" s="1"/>
      <c r="C14" s="1"/>
      <c r="D14" s="15"/>
      <c r="E14" s="1"/>
      <c r="F14" s="1"/>
      <c r="G14" s="1"/>
      <c r="H14" s="1"/>
      <c r="I14" s="86"/>
      <c r="J14" s="87"/>
      <c r="K14" s="47"/>
      <c r="L14" s="47"/>
      <c r="M14" s="87"/>
      <c r="N14" s="87"/>
      <c r="O14" s="1"/>
      <c r="P14" s="1"/>
      <c r="Q14" s="1"/>
      <c r="R14" s="1"/>
      <c r="S14" s="1"/>
      <c r="T14" s="1"/>
      <c r="U14" s="1"/>
      <c r="V14" s="1"/>
    </row>
    <row r="15" spans="1:22" ht="12.75">
      <c r="A15" s="1"/>
      <c r="B15" s="1"/>
      <c r="C15" s="1"/>
      <c r="D15" s="15"/>
      <c r="E15" s="1"/>
      <c r="F15" s="1"/>
      <c r="G15" s="1"/>
      <c r="H15" s="1"/>
      <c r="I15" s="83"/>
      <c r="J15" s="82"/>
      <c r="K15" s="1"/>
      <c r="L15" s="1"/>
      <c r="M15" s="82"/>
      <c r="N15" s="82"/>
      <c r="O15" s="1"/>
      <c r="P15" s="1"/>
      <c r="Q15" s="1"/>
      <c r="R15" s="1"/>
      <c r="S15" s="1"/>
      <c r="T15" s="1"/>
      <c r="U15" s="1"/>
      <c r="V15" s="1"/>
    </row>
    <row r="16" spans="1:22" ht="12.75">
      <c r="A16" s="1"/>
      <c r="B16" s="1"/>
      <c r="C16" s="1"/>
      <c r="D16" s="15"/>
      <c r="E16" s="1"/>
      <c r="F16" s="1"/>
      <c r="G16" s="1"/>
      <c r="H16" s="1"/>
      <c r="I16" s="83"/>
      <c r="J16" s="82"/>
      <c r="K16" s="1"/>
      <c r="L16" s="1"/>
      <c r="M16" s="82"/>
      <c r="N16" s="82"/>
      <c r="O16" s="1"/>
      <c r="P16" s="1"/>
      <c r="Q16" s="1"/>
      <c r="R16" s="1"/>
      <c r="S16" s="1"/>
      <c r="T16" s="1"/>
      <c r="U16" s="1"/>
      <c r="V16" s="1"/>
    </row>
    <row r="17" spans="1:22" ht="12.75">
      <c r="A17" s="1"/>
      <c r="B17" s="1"/>
      <c r="C17" s="1"/>
      <c r="D17" s="15"/>
      <c r="E17" s="1"/>
      <c r="F17" s="1"/>
      <c r="G17" s="1"/>
      <c r="H17" s="1"/>
      <c r="I17" s="83"/>
      <c r="J17" s="82"/>
      <c r="K17" s="1"/>
      <c r="L17" s="1"/>
      <c r="M17" s="82"/>
      <c r="N17" s="82"/>
      <c r="O17" s="1"/>
      <c r="P17" s="1"/>
      <c r="Q17" s="1"/>
      <c r="R17" s="1"/>
      <c r="S17" s="1"/>
      <c r="T17" s="1"/>
      <c r="U17" s="1"/>
      <c r="V17" s="1"/>
    </row>
    <row r="18" spans="1:22" ht="12.75">
      <c r="A18" s="1"/>
      <c r="B18" s="47"/>
      <c r="C18" s="47"/>
      <c r="D18" s="84"/>
      <c r="E18" s="47"/>
      <c r="F18" s="47"/>
      <c r="G18" s="1"/>
      <c r="H18" s="1"/>
      <c r="I18" s="83"/>
      <c r="J18" s="82"/>
      <c r="K18" s="1"/>
      <c r="L18" s="1"/>
      <c r="M18" s="82"/>
      <c r="N18" s="82"/>
      <c r="O18" s="1"/>
      <c r="P18" s="1"/>
      <c r="Q18" s="1"/>
      <c r="R18" s="1"/>
      <c r="S18" s="1"/>
      <c r="T18" s="1"/>
      <c r="U18" s="1"/>
      <c r="V18" s="1"/>
    </row>
    <row r="19" spans="1:22" ht="12.75">
      <c r="A19" s="1"/>
      <c r="B19" s="1"/>
      <c r="C19" s="1"/>
      <c r="D19" s="15"/>
      <c r="E19" s="1"/>
      <c r="F19" s="1"/>
      <c r="G19" s="1"/>
      <c r="H19" s="1"/>
      <c r="I19" s="83"/>
      <c r="J19" s="85"/>
      <c r="K19" s="1"/>
      <c r="L19" s="1"/>
      <c r="M19" s="82"/>
      <c r="N19" s="82"/>
      <c r="O19" s="1"/>
      <c r="P19" s="1"/>
      <c r="Q19" s="1"/>
      <c r="R19" s="1"/>
      <c r="S19" s="1"/>
      <c r="T19" s="1"/>
      <c r="U19" s="1"/>
      <c r="V19" s="1"/>
    </row>
    <row r="20" spans="1:22" ht="12.75">
      <c r="A20" s="1"/>
      <c r="B20" s="1"/>
      <c r="C20" s="1"/>
      <c r="D20" s="1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1"/>
      <c r="B21" s="1"/>
      <c r="C21" s="1"/>
      <c r="D21" s="1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1"/>
      <c r="B22" s="1"/>
      <c r="C22" s="1"/>
      <c r="D22" s="1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1"/>
      <c r="B23" s="1"/>
      <c r="C23" s="1"/>
      <c r="D23" s="1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1"/>
      <c r="B24" s="1"/>
      <c r="C24" s="1"/>
      <c r="D24" s="1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1"/>
      <c r="B25" s="1"/>
      <c r="C25" s="1"/>
      <c r="D25" s="1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1"/>
      <c r="B26" s="47"/>
      <c r="C26" s="47"/>
      <c r="D26" s="84"/>
      <c r="E26" s="47"/>
      <c r="F26" s="4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"/>
      <c r="B27" s="1"/>
      <c r="C27" s="1"/>
      <c r="D27" s="1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1"/>
      <c r="B28" s="1"/>
      <c r="C28" s="1"/>
      <c r="D28" s="1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13.7109375" style="1" customWidth="1"/>
    <col min="2" max="2" width="13.28125" style="1" customWidth="1"/>
    <col min="3" max="3" width="24.57421875" style="1" customWidth="1"/>
    <col min="4" max="4" width="12.28125" style="1" customWidth="1"/>
    <col min="5" max="5" width="9.140625" style="1" customWidth="1"/>
    <col min="6" max="6" width="29.421875" style="1" customWidth="1"/>
    <col min="7" max="7" width="14.8515625" style="1" customWidth="1"/>
    <col min="8" max="16384" width="9.140625" style="1" customWidth="1"/>
  </cols>
  <sheetData>
    <row r="1" spans="1:8" ht="12.75">
      <c r="A1" s="30" t="s">
        <v>203</v>
      </c>
      <c r="B1" s="1" t="s">
        <v>86</v>
      </c>
      <c r="C1" s="13"/>
      <c r="D1" s="30" t="s">
        <v>203</v>
      </c>
      <c r="E1" s="1" t="s">
        <v>86</v>
      </c>
      <c r="F1" s="13"/>
      <c r="G1" s="30" t="s">
        <v>203</v>
      </c>
      <c r="H1" s="1" t="s">
        <v>86</v>
      </c>
    </row>
    <row r="2" spans="1:8" ht="12.75">
      <c r="A2" s="6" t="s">
        <v>94</v>
      </c>
      <c r="B2" s="1" t="s">
        <v>90</v>
      </c>
      <c r="C2" s="13"/>
      <c r="D2" s="6" t="s">
        <v>94</v>
      </c>
      <c r="E2" s="1" t="s">
        <v>87</v>
      </c>
      <c r="F2" s="13"/>
      <c r="G2" s="6" t="s">
        <v>94</v>
      </c>
      <c r="H2" s="1" t="s">
        <v>93</v>
      </c>
    </row>
    <row r="3" spans="1:8" ht="12.75">
      <c r="A3" s="6" t="s">
        <v>94</v>
      </c>
      <c r="B3" s="1" t="s">
        <v>88</v>
      </c>
      <c r="D3" s="6" t="s">
        <v>94</v>
      </c>
      <c r="E3" s="1" t="s">
        <v>89</v>
      </c>
      <c r="G3" s="6" t="s">
        <v>94</v>
      </c>
      <c r="H3" s="1" t="s">
        <v>88</v>
      </c>
    </row>
    <row r="4" spans="1:8" ht="12.75">
      <c r="A4" s="6" t="s">
        <v>94</v>
      </c>
      <c r="B4" s="1" t="s">
        <v>91</v>
      </c>
      <c r="D4" s="6" t="s">
        <v>94</v>
      </c>
      <c r="E4" s="1" t="s">
        <v>92</v>
      </c>
      <c r="G4" s="6" t="s">
        <v>94</v>
      </c>
      <c r="H4" s="1" t="s">
        <v>91</v>
      </c>
    </row>
    <row r="5" ht="12.75">
      <c r="A5" s="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M63"/>
  <sheetViews>
    <sheetView zoomScalePageLayoutView="0" workbookViewId="0" topLeftCell="B1">
      <selection activeCell="M16" sqref="M16"/>
    </sheetView>
  </sheetViews>
  <sheetFormatPr defaultColWidth="9.140625" defaultRowHeight="12.75"/>
  <cols>
    <col min="1" max="1" width="9.140625" style="1" customWidth="1"/>
    <col min="2" max="2" width="27.28125" style="1" customWidth="1"/>
    <col min="3" max="3" width="3.57421875" style="1" customWidth="1"/>
    <col min="4" max="4" width="6.28125" style="1" customWidth="1"/>
    <col min="5" max="5" width="13.00390625" style="1" customWidth="1"/>
    <col min="6" max="6" width="20.8515625" style="1" customWidth="1"/>
    <col min="7" max="7" width="17.8515625" style="1" customWidth="1"/>
    <col min="8" max="8" width="17.00390625" style="1" customWidth="1"/>
    <col min="9" max="9" width="5.421875" style="1" customWidth="1"/>
    <col min="10" max="10" width="3.00390625" style="1" customWidth="1"/>
    <col min="11" max="12" width="9.140625" style="1" customWidth="1"/>
    <col min="13" max="13" width="12.57421875" style="1" customWidth="1"/>
    <col min="14" max="14" width="11.7109375" style="1" customWidth="1"/>
    <col min="15" max="15" width="11.421875" style="1" customWidth="1"/>
    <col min="16" max="16" width="11.8515625" style="1" customWidth="1"/>
    <col min="17" max="17" width="12.140625" style="1" customWidth="1"/>
    <col min="18" max="16384" width="9.140625" style="1" customWidth="1"/>
  </cols>
  <sheetData>
    <row r="2" spans="2:13" ht="21">
      <c r="B2" s="114" t="s">
        <v>334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2:13" ht="21">
      <c r="B3" s="112" t="s">
        <v>332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5" spans="2:10" ht="12.75">
      <c r="B5" s="105" t="s">
        <v>314</v>
      </c>
      <c r="C5" s="106"/>
      <c r="D5" s="106"/>
      <c r="E5" s="106"/>
      <c r="F5" s="106"/>
      <c r="G5" s="106"/>
      <c r="H5" s="106"/>
      <c r="I5" s="106"/>
      <c r="J5" s="100"/>
    </row>
    <row r="6" spans="2:10" ht="12.75">
      <c r="B6" s="106" t="s">
        <v>315</v>
      </c>
      <c r="C6" s="106"/>
      <c r="D6" s="106"/>
      <c r="E6" s="106"/>
      <c r="F6" s="106"/>
      <c r="G6" s="106"/>
      <c r="H6" s="106"/>
      <c r="I6" s="106"/>
      <c r="J6" s="100"/>
    </row>
    <row r="7" spans="2:10" ht="12.75">
      <c r="B7" s="106" t="s">
        <v>316</v>
      </c>
      <c r="C7" s="106"/>
      <c r="D7" s="106"/>
      <c r="E7" s="106"/>
      <c r="F7" s="106"/>
      <c r="G7" s="106"/>
      <c r="H7" s="106"/>
      <c r="I7" s="106"/>
      <c r="J7" s="100"/>
    </row>
    <row r="8" spans="2:10" ht="12.75">
      <c r="B8" s="100" t="s">
        <v>333</v>
      </c>
      <c r="C8" s="100"/>
      <c r="D8" s="100"/>
      <c r="E8" s="100"/>
      <c r="F8" s="100"/>
      <c r="G8" s="100"/>
      <c r="H8" s="100"/>
      <c r="I8" s="100"/>
      <c r="J8" s="100"/>
    </row>
    <row r="9" ht="12.75">
      <c r="B9" s="66" t="s">
        <v>305</v>
      </c>
    </row>
    <row r="11" spans="1:9" ht="15">
      <c r="A11" s="108" t="s">
        <v>301</v>
      </c>
      <c r="B11" s="109"/>
      <c r="C11" s="109"/>
      <c r="D11" s="109"/>
      <c r="E11" s="109"/>
      <c r="F11" s="109"/>
      <c r="G11" s="109"/>
      <c r="H11" s="109"/>
      <c r="I11" s="109"/>
    </row>
    <row r="12" spans="2:8" ht="15">
      <c r="B12" s="108" t="s">
        <v>319</v>
      </c>
      <c r="C12" s="113"/>
      <c r="D12" s="113"/>
      <c r="E12" s="113"/>
      <c r="F12" s="113"/>
      <c r="G12" s="113"/>
      <c r="H12" s="113"/>
    </row>
    <row r="13" ht="12.75">
      <c r="M13" s="123"/>
    </row>
    <row r="15" spans="2:8" ht="12.75">
      <c r="B15" s="31" t="s">
        <v>186</v>
      </c>
      <c r="C15" s="31"/>
      <c r="D15" s="36"/>
      <c r="E15" s="17" t="s">
        <v>249</v>
      </c>
      <c r="F15" s="17" t="s">
        <v>205</v>
      </c>
      <c r="G15" s="9" t="s">
        <v>200</v>
      </c>
      <c r="H15" s="8" t="s">
        <v>99</v>
      </c>
    </row>
    <row r="16" spans="2:8" ht="12.75">
      <c r="B16" s="36" t="s">
        <v>281</v>
      </c>
      <c r="C16" s="36"/>
      <c r="D16" s="36"/>
      <c r="E16" s="37" t="s">
        <v>95</v>
      </c>
      <c r="F16" s="40">
        <v>1</v>
      </c>
      <c r="G16" s="43">
        <v>0</v>
      </c>
      <c r="H16" s="40">
        <f aca="true" t="shared" si="0" ref="H16:H28">F16*G16</f>
        <v>0</v>
      </c>
    </row>
    <row r="17" spans="2:8" ht="12.75">
      <c r="B17" s="36" t="s">
        <v>174</v>
      </c>
      <c r="C17" s="36"/>
      <c r="D17" s="36"/>
      <c r="E17" s="37" t="s">
        <v>226</v>
      </c>
      <c r="F17" s="40">
        <v>1</v>
      </c>
      <c r="G17" s="40">
        <f>+Bud!H32</f>
        <v>60</v>
      </c>
      <c r="H17" s="40">
        <f t="shared" si="0"/>
        <v>60</v>
      </c>
    </row>
    <row r="18" spans="2:8" ht="12.75">
      <c r="B18" s="36" t="s">
        <v>133</v>
      </c>
      <c r="C18" s="36"/>
      <c r="D18" s="36"/>
      <c r="E18" s="37" t="s">
        <v>171</v>
      </c>
      <c r="F18" s="40">
        <v>29</v>
      </c>
      <c r="G18" s="40">
        <v>0.84</v>
      </c>
      <c r="H18" s="40">
        <f t="shared" si="0"/>
        <v>24.36</v>
      </c>
    </row>
    <row r="19" spans="2:8" ht="12.75">
      <c r="B19" s="36" t="s">
        <v>266</v>
      </c>
      <c r="C19" s="36"/>
      <c r="D19" s="36"/>
      <c r="E19" s="37" t="s">
        <v>171</v>
      </c>
      <c r="F19" s="40">
        <v>29</v>
      </c>
      <c r="G19" s="40">
        <v>2.4</v>
      </c>
      <c r="H19" s="40">
        <f t="shared" si="0"/>
        <v>69.6</v>
      </c>
    </row>
    <row r="20" spans="2:8" ht="12.75">
      <c r="B20" s="36" t="s">
        <v>138</v>
      </c>
      <c r="C20" s="36"/>
      <c r="D20" s="36"/>
      <c r="E20" s="37" t="s">
        <v>95</v>
      </c>
      <c r="F20" s="40">
        <v>3</v>
      </c>
      <c r="G20" s="40">
        <v>0.5</v>
      </c>
      <c r="H20" s="40">
        <f t="shared" si="0"/>
        <v>1.5</v>
      </c>
    </row>
    <row r="21" spans="2:8" ht="12.75">
      <c r="B21" s="36" t="s">
        <v>149</v>
      </c>
      <c r="C21" s="36"/>
      <c r="D21" s="36"/>
      <c r="E21" s="37" t="s">
        <v>143</v>
      </c>
      <c r="F21" s="40">
        <v>4</v>
      </c>
      <c r="G21" s="40">
        <v>38.03</v>
      </c>
      <c r="H21" s="40">
        <f t="shared" si="0"/>
        <v>152.12</v>
      </c>
    </row>
    <row r="22" spans="2:8" ht="12.75">
      <c r="B22" s="36" t="s">
        <v>284</v>
      </c>
      <c r="C22" s="36"/>
      <c r="D22" s="36"/>
      <c r="E22" s="37" t="s">
        <v>245</v>
      </c>
      <c r="F22" s="40">
        <v>29</v>
      </c>
      <c r="G22" s="40">
        <v>20</v>
      </c>
      <c r="H22" s="40">
        <f t="shared" si="0"/>
        <v>580</v>
      </c>
    </row>
    <row r="23" spans="2:8" ht="12.75">
      <c r="B23" s="36" t="s">
        <v>169</v>
      </c>
      <c r="C23" s="36"/>
      <c r="D23" s="36"/>
      <c r="E23" s="37" t="s">
        <v>153</v>
      </c>
      <c r="F23" s="40">
        <v>20</v>
      </c>
      <c r="G23" s="40">
        <f>Bud!H42</f>
        <v>13.67</v>
      </c>
      <c r="H23" s="40">
        <f t="shared" si="0"/>
        <v>273.4</v>
      </c>
    </row>
    <row r="24" spans="2:8" ht="12.75">
      <c r="B24" s="36" t="s">
        <v>55</v>
      </c>
      <c r="C24" s="36"/>
      <c r="D24" s="36"/>
      <c r="E24" s="37" t="s">
        <v>95</v>
      </c>
      <c r="F24" s="40">
        <v>10</v>
      </c>
      <c r="G24" s="40">
        <v>4.8</v>
      </c>
      <c r="H24" s="40">
        <f t="shared" si="0"/>
        <v>48</v>
      </c>
    </row>
    <row r="25" spans="2:8" ht="12.75">
      <c r="B25" s="36" t="s">
        <v>61</v>
      </c>
      <c r="C25" s="36"/>
      <c r="D25" s="36"/>
      <c r="E25" s="37" t="s">
        <v>95</v>
      </c>
      <c r="F25" s="40">
        <v>1</v>
      </c>
      <c r="G25" s="40">
        <v>40.08</v>
      </c>
      <c r="H25" s="40">
        <f t="shared" si="0"/>
        <v>40.08</v>
      </c>
    </row>
    <row r="26" spans="2:8" ht="12.75">
      <c r="B26" s="36" t="s">
        <v>165</v>
      </c>
      <c r="C26" s="36"/>
      <c r="D26" s="36"/>
      <c r="E26" s="37" t="s">
        <v>95</v>
      </c>
      <c r="F26" s="40">
        <v>1</v>
      </c>
      <c r="G26" s="40">
        <f>Bud!H46</f>
        <v>100</v>
      </c>
      <c r="H26" s="40">
        <f t="shared" si="0"/>
        <v>100</v>
      </c>
    </row>
    <row r="27" spans="2:8" ht="12.75">
      <c r="B27" s="36" t="s">
        <v>286</v>
      </c>
      <c r="C27" s="36"/>
      <c r="D27" s="36"/>
      <c r="E27" s="37" t="s">
        <v>95</v>
      </c>
      <c r="F27" s="43">
        <v>1</v>
      </c>
      <c r="G27" s="43">
        <v>0</v>
      </c>
      <c r="H27" s="40">
        <f t="shared" si="0"/>
        <v>0</v>
      </c>
    </row>
    <row r="28" spans="2:8" ht="12.75">
      <c r="B28" s="36" t="s">
        <v>161</v>
      </c>
      <c r="C28" s="36"/>
      <c r="D28" s="36"/>
      <c r="E28" s="37"/>
      <c r="F28" s="40">
        <f>SUM(H14:H25)</f>
        <v>1249.06</v>
      </c>
      <c r="G28" s="43">
        <v>0.075</v>
      </c>
      <c r="H28" s="40">
        <f t="shared" si="0"/>
        <v>93.67949999999999</v>
      </c>
    </row>
    <row r="29" spans="2:8" ht="13.5" thickBot="1">
      <c r="B29" s="31" t="s">
        <v>238</v>
      </c>
      <c r="C29" s="36"/>
      <c r="D29" s="36"/>
      <c r="E29" s="37"/>
      <c r="F29" s="43"/>
      <c r="G29" s="43"/>
      <c r="H29" s="52">
        <f>SUM(H17:H28)</f>
        <v>1442.7395</v>
      </c>
    </row>
    <row r="30" spans="2:8" ht="13.5" thickTop="1">
      <c r="B30" s="36"/>
      <c r="C30" s="36"/>
      <c r="D30" s="36"/>
      <c r="E30" s="37"/>
      <c r="F30" s="37"/>
      <c r="G30" s="37"/>
      <c r="H30" s="62"/>
    </row>
    <row r="31" spans="2:8" ht="12.75">
      <c r="B31" s="31" t="s">
        <v>136</v>
      </c>
      <c r="C31" s="31"/>
      <c r="D31" s="36"/>
      <c r="E31" s="17" t="s">
        <v>249</v>
      </c>
      <c r="F31" s="17" t="s">
        <v>205</v>
      </c>
      <c r="G31" s="9" t="s">
        <v>200</v>
      </c>
      <c r="H31" s="8" t="s">
        <v>99</v>
      </c>
    </row>
    <row r="32" spans="2:8" ht="12.75">
      <c r="B32" s="36"/>
      <c r="C32" s="36"/>
      <c r="D32" s="36"/>
      <c r="E32" s="37"/>
      <c r="F32" s="37"/>
      <c r="G32" s="37"/>
      <c r="H32" s="37"/>
    </row>
    <row r="33" spans="2:8" ht="12.75">
      <c r="B33" s="36" t="s">
        <v>243</v>
      </c>
      <c r="C33" s="36"/>
      <c r="D33" s="36"/>
      <c r="E33" s="37" t="s">
        <v>95</v>
      </c>
      <c r="F33" s="40">
        <f>FxdCost!I39</f>
        <v>158.50454166666665</v>
      </c>
      <c r="G33" s="40">
        <v>1</v>
      </c>
      <c r="H33" s="40">
        <f>F33*G33</f>
        <v>158.50454166666665</v>
      </c>
    </row>
    <row r="34" spans="2:8" ht="12.75">
      <c r="B34" s="36" t="s">
        <v>329</v>
      </c>
      <c r="C34" s="36"/>
      <c r="D34" s="36"/>
      <c r="E34" s="37" t="s">
        <v>95</v>
      </c>
      <c r="F34" s="40">
        <f>H29</f>
        <v>1442.7395</v>
      </c>
      <c r="G34" s="40">
        <f>Bud!H63</f>
        <v>0.1</v>
      </c>
      <c r="H34" s="40">
        <f>F34*G34</f>
        <v>144.27394999999999</v>
      </c>
    </row>
    <row r="35" spans="2:8" ht="12.75">
      <c r="B35" s="36" t="s">
        <v>165</v>
      </c>
      <c r="C35" s="36"/>
      <c r="D35" s="36"/>
      <c r="E35" s="37" t="s">
        <v>95</v>
      </c>
      <c r="F35" s="40">
        <v>1</v>
      </c>
      <c r="G35" s="40">
        <f>Drip!I41</f>
        <v>22.5544125</v>
      </c>
      <c r="H35" s="40">
        <f>F35*G35</f>
        <v>22.5544125</v>
      </c>
    </row>
    <row r="36" spans="2:8" ht="13.5" thickBot="1">
      <c r="B36" s="31" t="s">
        <v>233</v>
      </c>
      <c r="C36" s="36"/>
      <c r="D36" s="36"/>
      <c r="E36" s="37" t="s">
        <v>68</v>
      </c>
      <c r="F36" s="37"/>
      <c r="G36" s="43"/>
      <c r="H36" s="52">
        <f>SUM(H33:H35)</f>
        <v>325.33290416666665</v>
      </c>
    </row>
    <row r="37" spans="2:8" ht="13.5" thickTop="1">
      <c r="B37" s="36"/>
      <c r="C37" s="36"/>
      <c r="D37" s="36"/>
      <c r="E37" s="37"/>
      <c r="F37" s="37"/>
      <c r="G37" s="37"/>
      <c r="H37" s="62"/>
    </row>
    <row r="38" spans="2:8" ht="13.5" thickBot="1">
      <c r="B38" s="13" t="s">
        <v>232</v>
      </c>
      <c r="E38" s="37" t="s">
        <v>68</v>
      </c>
      <c r="F38" s="6"/>
      <c r="G38" s="6"/>
      <c r="H38" s="55">
        <f>H29+H36</f>
        <v>1768.0724041666665</v>
      </c>
    </row>
    <row r="39" ht="13.5" thickTop="1">
      <c r="H39" s="49"/>
    </row>
    <row r="42" ht="12.75">
      <c r="B42" s="1" t="s">
        <v>282</v>
      </c>
    </row>
    <row r="43" ht="12.75">
      <c r="B43" s="36" t="s">
        <v>302</v>
      </c>
    </row>
    <row r="44" spans="1:2" ht="12.75">
      <c r="A44" s="1" t="s">
        <v>85</v>
      </c>
      <c r="B44" s="1" t="s">
        <v>285</v>
      </c>
    </row>
    <row r="47" ht="12.75"/>
    <row r="48" ht="12.75"/>
    <row r="49" ht="12.75"/>
    <row r="50" ht="12.75"/>
    <row r="58" spans="2:6" ht="12.75">
      <c r="B58" s="60"/>
      <c r="C58" s="60"/>
      <c r="D58" s="60"/>
      <c r="E58" s="60"/>
      <c r="F58" s="60"/>
    </row>
    <row r="59" spans="2:6" ht="12.75">
      <c r="B59" s="36"/>
      <c r="C59" s="15"/>
      <c r="D59" s="15"/>
      <c r="E59" s="15"/>
      <c r="F59" s="15"/>
    </row>
    <row r="60" spans="2:6" ht="12.75">
      <c r="B60" s="36"/>
      <c r="C60" s="15"/>
      <c r="D60" s="15"/>
      <c r="E60" s="15"/>
      <c r="F60" s="15"/>
    </row>
    <row r="61" spans="2:6" ht="12.75">
      <c r="B61" s="36"/>
      <c r="C61" s="15"/>
      <c r="D61" s="15"/>
      <c r="E61" s="15"/>
      <c r="F61" s="15"/>
    </row>
    <row r="62" spans="2:6" ht="12.75">
      <c r="B62" s="36"/>
      <c r="C62" s="15"/>
      <c r="D62" s="15"/>
      <c r="E62" s="15"/>
      <c r="F62" s="15"/>
    </row>
    <row r="63" spans="2:6" ht="12.75">
      <c r="B63" s="36"/>
      <c r="C63" s="15"/>
      <c r="D63" s="15"/>
      <c r="E63" s="15"/>
      <c r="F63" s="15"/>
    </row>
  </sheetData>
  <sheetProtection/>
  <mergeCells count="4">
    <mergeCell ref="A11:I11"/>
    <mergeCell ref="B12:H12"/>
    <mergeCell ref="B2:M2"/>
    <mergeCell ref="B3:M3"/>
  </mergeCells>
  <printOptions/>
  <pageMargins left="0.75" right="0.75" top="1" bottom="1" header="0.5" footer="0.5"/>
  <pageSetup horizontalDpi="600" verticalDpi="600" orientation="portrait" r:id="rId2"/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2:L44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9.140625" style="1" customWidth="1"/>
    <col min="5" max="5" width="8.57421875" style="1" customWidth="1"/>
    <col min="6" max="6" width="11.7109375" style="1" customWidth="1"/>
    <col min="7" max="7" width="13.28125" style="1" customWidth="1"/>
    <col min="8" max="8" width="13.7109375" style="1" customWidth="1"/>
    <col min="9" max="16384" width="9.140625" style="1" customWidth="1"/>
  </cols>
  <sheetData>
    <row r="2" spans="1:12" ht="21">
      <c r="A2" s="114" t="s">
        <v>334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21">
      <c r="A3" s="114" t="s">
        <v>332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5" spans="2:10" ht="12.75">
      <c r="B5" s="105" t="s">
        <v>314</v>
      </c>
      <c r="C5" s="106"/>
      <c r="D5" s="106"/>
      <c r="E5" s="106"/>
      <c r="F5" s="106"/>
      <c r="G5" s="106"/>
      <c r="H5" s="106"/>
      <c r="I5" s="106"/>
      <c r="J5" s="100"/>
    </row>
    <row r="6" spans="2:10" ht="12.75">
      <c r="B6" s="106" t="s">
        <v>315</v>
      </c>
      <c r="C6" s="106"/>
      <c r="D6" s="106"/>
      <c r="E6" s="106"/>
      <c r="F6" s="106"/>
      <c r="G6" s="106"/>
      <c r="H6" s="106"/>
      <c r="I6" s="106"/>
      <c r="J6" s="100"/>
    </row>
    <row r="7" spans="2:10" ht="12.75">
      <c r="B7" s="106" t="s">
        <v>316</v>
      </c>
      <c r="C7" s="106"/>
      <c r="D7" s="106"/>
      <c r="E7" s="106"/>
      <c r="F7" s="106"/>
      <c r="G7" s="106"/>
      <c r="H7" s="106"/>
      <c r="I7" s="106"/>
      <c r="J7" s="100"/>
    </row>
    <row r="8" spans="2:10" ht="12.75">
      <c r="B8" s="100" t="s">
        <v>333</v>
      </c>
      <c r="C8" s="100"/>
      <c r="D8" s="100"/>
      <c r="E8" s="100"/>
      <c r="F8" s="100"/>
      <c r="G8" s="100"/>
      <c r="H8" s="100"/>
      <c r="I8" s="100"/>
      <c r="J8" s="100"/>
    </row>
    <row r="9" ht="12.75">
      <c r="B9" s="66"/>
    </row>
    <row r="11" spans="2:8" ht="15">
      <c r="B11" s="115" t="s">
        <v>127</v>
      </c>
      <c r="C11" s="116"/>
      <c r="D11" s="116"/>
      <c r="E11" s="116"/>
      <c r="F11" s="116"/>
      <c r="G11" s="116"/>
      <c r="H11" s="116"/>
    </row>
    <row r="12" spans="2:8" ht="15">
      <c r="B12" s="108" t="s">
        <v>320</v>
      </c>
      <c r="C12" s="116"/>
      <c r="D12" s="116"/>
      <c r="E12" s="116"/>
      <c r="F12" s="116"/>
      <c r="G12" s="116"/>
      <c r="H12" s="116"/>
    </row>
    <row r="13" spans="2:4" ht="12.75">
      <c r="B13" s="17"/>
      <c r="C13" s="6"/>
      <c r="D13" s="6"/>
    </row>
    <row r="15" spans="2:8" ht="12.75">
      <c r="B15" s="13" t="s">
        <v>186</v>
      </c>
      <c r="E15" s="17" t="s">
        <v>249</v>
      </c>
      <c r="F15" s="17" t="s">
        <v>205</v>
      </c>
      <c r="G15" s="9" t="s">
        <v>200</v>
      </c>
      <c r="H15" s="8" t="s">
        <v>99</v>
      </c>
    </row>
    <row r="16" spans="7:8" ht="12.75">
      <c r="G16" s="60" t="s">
        <v>71</v>
      </c>
      <c r="H16" s="60" t="s">
        <v>71</v>
      </c>
    </row>
    <row r="17" spans="2:8" ht="12.75">
      <c r="B17" s="1" t="s">
        <v>175</v>
      </c>
      <c r="E17" s="1" t="s">
        <v>226</v>
      </c>
      <c r="F17" s="15">
        <v>0.5</v>
      </c>
      <c r="G17" s="40">
        <f>Yr1!G17</f>
        <v>60</v>
      </c>
      <c r="H17" s="15">
        <f aca="true" t="shared" si="0" ref="H17:H30">F17*G17</f>
        <v>30</v>
      </c>
    </row>
    <row r="18" spans="2:8" ht="12.75">
      <c r="B18" s="1" t="s">
        <v>133</v>
      </c>
      <c r="E18" s="1" t="s">
        <v>95</v>
      </c>
      <c r="F18" s="15">
        <v>2</v>
      </c>
      <c r="G18" s="40">
        <f>Yr1!G18</f>
        <v>0.84</v>
      </c>
      <c r="H18" s="15">
        <f t="shared" si="0"/>
        <v>1.68</v>
      </c>
    </row>
    <row r="19" spans="2:8" ht="12.75">
      <c r="B19" s="1" t="s">
        <v>267</v>
      </c>
      <c r="E19" s="1" t="s">
        <v>171</v>
      </c>
      <c r="F19" s="15">
        <v>35</v>
      </c>
      <c r="G19" s="40">
        <f>Yr1!G19</f>
        <v>2.4</v>
      </c>
      <c r="H19" s="15">
        <f t="shared" si="0"/>
        <v>84</v>
      </c>
    </row>
    <row r="20" spans="2:8" ht="12.75">
      <c r="B20" s="1" t="s">
        <v>138</v>
      </c>
      <c r="E20" s="1" t="s">
        <v>95</v>
      </c>
      <c r="F20" s="15">
        <v>2</v>
      </c>
      <c r="G20" s="40">
        <f>Yr1!G20</f>
        <v>0.5</v>
      </c>
      <c r="H20" s="15">
        <f t="shared" si="0"/>
        <v>1</v>
      </c>
    </row>
    <row r="21" spans="2:8" ht="12.75">
      <c r="B21" s="1" t="s">
        <v>149</v>
      </c>
      <c r="E21" s="1" t="s">
        <v>143</v>
      </c>
      <c r="F21" s="15">
        <v>2</v>
      </c>
      <c r="G21" s="40">
        <f>Yr1!G21</f>
        <v>38.03</v>
      </c>
      <c r="H21" s="15">
        <f t="shared" si="0"/>
        <v>76.06</v>
      </c>
    </row>
    <row r="22" spans="2:8" ht="12.75">
      <c r="B22" s="1" t="s">
        <v>246</v>
      </c>
      <c r="E22" s="1" t="s">
        <v>95</v>
      </c>
      <c r="F22" s="15">
        <v>2</v>
      </c>
      <c r="G22" s="40">
        <f>Yr1!G22</f>
        <v>20</v>
      </c>
      <c r="H22" s="15">
        <f t="shared" si="0"/>
        <v>40</v>
      </c>
    </row>
    <row r="23" spans="2:8" ht="12.75">
      <c r="B23" s="1" t="s">
        <v>142</v>
      </c>
      <c r="E23" s="1" t="s">
        <v>105</v>
      </c>
      <c r="F23" s="15">
        <v>3</v>
      </c>
      <c r="G23" s="40">
        <f>Bud!H39</f>
        <v>18</v>
      </c>
      <c r="H23" s="15">
        <f t="shared" si="0"/>
        <v>54</v>
      </c>
    </row>
    <row r="24" spans="2:8" ht="12.75">
      <c r="B24" s="1" t="s">
        <v>155</v>
      </c>
      <c r="E24" s="1" t="s">
        <v>105</v>
      </c>
      <c r="F24" s="15">
        <v>3</v>
      </c>
      <c r="G24" s="40">
        <f>Bud!H41</f>
        <v>14.97</v>
      </c>
      <c r="H24" s="15">
        <f t="shared" si="0"/>
        <v>44.910000000000004</v>
      </c>
    </row>
    <row r="25" spans="2:8" ht="12.75">
      <c r="B25" s="1" t="s">
        <v>169</v>
      </c>
      <c r="E25" s="1" t="s">
        <v>153</v>
      </c>
      <c r="F25" s="15">
        <v>20</v>
      </c>
      <c r="G25" s="40">
        <f>Bud!H42</f>
        <v>13.67</v>
      </c>
      <c r="H25" s="15">
        <f t="shared" si="0"/>
        <v>273.4</v>
      </c>
    </row>
    <row r="26" spans="2:8" ht="12.75">
      <c r="B26" s="1" t="s">
        <v>140</v>
      </c>
      <c r="E26" s="1" t="s">
        <v>95</v>
      </c>
      <c r="F26" s="15">
        <v>37</v>
      </c>
      <c r="G26" s="40">
        <f>Bud!H43</f>
        <v>4.8</v>
      </c>
      <c r="H26" s="15">
        <f t="shared" si="0"/>
        <v>177.6</v>
      </c>
    </row>
    <row r="27" spans="2:8" ht="12.75">
      <c r="B27" s="1" t="s">
        <v>207</v>
      </c>
      <c r="E27" s="1" t="s">
        <v>95</v>
      </c>
      <c r="F27" s="15">
        <v>1</v>
      </c>
      <c r="G27" s="40">
        <f>Bud!H44</f>
        <v>55</v>
      </c>
      <c r="H27" s="15">
        <f t="shared" si="0"/>
        <v>55</v>
      </c>
    </row>
    <row r="28" spans="2:8" ht="12.75">
      <c r="B28" s="1" t="s">
        <v>165</v>
      </c>
      <c r="E28" s="1" t="s">
        <v>95</v>
      </c>
      <c r="F28" s="15">
        <v>1</v>
      </c>
      <c r="G28" s="15">
        <f>Bud!H46</f>
        <v>100</v>
      </c>
      <c r="H28" s="15">
        <f t="shared" si="0"/>
        <v>100</v>
      </c>
    </row>
    <row r="29" spans="2:8" ht="12.75">
      <c r="B29" s="1" t="s">
        <v>170</v>
      </c>
      <c r="E29" s="1" t="s">
        <v>95</v>
      </c>
      <c r="F29" s="15">
        <v>1</v>
      </c>
      <c r="G29" s="1">
        <v>0</v>
      </c>
      <c r="H29" s="15">
        <f t="shared" si="0"/>
        <v>0</v>
      </c>
    </row>
    <row r="30" spans="2:8" ht="12.75">
      <c r="B30" s="1" t="s">
        <v>161</v>
      </c>
      <c r="E30" s="36" t="s">
        <v>68</v>
      </c>
      <c r="F30" s="7">
        <f>SUM(H16:H27)</f>
        <v>837.65</v>
      </c>
      <c r="G30" s="15">
        <f>Bud!H47</f>
        <v>0.075</v>
      </c>
      <c r="H30" s="15">
        <f t="shared" si="0"/>
        <v>62.82375</v>
      </c>
    </row>
    <row r="31" spans="2:8" ht="13.5" thickBot="1">
      <c r="B31" s="13" t="s">
        <v>240</v>
      </c>
      <c r="E31" s="36" t="s">
        <v>68</v>
      </c>
      <c r="H31" s="63">
        <f>SUM(H17:H30)</f>
        <v>1000.47375</v>
      </c>
    </row>
    <row r="32" ht="13.5" thickTop="1">
      <c r="H32" s="49"/>
    </row>
    <row r="33" ht="12.75">
      <c r="B33" s="13" t="s">
        <v>136</v>
      </c>
    </row>
    <row r="35" spans="2:8" ht="12.75">
      <c r="B35" s="1" t="s">
        <v>243</v>
      </c>
      <c r="E35" s="36" t="s">
        <v>95</v>
      </c>
      <c r="F35" s="1">
        <v>1</v>
      </c>
      <c r="G35" s="15">
        <f>FxdCost!I39</f>
        <v>158.50454166666665</v>
      </c>
      <c r="H35" s="15">
        <f>F35*G35</f>
        <v>158.50454166666665</v>
      </c>
    </row>
    <row r="36" spans="2:8" ht="12.75">
      <c r="B36" s="36" t="s">
        <v>329</v>
      </c>
      <c r="E36" s="36" t="s">
        <v>95</v>
      </c>
      <c r="F36" s="15">
        <f>H31</f>
        <v>1000.47375</v>
      </c>
      <c r="G36" s="15">
        <f>Bud!H63</f>
        <v>0.1</v>
      </c>
      <c r="H36" s="15">
        <f>H31*G36</f>
        <v>100.047375</v>
      </c>
    </row>
    <row r="37" spans="2:8" ht="12.75">
      <c r="B37" s="1" t="s">
        <v>165</v>
      </c>
      <c r="E37" s="1" t="s">
        <v>95</v>
      </c>
      <c r="F37" s="1">
        <v>1</v>
      </c>
      <c r="G37" s="15">
        <f>Drip!I41</f>
        <v>22.5544125</v>
      </c>
      <c r="H37" s="15">
        <f>F37*G37</f>
        <v>22.5544125</v>
      </c>
    </row>
    <row r="38" spans="2:8" ht="13.5" thickBot="1">
      <c r="B38" s="31" t="s">
        <v>304</v>
      </c>
      <c r="H38" s="63">
        <f>SUM(H35:H37)</f>
        <v>281.1063291666667</v>
      </c>
    </row>
    <row r="39" ht="13.5" thickTop="1">
      <c r="H39" s="49"/>
    </row>
    <row r="40" spans="2:8" ht="13.5" thickBot="1">
      <c r="B40" s="31" t="s">
        <v>303</v>
      </c>
      <c r="C40" s="31"/>
      <c r="D40" s="31"/>
      <c r="E40" s="31" t="s">
        <v>68</v>
      </c>
      <c r="F40" s="31"/>
      <c r="G40" s="31"/>
      <c r="H40" s="64">
        <f>H31+H38</f>
        <v>1281.5800791666666</v>
      </c>
    </row>
    <row r="41" ht="13.5" thickTop="1">
      <c r="H41" s="49"/>
    </row>
    <row r="44" ht="12.75">
      <c r="A44" s="1" t="s">
        <v>85</v>
      </c>
    </row>
    <row r="45" ht="12.75"/>
    <row r="46" ht="12.75"/>
  </sheetData>
  <sheetProtection/>
  <mergeCells count="4">
    <mergeCell ref="B11:H11"/>
    <mergeCell ref="B12:H12"/>
    <mergeCell ref="A2:L2"/>
    <mergeCell ref="A3:L3"/>
  </mergeCells>
  <printOptions/>
  <pageMargins left="0.75" right="0.75" top="1" bottom="1" header="0.5" footer="0.5"/>
  <pageSetup horizontalDpi="600" verticalDpi="600" orientation="portrait" r:id="rId2"/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1:L64"/>
  <sheetViews>
    <sheetView zoomScalePageLayoutView="0" workbookViewId="0" topLeftCell="A1">
      <selection activeCell="B4" sqref="B4:I8"/>
    </sheetView>
  </sheetViews>
  <sheetFormatPr defaultColWidth="10.57421875" defaultRowHeight="12.75"/>
  <cols>
    <col min="1" max="1" width="10.57421875" style="1" customWidth="1"/>
    <col min="2" max="2" width="30.28125" style="1" customWidth="1"/>
    <col min="3" max="3" width="2.57421875" style="1" customWidth="1"/>
    <col min="4" max="4" width="3.28125" style="1" customWidth="1"/>
    <col min="5" max="5" width="10.57421875" style="1" customWidth="1"/>
    <col min="6" max="6" width="13.8515625" style="1" customWidth="1"/>
    <col min="7" max="7" width="16.28125" style="1" customWidth="1"/>
    <col min="8" max="8" width="16.140625" style="1" customWidth="1"/>
    <col min="9" max="16384" width="10.57421875" style="1" customWidth="1"/>
  </cols>
  <sheetData>
    <row r="1" spans="1:12" ht="21">
      <c r="A1" s="114" t="s">
        <v>334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1">
      <c r="A2" s="114" t="s">
        <v>332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4" spans="2:10" ht="12.75">
      <c r="B4" s="105" t="s">
        <v>314</v>
      </c>
      <c r="C4" s="106"/>
      <c r="D4" s="106"/>
      <c r="E4" s="106"/>
      <c r="F4" s="106"/>
      <c r="G4" s="106"/>
      <c r="H4" s="106"/>
      <c r="I4" s="106"/>
      <c r="J4" s="100"/>
    </row>
    <row r="5" spans="2:10" ht="12.75">
      <c r="B5" s="106" t="s">
        <v>315</v>
      </c>
      <c r="C5" s="106"/>
      <c r="D5" s="106"/>
      <c r="E5" s="106"/>
      <c r="F5" s="106"/>
      <c r="G5" s="106"/>
      <c r="H5" s="106"/>
      <c r="I5" s="106"/>
      <c r="J5" s="100"/>
    </row>
    <row r="6" spans="2:10" ht="12.75">
      <c r="B6" s="106" t="s">
        <v>316</v>
      </c>
      <c r="C6" s="106"/>
      <c r="D6" s="106"/>
      <c r="E6" s="106"/>
      <c r="F6" s="106"/>
      <c r="G6" s="106"/>
      <c r="H6" s="106"/>
      <c r="I6" s="106"/>
      <c r="J6" s="100"/>
    </row>
    <row r="7" spans="2:10" ht="12.75">
      <c r="B7" s="100" t="s">
        <v>333</v>
      </c>
      <c r="C7" s="100"/>
      <c r="D7" s="100"/>
      <c r="E7" s="100"/>
      <c r="F7" s="100"/>
      <c r="G7" s="100"/>
      <c r="H7" s="100"/>
      <c r="I7" s="100"/>
      <c r="J7" s="100"/>
    </row>
    <row r="8" spans="2:10" ht="12.75">
      <c r="B8" s="100"/>
      <c r="C8" s="100"/>
      <c r="D8" s="100"/>
      <c r="E8" s="100"/>
      <c r="F8" s="100"/>
      <c r="G8" s="100"/>
      <c r="H8" s="100"/>
      <c r="I8" s="100"/>
      <c r="J8" s="100"/>
    </row>
    <row r="9" spans="2:10" ht="12.75">
      <c r="B9" s="100"/>
      <c r="C9" s="100"/>
      <c r="D9" s="100"/>
      <c r="E9" s="100"/>
      <c r="F9" s="100"/>
      <c r="G9" s="100"/>
      <c r="H9" s="100"/>
      <c r="I9" s="100"/>
      <c r="J9" s="100"/>
    </row>
    <row r="10" spans="2:8" ht="15">
      <c r="B10" s="115" t="s">
        <v>128</v>
      </c>
      <c r="C10" s="116"/>
      <c r="D10" s="116"/>
      <c r="E10" s="116"/>
      <c r="F10" s="116"/>
      <c r="G10" s="116"/>
      <c r="H10" s="116"/>
    </row>
    <row r="11" spans="2:8" ht="15">
      <c r="B11" s="108" t="s">
        <v>321</v>
      </c>
      <c r="C11" s="116"/>
      <c r="D11" s="116"/>
      <c r="E11" s="116"/>
      <c r="F11" s="116"/>
      <c r="G11" s="116"/>
      <c r="H11" s="116"/>
    </row>
    <row r="13" spans="2:8" ht="12.75">
      <c r="B13" s="60" t="s">
        <v>168</v>
      </c>
      <c r="C13" s="17"/>
      <c r="D13" s="17"/>
      <c r="E13" s="17" t="s">
        <v>249</v>
      </c>
      <c r="F13" s="17" t="s">
        <v>205</v>
      </c>
      <c r="G13" s="9" t="s">
        <v>200</v>
      </c>
      <c r="H13" s="8" t="s">
        <v>99</v>
      </c>
    </row>
    <row r="15" ht="12.75">
      <c r="B15" s="31" t="s">
        <v>186</v>
      </c>
    </row>
    <row r="17" spans="2:8" ht="12.75">
      <c r="B17" s="1" t="s">
        <v>175</v>
      </c>
      <c r="E17" s="1" t="s">
        <v>226</v>
      </c>
      <c r="F17" s="15">
        <v>0.5</v>
      </c>
      <c r="G17" s="15">
        <f>Bud!H32</f>
        <v>60</v>
      </c>
      <c r="H17" s="15">
        <f aca="true" t="shared" si="0" ref="H17:H32">F17*G17</f>
        <v>30</v>
      </c>
    </row>
    <row r="18" spans="2:8" ht="12.75">
      <c r="B18" s="1" t="s">
        <v>98</v>
      </c>
      <c r="E18" s="1" t="s">
        <v>171</v>
      </c>
      <c r="F18" s="15">
        <v>100</v>
      </c>
      <c r="G18" s="15">
        <f>Bud!H33</f>
        <v>1.108</v>
      </c>
      <c r="H18" s="15">
        <f t="shared" si="0"/>
        <v>110.80000000000001</v>
      </c>
    </row>
    <row r="19" spans="2:8" ht="12.75">
      <c r="B19" s="1" t="s">
        <v>192</v>
      </c>
      <c r="E19" s="1" t="s">
        <v>95</v>
      </c>
      <c r="F19" s="15">
        <v>40</v>
      </c>
      <c r="G19" s="15">
        <f>Bud!H34</f>
        <v>0.8</v>
      </c>
      <c r="H19" s="15">
        <f t="shared" si="0"/>
        <v>32</v>
      </c>
    </row>
    <row r="20" spans="2:8" ht="12.75">
      <c r="B20" s="1" t="s">
        <v>195</v>
      </c>
      <c r="E20" s="1" t="s">
        <v>95</v>
      </c>
      <c r="F20" s="15">
        <v>40</v>
      </c>
      <c r="G20" s="15">
        <f>Bud!H35</f>
        <v>0.8</v>
      </c>
      <c r="H20" s="15">
        <f t="shared" si="0"/>
        <v>32</v>
      </c>
    </row>
    <row r="21" spans="2:8" ht="12.75">
      <c r="B21" s="1" t="s">
        <v>267</v>
      </c>
      <c r="E21" s="1" t="s">
        <v>171</v>
      </c>
      <c r="F21" s="15">
        <v>50</v>
      </c>
      <c r="G21" s="15">
        <f>Bud!H36</f>
        <v>2.4</v>
      </c>
      <c r="H21" s="15">
        <f t="shared" si="0"/>
        <v>120</v>
      </c>
    </row>
    <row r="22" spans="2:8" ht="12.75">
      <c r="B22" s="1" t="s">
        <v>138</v>
      </c>
      <c r="E22" s="1" t="s">
        <v>105</v>
      </c>
      <c r="F22" s="15">
        <v>3</v>
      </c>
      <c r="G22" s="15">
        <f>Bud!H37</f>
        <v>2</v>
      </c>
      <c r="H22" s="15">
        <f t="shared" si="0"/>
        <v>6</v>
      </c>
    </row>
    <row r="23" spans="2:8" ht="12.75">
      <c r="B23" s="1" t="s">
        <v>142</v>
      </c>
      <c r="E23" s="1" t="s">
        <v>105</v>
      </c>
      <c r="F23" s="15">
        <v>4</v>
      </c>
      <c r="G23" s="15">
        <f>Bud!H39</f>
        <v>18</v>
      </c>
      <c r="H23" s="15">
        <f t="shared" si="0"/>
        <v>72</v>
      </c>
    </row>
    <row r="24" spans="2:8" ht="12.75">
      <c r="B24" s="1" t="s">
        <v>149</v>
      </c>
      <c r="E24" s="1" t="s">
        <v>105</v>
      </c>
      <c r="F24" s="15">
        <v>3</v>
      </c>
      <c r="G24" s="15">
        <f>Bud!H40</f>
        <v>38.03</v>
      </c>
      <c r="H24" s="15">
        <f t="shared" si="0"/>
        <v>114.09</v>
      </c>
    </row>
    <row r="25" spans="2:8" ht="12.75">
      <c r="B25" s="1" t="s">
        <v>156</v>
      </c>
      <c r="E25" s="1" t="s">
        <v>105</v>
      </c>
      <c r="F25" s="15">
        <v>5</v>
      </c>
      <c r="G25" s="15">
        <f>Bud!H41</f>
        <v>14.97</v>
      </c>
      <c r="H25" s="15">
        <f t="shared" si="0"/>
        <v>74.85000000000001</v>
      </c>
    </row>
    <row r="26" spans="2:8" ht="12.75">
      <c r="B26" s="1" t="s">
        <v>246</v>
      </c>
      <c r="E26" s="1" t="s">
        <v>246</v>
      </c>
      <c r="F26" s="15">
        <v>2</v>
      </c>
      <c r="G26" s="15">
        <f>Yr1!G22</f>
        <v>20</v>
      </c>
      <c r="H26" s="15">
        <f t="shared" si="0"/>
        <v>40</v>
      </c>
    </row>
    <row r="27" spans="2:8" ht="12.75">
      <c r="B27" s="1" t="s">
        <v>169</v>
      </c>
      <c r="E27" s="1" t="s">
        <v>153</v>
      </c>
      <c r="F27" s="15">
        <v>23</v>
      </c>
      <c r="G27" s="15">
        <f>Bud!H42</f>
        <v>13.67</v>
      </c>
      <c r="H27" s="15">
        <f t="shared" si="0"/>
        <v>314.41</v>
      </c>
    </row>
    <row r="28" spans="2:8" ht="12.75">
      <c r="B28" s="1" t="s">
        <v>140</v>
      </c>
      <c r="E28" s="1" t="s">
        <v>95</v>
      </c>
      <c r="F28" s="15">
        <v>37</v>
      </c>
      <c r="G28" s="15">
        <f>Bud!H43</f>
        <v>4.8</v>
      </c>
      <c r="H28" s="15">
        <f t="shared" si="0"/>
        <v>177.6</v>
      </c>
    </row>
    <row r="29" spans="2:8" ht="12.75">
      <c r="B29" s="1" t="s">
        <v>210</v>
      </c>
      <c r="E29" s="1" t="s">
        <v>95</v>
      </c>
      <c r="F29" s="15">
        <v>1</v>
      </c>
      <c r="G29" s="15">
        <f>Bud!H44</f>
        <v>55</v>
      </c>
      <c r="H29" s="15">
        <f t="shared" si="0"/>
        <v>55</v>
      </c>
    </row>
    <row r="30" spans="2:8" ht="12.75">
      <c r="B30" s="1" t="s">
        <v>164</v>
      </c>
      <c r="E30" s="1" t="s">
        <v>95</v>
      </c>
      <c r="F30" s="15">
        <v>1</v>
      </c>
      <c r="G30" s="15">
        <f>Bud!H46</f>
        <v>100</v>
      </c>
      <c r="H30" s="15">
        <f t="shared" si="0"/>
        <v>100</v>
      </c>
    </row>
    <row r="31" spans="2:8" ht="12.75">
      <c r="B31" s="1" t="s">
        <v>170</v>
      </c>
      <c r="E31" s="1" t="s">
        <v>95</v>
      </c>
      <c r="F31" s="15">
        <v>1</v>
      </c>
      <c r="G31" s="15">
        <v>0</v>
      </c>
      <c r="H31" s="15">
        <f t="shared" si="0"/>
        <v>0</v>
      </c>
    </row>
    <row r="32" spans="2:8" ht="12.75">
      <c r="B32" s="1" t="s">
        <v>161</v>
      </c>
      <c r="E32" s="36" t="s">
        <v>95</v>
      </c>
      <c r="F32" s="28">
        <f>SUM(H16:H29)</f>
        <v>1178.75</v>
      </c>
      <c r="G32" s="15">
        <f>Bud!H47</f>
        <v>0.075</v>
      </c>
      <c r="H32" s="15">
        <f t="shared" si="0"/>
        <v>88.40625</v>
      </c>
    </row>
    <row r="33" spans="2:8" ht="13.5" thickBot="1">
      <c r="B33" s="13" t="s">
        <v>239</v>
      </c>
      <c r="E33" s="36" t="s">
        <v>68</v>
      </c>
      <c r="H33" s="63">
        <f>SUM(H17:H32)</f>
        <v>1367.15625</v>
      </c>
    </row>
    <row r="34" ht="13.5" thickTop="1">
      <c r="H34" s="49"/>
    </row>
    <row r="35" spans="2:8" ht="12.75">
      <c r="B35" s="17" t="s">
        <v>136</v>
      </c>
      <c r="E35" s="17" t="s">
        <v>249</v>
      </c>
      <c r="F35" s="17" t="s">
        <v>205</v>
      </c>
      <c r="G35" s="9" t="s">
        <v>200</v>
      </c>
      <c r="H35" s="8" t="s">
        <v>99</v>
      </c>
    </row>
    <row r="37" spans="2:8" ht="12.75">
      <c r="B37" s="1" t="s">
        <v>244</v>
      </c>
      <c r="E37" s="36" t="s">
        <v>95</v>
      </c>
      <c r="F37" s="15">
        <v>1</v>
      </c>
      <c r="G37" s="15">
        <f>FxdCost!I39</f>
        <v>158.50454166666665</v>
      </c>
      <c r="H37" s="15">
        <f>F37*G37</f>
        <v>158.50454166666665</v>
      </c>
    </row>
    <row r="38" spans="2:8" ht="12.75">
      <c r="B38" s="36" t="s">
        <v>329</v>
      </c>
      <c r="E38" s="36" t="s">
        <v>95</v>
      </c>
      <c r="F38" s="15">
        <f>H33</f>
        <v>1367.15625</v>
      </c>
      <c r="G38" s="15">
        <f>Bud!H63</f>
        <v>0.1</v>
      </c>
      <c r="H38" s="15">
        <f>H33*G38</f>
        <v>136.71562500000002</v>
      </c>
    </row>
    <row r="39" spans="2:8" ht="12.75">
      <c r="B39" s="1" t="s">
        <v>165</v>
      </c>
      <c r="E39" s="36" t="s">
        <v>95</v>
      </c>
      <c r="F39" s="15">
        <v>1</v>
      </c>
      <c r="G39" s="15">
        <f>Drip!I41</f>
        <v>22.5544125</v>
      </c>
      <c r="H39" s="15">
        <f>F39*G39</f>
        <v>22.5544125</v>
      </c>
    </row>
    <row r="40" spans="2:8" ht="13.5" thickBot="1">
      <c r="B40" s="31" t="s">
        <v>304</v>
      </c>
      <c r="H40" s="63">
        <f>SUM(H37:H39)</f>
        <v>317.7745791666667</v>
      </c>
    </row>
    <row r="41" ht="13.5" thickTop="1">
      <c r="H41" s="65"/>
    </row>
    <row r="42" spans="2:8" ht="13.5" thickBot="1">
      <c r="B42" s="31" t="s">
        <v>303</v>
      </c>
      <c r="H42" s="63">
        <f>H33+H40</f>
        <v>1684.9308291666666</v>
      </c>
    </row>
    <row r="43" ht="13.5" thickTop="1">
      <c r="H43" s="65"/>
    </row>
    <row r="44" ht="12.75"/>
    <row r="45" ht="12.75"/>
    <row r="46" ht="12.75"/>
    <row r="47" ht="12.75"/>
    <row r="48" spans="2:8" ht="15">
      <c r="B48" s="115"/>
      <c r="C48" s="116"/>
      <c r="D48" s="116"/>
      <c r="E48" s="116"/>
      <c r="F48" s="116"/>
      <c r="G48" s="116"/>
      <c r="H48" s="116"/>
    </row>
    <row r="52" spans="6:8" ht="12.75">
      <c r="F52" s="15"/>
      <c r="G52" s="11"/>
      <c r="H52" s="11"/>
    </row>
    <row r="53" spans="6:8" ht="12.75">
      <c r="F53" s="15"/>
      <c r="G53" s="11"/>
      <c r="H53" s="11"/>
    </row>
    <row r="54" spans="6:8" ht="12.75">
      <c r="F54" s="15"/>
      <c r="G54" s="11"/>
      <c r="H54" s="11"/>
    </row>
    <row r="55" spans="6:8" ht="12.75">
      <c r="F55" s="15"/>
      <c r="G55" s="11"/>
      <c r="H55" s="11"/>
    </row>
    <row r="56" spans="6:8" ht="12.75">
      <c r="F56" s="15"/>
      <c r="G56" s="11"/>
      <c r="H56" s="11"/>
    </row>
    <row r="57" spans="6:8" ht="12.75">
      <c r="F57" s="15"/>
      <c r="G57" s="11"/>
      <c r="H57" s="11"/>
    </row>
    <row r="58" spans="6:8" ht="12.75">
      <c r="F58" s="15"/>
      <c r="G58" s="11"/>
      <c r="H58" s="11"/>
    </row>
    <row r="59" spans="2:8" ht="12.75">
      <c r="B59" s="13"/>
      <c r="H59" s="24"/>
    </row>
    <row r="63" spans="2:8" ht="12.75">
      <c r="B63" s="13"/>
      <c r="H63" s="24"/>
    </row>
    <row r="64" ht="12.75">
      <c r="A64" s="1" t="s">
        <v>85</v>
      </c>
    </row>
  </sheetData>
  <sheetProtection/>
  <mergeCells count="5">
    <mergeCell ref="B10:H10"/>
    <mergeCell ref="B11:H11"/>
    <mergeCell ref="B48:H48"/>
    <mergeCell ref="A1:L1"/>
    <mergeCell ref="A2:L2"/>
  </mergeCells>
  <printOptions/>
  <pageMargins left="0.75" right="0.75" top="1" bottom="1" header="0.5" footer="0.5"/>
  <pageSetup horizontalDpi="600" verticalDpi="600" orientation="portrait" r:id="rId2"/>
  <rowBreaks count="1" manualBreakCount="1">
    <brk id="6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L65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4.8515625" style="1" customWidth="1"/>
    <col min="2" max="2" width="16.7109375" style="1" customWidth="1"/>
    <col min="3" max="3" width="5.8515625" style="1" customWidth="1"/>
    <col min="4" max="6" width="9.140625" style="1" customWidth="1"/>
    <col min="7" max="7" width="16.140625" style="1" customWidth="1"/>
    <col min="8" max="8" width="11.57421875" style="1" customWidth="1"/>
    <col min="9" max="9" width="17.28125" style="1" customWidth="1"/>
    <col min="10" max="16384" width="9.140625" style="1" customWidth="1"/>
  </cols>
  <sheetData>
    <row r="1" spans="1:12" ht="21">
      <c r="A1" s="114" t="s">
        <v>334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1">
      <c r="A2" s="114" t="s">
        <v>332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4" spans="2:9" ht="12.75">
      <c r="B4" s="105" t="s">
        <v>314</v>
      </c>
      <c r="C4" s="106"/>
      <c r="D4" s="106"/>
      <c r="E4" s="106"/>
      <c r="F4" s="106"/>
      <c r="G4" s="106"/>
      <c r="H4" s="106"/>
      <c r="I4" s="106"/>
    </row>
    <row r="5" spans="2:9" ht="12.75">
      <c r="B5" s="106" t="s">
        <v>315</v>
      </c>
      <c r="C5" s="106"/>
      <c r="D5" s="106"/>
      <c r="E5" s="106"/>
      <c r="F5" s="106"/>
      <c r="G5" s="106"/>
      <c r="H5" s="106"/>
      <c r="I5" s="106"/>
    </row>
    <row r="6" spans="2:9" ht="12.75">
      <c r="B6" s="106" t="s">
        <v>316</v>
      </c>
      <c r="C6" s="106"/>
      <c r="D6" s="106"/>
      <c r="E6" s="106"/>
      <c r="F6" s="106"/>
      <c r="G6" s="106"/>
      <c r="H6" s="106"/>
      <c r="I6" s="106"/>
    </row>
    <row r="7" spans="2:9" ht="12.75">
      <c r="B7" s="100" t="s">
        <v>333</v>
      </c>
      <c r="C7" s="100"/>
      <c r="D7" s="100"/>
      <c r="E7" s="100"/>
      <c r="F7" s="100"/>
      <c r="G7" s="100"/>
      <c r="H7" s="100"/>
      <c r="I7" s="100"/>
    </row>
    <row r="8" spans="2:9" ht="12.75">
      <c r="B8" s="100"/>
      <c r="C8" s="100"/>
      <c r="D8" s="100"/>
      <c r="E8" s="100"/>
      <c r="F8" s="100"/>
      <c r="G8" s="100"/>
      <c r="H8" s="100"/>
      <c r="I8" s="100"/>
    </row>
    <row r="9" ht="12.75">
      <c r="B9" s="66"/>
    </row>
    <row r="11" spans="3:8" ht="15">
      <c r="C11" s="117" t="s">
        <v>311</v>
      </c>
      <c r="D11" s="109"/>
      <c r="E11" s="109"/>
      <c r="F11" s="109"/>
      <c r="G11" s="109"/>
      <c r="H11" s="109"/>
    </row>
    <row r="14" spans="2:9" ht="12.75">
      <c r="B14" s="9" t="s">
        <v>167</v>
      </c>
      <c r="C14" s="6"/>
      <c r="D14" s="9" t="s">
        <v>248</v>
      </c>
      <c r="E14" s="9" t="s">
        <v>206</v>
      </c>
      <c r="F14" s="6"/>
      <c r="G14" s="9" t="s">
        <v>199</v>
      </c>
      <c r="H14" s="6"/>
      <c r="I14" s="9" t="s">
        <v>100</v>
      </c>
    </row>
    <row r="15" spans="7:9" ht="12.75">
      <c r="G15" s="16"/>
      <c r="I15" s="16"/>
    </row>
    <row r="16" spans="2:9" ht="12.75">
      <c r="B16" s="1" t="s">
        <v>148</v>
      </c>
      <c r="D16" s="1" t="s">
        <v>106</v>
      </c>
      <c r="E16" s="15">
        <v>1</v>
      </c>
      <c r="G16" s="25">
        <v>0</v>
      </c>
      <c r="I16" s="25">
        <f>E16*G16</f>
        <v>0</v>
      </c>
    </row>
    <row r="17" spans="2:9" ht="12.75">
      <c r="B17" s="36" t="s">
        <v>287</v>
      </c>
      <c r="D17" s="1" t="s">
        <v>106</v>
      </c>
      <c r="E17" s="15">
        <v>1</v>
      </c>
      <c r="G17" s="25">
        <v>0</v>
      </c>
      <c r="I17" s="25">
        <f>E17*G17</f>
        <v>0</v>
      </c>
    </row>
    <row r="18" spans="2:9" ht="12.75">
      <c r="B18" s="36" t="s">
        <v>288</v>
      </c>
      <c r="D18" s="1" t="s">
        <v>106</v>
      </c>
      <c r="E18" s="15">
        <v>1</v>
      </c>
      <c r="G18" s="25">
        <v>0</v>
      </c>
      <c r="I18" s="25">
        <f>E18*G18</f>
        <v>0</v>
      </c>
    </row>
    <row r="19" spans="2:9" ht="13.5" thickBot="1">
      <c r="B19" s="31" t="s">
        <v>290</v>
      </c>
      <c r="C19" s="31"/>
      <c r="D19" s="31"/>
      <c r="E19" s="33"/>
      <c r="F19" s="31"/>
      <c r="G19" s="48"/>
      <c r="H19" s="31"/>
      <c r="I19" s="68">
        <f>SUM(I16:I18)</f>
        <v>0</v>
      </c>
    </row>
    <row r="20" spans="5:9" ht="13.5" thickTop="1">
      <c r="E20" s="15"/>
      <c r="G20" s="25"/>
      <c r="I20" s="67"/>
    </row>
    <row r="21" spans="2:9" ht="12.75">
      <c r="B21" s="36" t="s">
        <v>289</v>
      </c>
      <c r="D21" s="1" t="s">
        <v>106</v>
      </c>
      <c r="E21" s="15">
        <v>1</v>
      </c>
      <c r="G21" s="25">
        <v>0</v>
      </c>
      <c r="I21" s="25">
        <v>18</v>
      </c>
    </row>
    <row r="22" spans="2:9" ht="12.75">
      <c r="B22" s="1" t="s">
        <v>155</v>
      </c>
      <c r="D22" s="1" t="s">
        <v>106</v>
      </c>
      <c r="E22" s="15">
        <v>3</v>
      </c>
      <c r="G22" s="25">
        <v>0</v>
      </c>
      <c r="I22" s="25">
        <f>E22*G22</f>
        <v>0</v>
      </c>
    </row>
    <row r="23" spans="2:9" ht="12.75">
      <c r="B23" s="1" t="s">
        <v>155</v>
      </c>
      <c r="D23" s="1" t="s">
        <v>106</v>
      </c>
      <c r="E23" s="15">
        <v>1</v>
      </c>
      <c r="G23" s="25">
        <v>0</v>
      </c>
      <c r="I23" s="25">
        <f>E23*G23</f>
        <v>0</v>
      </c>
    </row>
    <row r="24" spans="2:9" ht="12.75">
      <c r="B24" s="1" t="s">
        <v>155</v>
      </c>
      <c r="D24" s="1" t="s">
        <v>106</v>
      </c>
      <c r="E24" s="15">
        <v>3</v>
      </c>
      <c r="G24" s="25">
        <v>0</v>
      </c>
      <c r="I24" s="25">
        <f>E24*G24</f>
        <v>0</v>
      </c>
    </row>
    <row r="25" spans="2:9" ht="12.75">
      <c r="B25" s="1" t="s">
        <v>155</v>
      </c>
      <c r="D25" s="1" t="s">
        <v>106</v>
      </c>
      <c r="E25" s="15">
        <v>0</v>
      </c>
      <c r="G25" s="25">
        <v>0</v>
      </c>
      <c r="I25" s="25">
        <f>E25*G25</f>
        <v>0</v>
      </c>
    </row>
    <row r="26" spans="2:9" ht="13.5" thickBot="1">
      <c r="B26" s="31" t="s">
        <v>227</v>
      </c>
      <c r="C26" s="31"/>
      <c r="D26" s="31"/>
      <c r="E26" s="33"/>
      <c r="F26" s="31"/>
      <c r="G26" s="48"/>
      <c r="H26" s="31"/>
      <c r="I26" s="68">
        <v>0</v>
      </c>
    </row>
    <row r="27" spans="5:9" ht="13.5" thickTop="1">
      <c r="E27" s="15"/>
      <c r="G27" s="25"/>
      <c r="I27" s="67"/>
    </row>
    <row r="28" spans="2:9" ht="12.75">
      <c r="B28" s="1" t="s">
        <v>141</v>
      </c>
      <c r="D28" s="1" t="s">
        <v>106</v>
      </c>
      <c r="E28" s="15">
        <v>5</v>
      </c>
      <c r="G28" s="25">
        <v>0</v>
      </c>
      <c r="I28" s="25">
        <f aca="true" t="shared" si="0" ref="I28:I33">E28*G28</f>
        <v>0</v>
      </c>
    </row>
    <row r="29" spans="2:9" ht="12.75">
      <c r="B29" s="1" t="s">
        <v>141</v>
      </c>
      <c r="D29" s="1" t="s">
        <v>106</v>
      </c>
      <c r="E29" s="15">
        <v>5</v>
      </c>
      <c r="G29" s="25">
        <v>0</v>
      </c>
      <c r="I29" s="25">
        <f t="shared" si="0"/>
        <v>0</v>
      </c>
    </row>
    <row r="30" spans="2:9" ht="12.75">
      <c r="B30" s="1" t="s">
        <v>141</v>
      </c>
      <c r="D30" s="1" t="s">
        <v>106</v>
      </c>
      <c r="E30" s="15">
        <v>0</v>
      </c>
      <c r="G30" s="25">
        <v>0</v>
      </c>
      <c r="I30" s="25">
        <f t="shared" si="0"/>
        <v>0</v>
      </c>
    </row>
    <row r="31" spans="2:9" ht="12.75">
      <c r="B31" s="1" t="s">
        <v>141</v>
      </c>
      <c r="D31" s="1" t="s">
        <v>106</v>
      </c>
      <c r="E31" s="15">
        <v>0</v>
      </c>
      <c r="G31" s="25">
        <v>0</v>
      </c>
      <c r="I31" s="25">
        <f t="shared" si="0"/>
        <v>0</v>
      </c>
    </row>
    <row r="32" spans="2:9" ht="12.75">
      <c r="B32" s="1" t="s">
        <v>141</v>
      </c>
      <c r="D32" s="1" t="s">
        <v>106</v>
      </c>
      <c r="E32" s="15">
        <v>0</v>
      </c>
      <c r="G32" s="25">
        <v>0</v>
      </c>
      <c r="I32" s="25">
        <f t="shared" si="0"/>
        <v>0</v>
      </c>
    </row>
    <row r="33" spans="2:9" ht="12.75">
      <c r="B33" s="1" t="s">
        <v>141</v>
      </c>
      <c r="D33" s="1" t="s">
        <v>106</v>
      </c>
      <c r="E33" s="15">
        <v>0</v>
      </c>
      <c r="G33" s="25">
        <v>0</v>
      </c>
      <c r="I33" s="25">
        <f t="shared" si="0"/>
        <v>0</v>
      </c>
    </row>
    <row r="34" spans="2:9" ht="13.5" thickBot="1">
      <c r="B34" s="31" t="s">
        <v>227</v>
      </c>
      <c r="E34" s="15"/>
      <c r="G34" s="25"/>
      <c r="I34" s="68">
        <f>SUM(I28:I33)</f>
        <v>0</v>
      </c>
    </row>
    <row r="35" spans="5:9" ht="13.5" thickTop="1">
      <c r="E35" s="15"/>
      <c r="G35" s="25"/>
      <c r="I35" s="67"/>
    </row>
    <row r="36" spans="2:9" ht="12.75">
      <c r="B36" s="1" t="s">
        <v>187</v>
      </c>
      <c r="D36" s="1" t="s">
        <v>106</v>
      </c>
      <c r="E36" s="15">
        <v>0</v>
      </c>
      <c r="G36" s="25">
        <v>0</v>
      </c>
      <c r="I36" s="25">
        <f>E36*G36</f>
        <v>0</v>
      </c>
    </row>
    <row r="37" spans="2:9" ht="12.75">
      <c r="B37" s="1" t="s">
        <v>187</v>
      </c>
      <c r="D37" s="1" t="s">
        <v>106</v>
      </c>
      <c r="E37" s="15">
        <v>0</v>
      </c>
      <c r="G37" s="25">
        <v>0</v>
      </c>
      <c r="I37" s="25">
        <f>E37*G37</f>
        <v>0</v>
      </c>
    </row>
    <row r="38" spans="2:9" ht="12.75">
      <c r="B38" s="1" t="s">
        <v>187</v>
      </c>
      <c r="D38" s="1" t="s">
        <v>106</v>
      </c>
      <c r="E38" s="15">
        <v>0</v>
      </c>
      <c r="G38" s="25">
        <v>0</v>
      </c>
      <c r="I38" s="25">
        <f>E38*G38</f>
        <v>0</v>
      </c>
    </row>
    <row r="39" spans="2:9" ht="12.75">
      <c r="B39" s="1" t="s">
        <v>187</v>
      </c>
      <c r="D39" s="1" t="s">
        <v>106</v>
      </c>
      <c r="E39" s="15">
        <v>0</v>
      </c>
      <c r="G39" s="25">
        <v>0</v>
      </c>
      <c r="I39" s="25">
        <f>E39*G39</f>
        <v>0</v>
      </c>
    </row>
    <row r="40" spans="2:9" ht="12.75">
      <c r="B40" s="31" t="s">
        <v>290</v>
      </c>
      <c r="C40" s="31"/>
      <c r="D40" s="31"/>
      <c r="E40" s="31"/>
      <c r="F40" s="31"/>
      <c r="G40" s="48"/>
      <c r="H40" s="31"/>
      <c r="I40" s="48">
        <v>0</v>
      </c>
    </row>
    <row r="41" spans="2:9" ht="13.5" thickBot="1">
      <c r="B41" s="32" t="s">
        <v>291</v>
      </c>
      <c r="G41" s="25"/>
      <c r="I41" s="70">
        <v>0</v>
      </c>
    </row>
    <row r="42" ht="13.5" thickTop="1">
      <c r="I42" s="69"/>
    </row>
    <row r="43" spans="1:9" ht="12.75">
      <c r="A43" s="1" t="s">
        <v>85</v>
      </c>
      <c r="I43" s="26"/>
    </row>
    <row r="44" ht="12.75">
      <c r="I44" s="26"/>
    </row>
    <row r="45" ht="12.75">
      <c r="I45" s="26"/>
    </row>
    <row r="46" ht="12.75">
      <c r="I46" s="26"/>
    </row>
    <row r="47" ht="12.75">
      <c r="I47" s="26"/>
    </row>
    <row r="48" ht="12.75">
      <c r="I48" s="26"/>
    </row>
    <row r="49" ht="12.75">
      <c r="I49" s="26"/>
    </row>
    <row r="50" ht="12.75">
      <c r="I50" s="26"/>
    </row>
    <row r="51" ht="12.75">
      <c r="I51" s="26"/>
    </row>
    <row r="52" ht="12.75">
      <c r="I52" s="26"/>
    </row>
    <row r="53" ht="12.75">
      <c r="I53" s="26"/>
    </row>
    <row r="54" ht="12.75">
      <c r="I54" s="26"/>
    </row>
    <row r="55" ht="12.75">
      <c r="I55" s="26"/>
    </row>
    <row r="56" ht="12.75">
      <c r="I56" s="26"/>
    </row>
    <row r="57" ht="12.75">
      <c r="I57" s="26"/>
    </row>
    <row r="58" ht="12.75">
      <c r="I58" s="26"/>
    </row>
    <row r="59" ht="12.75">
      <c r="I59" s="26"/>
    </row>
    <row r="60" ht="12.75">
      <c r="I60" s="26"/>
    </row>
    <row r="61" ht="12.75">
      <c r="I61" s="26"/>
    </row>
    <row r="62" ht="12.75">
      <c r="I62" s="26"/>
    </row>
    <row r="63" ht="12.75">
      <c r="I63" s="26"/>
    </row>
    <row r="64" ht="12.75">
      <c r="I64" s="26"/>
    </row>
    <row r="65" ht="12.75">
      <c r="I65" s="26"/>
    </row>
  </sheetData>
  <sheetProtection/>
  <mergeCells count="3">
    <mergeCell ref="C11:H11"/>
    <mergeCell ref="A1:L1"/>
    <mergeCell ref="A2:L2"/>
  </mergeCells>
  <printOptions/>
  <pageMargins left="0.75" right="0.75" top="1" bottom="1" header="0.5" footer="0.5"/>
  <pageSetup horizontalDpi="600" verticalDpi="600" orientation="portrait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M67"/>
  <sheetViews>
    <sheetView zoomScalePageLayoutView="0" workbookViewId="0" topLeftCell="A1">
      <selection activeCell="B4" sqref="B4:N7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7.00390625" style="1" customWidth="1"/>
    <col min="4" max="4" width="6.57421875" style="1" customWidth="1"/>
    <col min="5" max="5" width="5.7109375" style="1" customWidth="1"/>
    <col min="6" max="6" width="6.00390625" style="1" customWidth="1"/>
    <col min="7" max="7" width="5.28125" style="1" customWidth="1"/>
    <col min="8" max="8" width="6.28125" style="1" customWidth="1"/>
    <col min="9" max="9" width="7.28125" style="1" customWidth="1"/>
    <col min="10" max="11" width="7.57421875" style="1" customWidth="1"/>
    <col min="12" max="12" width="5.28125" style="1" customWidth="1"/>
    <col min="13" max="16384" width="9.140625" style="1" customWidth="1"/>
  </cols>
  <sheetData>
    <row r="1" spans="2:13" ht="15">
      <c r="B1" s="118" t="s">
        <v>334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2:13" ht="15">
      <c r="B2" s="118" t="s">
        <v>332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4" spans="2:9" ht="12.75">
      <c r="B4" s="105" t="s">
        <v>314</v>
      </c>
      <c r="C4" s="106"/>
      <c r="D4" s="106"/>
      <c r="E4" s="106"/>
      <c r="F4" s="106"/>
      <c r="G4" s="106"/>
      <c r="H4" s="106"/>
      <c r="I4" s="106"/>
    </row>
    <row r="5" spans="2:9" ht="12.75">
      <c r="B5" s="106" t="s">
        <v>315</v>
      </c>
      <c r="C5" s="106"/>
      <c r="D5" s="106"/>
      <c r="E5" s="106"/>
      <c r="F5" s="106"/>
      <c r="G5" s="106"/>
      <c r="H5" s="106"/>
      <c r="I5" s="106"/>
    </row>
    <row r="6" spans="2:9" ht="12.75">
      <c r="B6" s="106" t="s">
        <v>316</v>
      </c>
      <c r="C6" s="106"/>
      <c r="D6" s="106"/>
      <c r="E6" s="106"/>
      <c r="F6" s="106"/>
      <c r="G6" s="106"/>
      <c r="H6" s="106"/>
      <c r="I6" s="106"/>
    </row>
    <row r="7" spans="2:9" ht="12.75">
      <c r="B7" s="100" t="s">
        <v>333</v>
      </c>
      <c r="C7" s="100"/>
      <c r="D7" s="100"/>
      <c r="E7" s="100"/>
      <c r="F7" s="100"/>
      <c r="G7" s="100"/>
      <c r="H7" s="100"/>
      <c r="I7" s="100"/>
    </row>
    <row r="10" spans="2:11" ht="12.75">
      <c r="B10" s="66"/>
      <c r="D10" s="7"/>
      <c r="E10" s="7"/>
      <c r="F10" s="7"/>
      <c r="G10" s="7"/>
      <c r="H10" s="7"/>
      <c r="I10" s="7"/>
      <c r="J10" s="7"/>
      <c r="K10" s="7"/>
    </row>
    <row r="11" spans="4:11" ht="12.75">
      <c r="D11" s="7"/>
      <c r="E11" s="7"/>
      <c r="F11" s="7"/>
      <c r="G11" s="7"/>
      <c r="H11" s="7"/>
      <c r="I11" s="7"/>
      <c r="J11" s="7"/>
      <c r="K11" s="7"/>
    </row>
    <row r="12" spans="3:11" ht="15">
      <c r="C12" s="78" t="s">
        <v>312</v>
      </c>
      <c r="E12" s="9"/>
      <c r="F12" s="9"/>
      <c r="G12" s="9"/>
      <c r="H12" s="9"/>
      <c r="I12" s="9"/>
      <c r="J12" s="9"/>
      <c r="K12" s="9"/>
    </row>
    <row r="13" spans="4:11" ht="12.75">
      <c r="D13" s="7"/>
      <c r="E13" s="7"/>
      <c r="F13" s="7"/>
      <c r="G13" s="7"/>
      <c r="H13" s="7"/>
      <c r="I13" s="7"/>
      <c r="J13" s="7"/>
      <c r="K13" s="7"/>
    </row>
    <row r="14" spans="4:11" ht="12.75">
      <c r="D14" s="7" t="s">
        <v>126</v>
      </c>
      <c r="E14" s="7" t="s">
        <v>134</v>
      </c>
      <c r="F14" s="5" t="s">
        <v>134</v>
      </c>
      <c r="G14" s="7" t="s">
        <v>96</v>
      </c>
      <c r="H14" s="7" t="s">
        <v>184</v>
      </c>
      <c r="I14" s="7" t="s">
        <v>140</v>
      </c>
      <c r="J14" s="7" t="s">
        <v>177</v>
      </c>
      <c r="K14" s="7" t="s">
        <v>169</v>
      </c>
    </row>
    <row r="15" spans="4:11" ht="12.75">
      <c r="D15" s="7" t="s">
        <v>258</v>
      </c>
      <c r="E15" s="7" t="s">
        <v>217</v>
      </c>
      <c r="F15" s="5" t="s">
        <v>124</v>
      </c>
      <c r="G15" s="7" t="s">
        <v>189</v>
      </c>
      <c r="H15" s="7" t="s">
        <v>225</v>
      </c>
      <c r="I15" s="7" t="s">
        <v>250</v>
      </c>
      <c r="J15" s="7" t="s">
        <v>208</v>
      </c>
      <c r="K15" s="7" t="s">
        <v>250</v>
      </c>
    </row>
    <row r="16" spans="2:11" ht="12.75">
      <c r="B16" s="1" t="s">
        <v>59</v>
      </c>
      <c r="D16" s="7" t="s">
        <v>73</v>
      </c>
      <c r="E16" s="7" t="s">
        <v>76</v>
      </c>
      <c r="F16" s="5" t="s">
        <v>70</v>
      </c>
      <c r="G16" s="7" t="s">
        <v>151</v>
      </c>
      <c r="H16" s="7" t="s">
        <v>188</v>
      </c>
      <c r="I16" s="7" t="s">
        <v>74</v>
      </c>
      <c r="J16" s="7" t="s">
        <v>71</v>
      </c>
      <c r="K16" s="7" t="s">
        <v>75</v>
      </c>
    </row>
    <row r="17" spans="4:11" ht="12.75">
      <c r="D17" s="7"/>
      <c r="E17" s="7"/>
      <c r="F17" s="7"/>
      <c r="G17" s="7"/>
      <c r="H17" s="7"/>
      <c r="I17" s="7"/>
      <c r="J17" s="7"/>
      <c r="K17" s="7"/>
    </row>
    <row r="18" spans="2:11" ht="12.75">
      <c r="B18" s="13" t="s">
        <v>196</v>
      </c>
      <c r="D18" s="7"/>
      <c r="E18" s="7"/>
      <c r="F18" s="7"/>
      <c r="G18" s="7"/>
      <c r="H18" s="7"/>
      <c r="I18" s="7"/>
      <c r="J18" s="7"/>
      <c r="K18" s="7"/>
    </row>
    <row r="19" spans="2:11" ht="12.75">
      <c r="B19" s="1" t="s">
        <v>66</v>
      </c>
      <c r="D19" s="7"/>
      <c r="E19" s="7"/>
      <c r="F19" s="7"/>
      <c r="G19" s="7" t="s">
        <v>0</v>
      </c>
      <c r="H19" s="5" t="s">
        <v>0</v>
      </c>
      <c r="I19" s="7"/>
      <c r="J19" s="7" t="s">
        <v>0</v>
      </c>
      <c r="K19" s="7" t="s">
        <v>0</v>
      </c>
    </row>
    <row r="20" spans="2:11" ht="12.75">
      <c r="B20" s="1" t="s">
        <v>8</v>
      </c>
      <c r="D20" s="7">
        <v>20</v>
      </c>
      <c r="E20" s="7">
        <v>3</v>
      </c>
      <c r="F20" s="5">
        <v>70</v>
      </c>
      <c r="G20" s="7">
        <f>(D20*E20*(F20/100))/8.25</f>
        <v>5.090909090909091</v>
      </c>
      <c r="H20" s="5">
        <v>3</v>
      </c>
      <c r="I20" s="7">
        <f>(H20*(1/G20))*0.05*75</f>
        <v>2.209821428571429</v>
      </c>
      <c r="J20" s="7">
        <f>(H63+H54)*(1/G20*H20)</f>
        <v>0</v>
      </c>
      <c r="K20" s="7">
        <f>H20*(1/G20)*1.2</f>
        <v>0.7071428571428572</v>
      </c>
    </row>
    <row r="21" spans="2:11" ht="12.75">
      <c r="B21" s="1" t="s">
        <v>7</v>
      </c>
      <c r="D21" s="7">
        <v>40</v>
      </c>
      <c r="E21" s="7">
        <v>2.5</v>
      </c>
      <c r="F21" s="5">
        <v>65</v>
      </c>
      <c r="G21" s="7">
        <f>(D21*E21*(F21/100))/8.25</f>
        <v>7.878787878787879</v>
      </c>
      <c r="H21" s="5">
        <v>12</v>
      </c>
      <c r="I21" s="7">
        <f>(H21*(1/G21))*0.05*325</f>
        <v>24.75</v>
      </c>
      <c r="J21" s="7">
        <f>(H64+H55)*(1/G21*H21)</f>
        <v>0</v>
      </c>
      <c r="K21" s="7">
        <f>H21*(1/G21)*1.2</f>
        <v>1.8276923076923075</v>
      </c>
    </row>
    <row r="22" spans="2:11" ht="12.75">
      <c r="B22" s="1" t="s">
        <v>62</v>
      </c>
      <c r="D22" s="7">
        <v>15</v>
      </c>
      <c r="E22" s="7">
        <v>6</v>
      </c>
      <c r="F22" s="5">
        <v>95</v>
      </c>
      <c r="G22" s="7">
        <f>(D22*E22*(F22/100))/8.25</f>
        <v>10.363636363636363</v>
      </c>
      <c r="H22" s="5">
        <v>5</v>
      </c>
      <c r="I22" s="7">
        <f>(H22*(1/G22))*0.05*125</f>
        <v>3.0153508771929833</v>
      </c>
      <c r="J22" s="7">
        <f>(H64+H56)*(1/G22*H22)</f>
        <v>0</v>
      </c>
      <c r="K22" s="7">
        <f>H22*(1/G22)*1.2</f>
        <v>0.5789473684210527</v>
      </c>
    </row>
    <row r="24" spans="2:12" ht="13.5" thickBot="1">
      <c r="B24" s="23" t="s">
        <v>241</v>
      </c>
      <c r="D24" s="7"/>
      <c r="F24" s="7"/>
      <c r="G24" s="7"/>
      <c r="H24" s="7"/>
      <c r="I24" s="50">
        <f>SUM(I19:I22)</f>
        <v>29.975172305764413</v>
      </c>
      <c r="J24" s="50">
        <f>SUM(J19:J22)</f>
        <v>0</v>
      </c>
      <c r="K24" s="50">
        <f>SUM(K19:K22)</f>
        <v>3.1137825332562175</v>
      </c>
      <c r="L24" s="63">
        <f>SUM(I24:K24)</f>
        <v>33.08895483902063</v>
      </c>
    </row>
    <row r="25" spans="2:12" ht="13.5" thickTop="1">
      <c r="B25" s="15"/>
      <c r="D25" s="7"/>
      <c r="E25" s="7"/>
      <c r="F25" s="7"/>
      <c r="G25" s="7"/>
      <c r="H25" s="7"/>
      <c r="I25" s="71"/>
      <c r="J25" s="71"/>
      <c r="K25" s="71"/>
      <c r="L25" s="49"/>
    </row>
    <row r="26" spans="2:11" ht="12.75">
      <c r="B26" s="23" t="s">
        <v>144</v>
      </c>
      <c r="D26" s="7"/>
      <c r="E26" s="7"/>
      <c r="F26" s="7"/>
      <c r="G26" s="7"/>
      <c r="H26" s="7"/>
      <c r="I26" s="7"/>
      <c r="J26" s="7"/>
      <c r="K26" s="7"/>
    </row>
    <row r="27" spans="2:11" ht="12.75">
      <c r="B27" s="15" t="s">
        <v>64</v>
      </c>
      <c r="D27" s="5">
        <v>40</v>
      </c>
      <c r="E27" s="7">
        <v>1</v>
      </c>
      <c r="F27" s="5">
        <v>90</v>
      </c>
      <c r="G27" s="7">
        <f>(D27*E27*(F27/100))/8.25</f>
        <v>4.363636363636363</v>
      </c>
      <c r="H27" s="5">
        <v>3</v>
      </c>
      <c r="I27" s="7">
        <f>(H27*(1/G27))*0.05*90</f>
        <v>3.0937500000000004</v>
      </c>
      <c r="J27" s="7">
        <f>(H69+H65)*(1/G27*H27)</f>
        <v>0</v>
      </c>
      <c r="K27" s="7">
        <f>H27*(1/G27)*1.2</f>
        <v>0.825</v>
      </c>
    </row>
    <row r="28" spans="2:11" ht="12.75">
      <c r="B28" s="1" t="s">
        <v>67</v>
      </c>
      <c r="D28" s="6">
        <v>10</v>
      </c>
      <c r="E28" s="7">
        <v>3</v>
      </c>
      <c r="F28" s="6">
        <v>90</v>
      </c>
      <c r="G28" s="7">
        <f>(D28*E28*(F28/100))/8.25</f>
        <v>3.272727272727273</v>
      </c>
      <c r="H28" s="5">
        <v>3</v>
      </c>
      <c r="I28" s="7">
        <f>(H28*(1/G28))*0.05*75</f>
        <v>3.4374999999999996</v>
      </c>
      <c r="J28" s="7">
        <f>(H59+H63)*(1/G28*H28)</f>
        <v>0</v>
      </c>
      <c r="K28" s="7">
        <f>H28*(1/G28)*1.2</f>
        <v>1.0999999999999999</v>
      </c>
    </row>
    <row r="29" spans="2:11" ht="12.75">
      <c r="B29" s="1" t="s">
        <v>56</v>
      </c>
      <c r="D29" s="6">
        <v>10</v>
      </c>
      <c r="E29" s="7">
        <v>2</v>
      </c>
      <c r="F29" s="6">
        <v>80</v>
      </c>
      <c r="G29" s="7">
        <v>7</v>
      </c>
      <c r="H29" s="5">
        <v>3</v>
      </c>
      <c r="I29" s="7">
        <f>(H29*(1/G29))*0.05*125</f>
        <v>2.6785714285714284</v>
      </c>
      <c r="J29" s="7">
        <f>(H60+H64)*(1/G29*H29)</f>
        <v>0</v>
      </c>
      <c r="K29" s="7">
        <f>H29*(1/G29)*1.2</f>
        <v>0.5142857142857142</v>
      </c>
    </row>
    <row r="30" spans="2:11" ht="12.75">
      <c r="B30" s="1" t="s">
        <v>57</v>
      </c>
      <c r="H30" s="5"/>
      <c r="I30" s="7">
        <v>5</v>
      </c>
      <c r="J30" s="7">
        <v>0.5</v>
      </c>
      <c r="K30" s="7">
        <v>1</v>
      </c>
    </row>
    <row r="31" spans="2:12" ht="13.5" thickBot="1">
      <c r="B31" s="23" t="s">
        <v>234</v>
      </c>
      <c r="I31" s="50">
        <f>SUM(I27:I30)</f>
        <v>14.209821428571429</v>
      </c>
      <c r="J31" s="50">
        <f>SUM(J27:J30)</f>
        <v>0.5</v>
      </c>
      <c r="K31" s="50">
        <f>SUM(K27:K30)</f>
        <v>3.439285714285714</v>
      </c>
      <c r="L31" s="63">
        <f>SUM(I31:K31)</f>
        <v>18.149107142857144</v>
      </c>
    </row>
    <row r="32" spans="9:12" ht="13.5" thickTop="1">
      <c r="I32" s="49"/>
      <c r="J32" s="49"/>
      <c r="K32" s="49"/>
      <c r="L32" s="49"/>
    </row>
    <row r="44" ht="12.75">
      <c r="A44" s="1" t="s">
        <v>85</v>
      </c>
    </row>
    <row r="51" spans="4:9" ht="12.75">
      <c r="D51" s="7"/>
      <c r="E51" s="7"/>
      <c r="F51" s="7"/>
      <c r="G51" s="7"/>
      <c r="H51" s="7"/>
      <c r="I51" s="7"/>
    </row>
    <row r="52" spans="4:9" ht="12.75">
      <c r="D52" s="7"/>
      <c r="E52" s="7"/>
      <c r="F52" s="7"/>
      <c r="G52" s="7"/>
      <c r="H52" s="7"/>
      <c r="I52" s="7"/>
    </row>
    <row r="53" spans="4:9" ht="12.75">
      <c r="D53" s="7"/>
      <c r="E53" s="11"/>
      <c r="F53" s="5"/>
      <c r="G53" s="7"/>
      <c r="H53" s="7"/>
      <c r="I53" s="7"/>
    </row>
    <row r="54" spans="4:9" ht="12.75">
      <c r="D54" s="7"/>
      <c r="E54" s="11"/>
      <c r="F54" s="5"/>
      <c r="G54" s="7"/>
      <c r="H54" s="7"/>
      <c r="I54" s="7"/>
    </row>
    <row r="55" spans="4:9" ht="12.75">
      <c r="D55" s="7"/>
      <c r="E55" s="5"/>
      <c r="F55" s="5"/>
      <c r="G55" s="7"/>
      <c r="H55" s="7"/>
      <c r="I55" s="7"/>
    </row>
    <row r="56" spans="4:9" ht="12.75">
      <c r="D56" s="7"/>
      <c r="E56" s="5"/>
      <c r="F56" s="5"/>
      <c r="G56" s="7"/>
      <c r="H56" s="7"/>
      <c r="I56" s="7"/>
    </row>
    <row r="57" spans="5:9" ht="12.75">
      <c r="E57" s="11"/>
      <c r="F57" s="5"/>
      <c r="G57" s="6"/>
      <c r="H57" s="7"/>
      <c r="I57" s="7"/>
    </row>
    <row r="58" spans="5:9" ht="12.75">
      <c r="E58" s="11"/>
      <c r="F58" s="6"/>
      <c r="G58" s="6"/>
      <c r="H58" s="7"/>
      <c r="I58" s="7"/>
    </row>
    <row r="59" spans="5:9" ht="12.75">
      <c r="E59" s="11"/>
      <c r="F59" s="6"/>
      <c r="G59" s="6"/>
      <c r="H59" s="7"/>
      <c r="I59" s="7"/>
    </row>
    <row r="60" spans="5:9" ht="12.75">
      <c r="E60" s="11"/>
      <c r="F60" s="6"/>
      <c r="G60" s="6"/>
      <c r="H60" s="7"/>
      <c r="I60" s="7"/>
    </row>
    <row r="61" spans="5:9" ht="12.75">
      <c r="E61" s="11"/>
      <c r="F61" s="6"/>
      <c r="G61" s="6"/>
      <c r="H61" s="7"/>
      <c r="I61" s="7"/>
    </row>
    <row r="62" spans="4:9" ht="12.75">
      <c r="D62" s="7"/>
      <c r="E62" s="5"/>
      <c r="F62" s="5"/>
      <c r="G62" s="7"/>
      <c r="H62" s="7"/>
      <c r="I62" s="7"/>
    </row>
    <row r="63" spans="4:9" ht="12.75">
      <c r="D63" s="7"/>
      <c r="E63" s="5"/>
      <c r="F63" s="5"/>
      <c r="G63" s="7"/>
      <c r="H63" s="7"/>
      <c r="I63" s="7"/>
    </row>
    <row r="64" spans="4:9" ht="12.75">
      <c r="D64" s="7"/>
      <c r="E64" s="5"/>
      <c r="F64" s="5"/>
      <c r="G64" s="7"/>
      <c r="H64" s="7"/>
      <c r="I64" s="7"/>
    </row>
    <row r="65" spans="5:9" ht="12.75">
      <c r="E65" s="5"/>
      <c r="F65" s="6"/>
      <c r="G65" s="7"/>
      <c r="H65" s="7"/>
      <c r="I65" s="7"/>
    </row>
    <row r="66" spans="5:6" ht="12.75">
      <c r="E66" s="11"/>
      <c r="F66" s="6"/>
    </row>
    <row r="67" ht="12.75">
      <c r="F67" s="6"/>
    </row>
  </sheetData>
  <sheetProtection/>
  <mergeCells count="2">
    <mergeCell ref="B1:M1"/>
    <mergeCell ref="B2:M2"/>
  </mergeCells>
  <printOptions/>
  <pageMargins left="0.75" right="0.75" top="1" bottom="1" header="0.5" footer="0.5"/>
  <pageSetup orientation="portrait" paperSize="9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M50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.421875" style="1" customWidth="1"/>
    <col min="2" max="2" width="19.28125" style="1" customWidth="1"/>
    <col min="3" max="3" width="5.8515625" style="1" customWidth="1"/>
    <col min="4" max="4" width="8.8515625" style="1" customWidth="1"/>
    <col min="5" max="5" width="12.7109375" style="1" customWidth="1"/>
    <col min="6" max="6" width="11.28125" style="1" customWidth="1"/>
    <col min="7" max="7" width="9.7109375" style="1" customWidth="1"/>
    <col min="8" max="8" width="12.140625" style="1" customWidth="1"/>
    <col min="9" max="9" width="11.7109375" style="1" customWidth="1"/>
    <col min="10" max="10" width="10.7109375" style="1" customWidth="1"/>
    <col min="11" max="11" width="10.140625" style="15" customWidth="1"/>
    <col min="12" max="16384" width="9.140625" style="1" customWidth="1"/>
  </cols>
  <sheetData>
    <row r="1" spans="2:13" ht="15">
      <c r="B1" s="118" t="s">
        <v>334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2:13" ht="15">
      <c r="B2" s="118" t="s">
        <v>332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4" spans="2:11" ht="12.75">
      <c r="B4" s="105" t="s">
        <v>314</v>
      </c>
      <c r="C4" s="106"/>
      <c r="D4" s="106"/>
      <c r="E4" s="106"/>
      <c r="F4" s="106"/>
      <c r="G4" s="106"/>
      <c r="H4" s="106"/>
      <c r="I4" s="106"/>
      <c r="K4" s="1"/>
    </row>
    <row r="5" spans="2:11" ht="12.75">
      <c r="B5" s="106" t="s">
        <v>315</v>
      </c>
      <c r="C5" s="106"/>
      <c r="D5" s="106"/>
      <c r="E5" s="106"/>
      <c r="F5" s="106"/>
      <c r="G5" s="106"/>
      <c r="H5" s="106"/>
      <c r="I5" s="106"/>
      <c r="K5" s="1"/>
    </row>
    <row r="6" spans="2:11" ht="12.75">
      <c r="B6" s="106" t="s">
        <v>316</v>
      </c>
      <c r="C6" s="106"/>
      <c r="D6" s="106"/>
      <c r="E6" s="106"/>
      <c r="F6" s="106"/>
      <c r="G6" s="106"/>
      <c r="H6" s="106"/>
      <c r="I6" s="106"/>
      <c r="K6" s="1"/>
    </row>
    <row r="7" spans="2:11" ht="12.75">
      <c r="B7" s="100" t="s">
        <v>333</v>
      </c>
      <c r="C7" s="100"/>
      <c r="D7" s="100"/>
      <c r="E7" s="100"/>
      <c r="F7" s="100"/>
      <c r="G7" s="100"/>
      <c r="H7" s="100"/>
      <c r="I7" s="100"/>
      <c r="K7" s="1"/>
    </row>
    <row r="10" spans="2:11" ht="15">
      <c r="B10" s="117" t="s">
        <v>322</v>
      </c>
      <c r="C10" s="113"/>
      <c r="D10" s="113"/>
      <c r="E10" s="113"/>
      <c r="F10" s="113"/>
      <c r="G10" s="113"/>
      <c r="H10" s="113"/>
      <c r="I10" s="113"/>
      <c r="J10" s="113"/>
      <c r="K10" s="113"/>
    </row>
    <row r="12" spans="2:5" ht="12.75">
      <c r="B12" s="1" t="s">
        <v>96</v>
      </c>
      <c r="C12" s="11">
        <v>400</v>
      </c>
      <c r="D12" s="32" t="s">
        <v>190</v>
      </c>
      <c r="E12" s="11" t="s">
        <v>0</v>
      </c>
    </row>
    <row r="13" spans="2:5" ht="12.75">
      <c r="B13" s="1" t="s">
        <v>158</v>
      </c>
      <c r="C13" s="27">
        <v>0.075</v>
      </c>
      <c r="D13" s="32" t="s">
        <v>251</v>
      </c>
      <c r="E13" s="11" t="s">
        <v>0</v>
      </c>
    </row>
    <row r="14" spans="4:11" ht="12.75">
      <c r="D14" s="32" t="s">
        <v>139</v>
      </c>
      <c r="E14" s="75" t="s">
        <v>202</v>
      </c>
      <c r="F14" s="32" t="s">
        <v>214</v>
      </c>
      <c r="G14" s="32" t="s">
        <v>264</v>
      </c>
      <c r="H14" s="6"/>
      <c r="I14" s="6"/>
      <c r="J14" s="6"/>
      <c r="K14" s="7"/>
    </row>
    <row r="15" spans="2:11" ht="12.75">
      <c r="B15" s="32" t="s">
        <v>58</v>
      </c>
      <c r="C15" s="31"/>
      <c r="D15" s="32" t="s">
        <v>120</v>
      </c>
      <c r="E15" s="75" t="s">
        <v>199</v>
      </c>
      <c r="F15" s="32" t="s">
        <v>252</v>
      </c>
      <c r="G15" s="32" t="s">
        <v>173</v>
      </c>
      <c r="H15" s="32" t="s">
        <v>121</v>
      </c>
      <c r="I15" s="32" t="s">
        <v>157</v>
      </c>
      <c r="J15" s="32" t="s">
        <v>219</v>
      </c>
      <c r="K15" s="32" t="s">
        <v>132</v>
      </c>
    </row>
    <row r="16" spans="5:11" ht="12.75">
      <c r="E16" s="16"/>
      <c r="F16" s="16"/>
      <c r="G16" s="16"/>
      <c r="H16" s="16"/>
      <c r="I16" s="16"/>
      <c r="J16" s="16"/>
      <c r="K16" s="28"/>
    </row>
    <row r="17" spans="2:11" ht="12.75">
      <c r="B17" s="34" t="s">
        <v>307</v>
      </c>
      <c r="C17" s="36"/>
      <c r="D17" s="38">
        <v>1</v>
      </c>
      <c r="E17" s="39">
        <v>6800</v>
      </c>
      <c r="F17" s="39">
        <f>E17*0.2</f>
        <v>1360</v>
      </c>
      <c r="G17" s="39">
        <v>15</v>
      </c>
      <c r="H17" s="39">
        <f aca="true" t="shared" si="0" ref="H17:H29">(E17-F17)/G17*D17</f>
        <v>362.6666666666667</v>
      </c>
      <c r="I17" s="39">
        <f aca="true" t="shared" si="1" ref="I17:I29">(E17+F17)/2*C$13*D17</f>
        <v>306</v>
      </c>
      <c r="J17" s="39">
        <f>(E17+F17)/2*0.04*D17</f>
        <v>163.20000000000002</v>
      </c>
      <c r="K17" s="40">
        <f aca="true" t="shared" si="2" ref="K17:K29">(H17+I17+J17)/$C$12</f>
        <v>2.0796666666666668</v>
      </c>
    </row>
    <row r="18" spans="2:11" ht="12.75">
      <c r="B18" s="34" t="s">
        <v>65</v>
      </c>
      <c r="C18" s="36"/>
      <c r="D18" s="38">
        <v>1</v>
      </c>
      <c r="E18" s="39">
        <v>15000</v>
      </c>
      <c r="F18" s="39">
        <f>E18*0.2</f>
        <v>3000</v>
      </c>
      <c r="G18" s="39">
        <v>15</v>
      </c>
      <c r="H18" s="39">
        <f t="shared" si="0"/>
        <v>800</v>
      </c>
      <c r="I18" s="39">
        <f t="shared" si="1"/>
        <v>675</v>
      </c>
      <c r="J18" s="39">
        <f>(E18+F18)/2*0.04*D18</f>
        <v>360</v>
      </c>
      <c r="K18" s="40">
        <f t="shared" si="2"/>
        <v>4.5875</v>
      </c>
    </row>
    <row r="19" spans="2:11" ht="12.75">
      <c r="B19" s="34" t="s">
        <v>63</v>
      </c>
      <c r="C19" s="36"/>
      <c r="D19" s="38">
        <v>1</v>
      </c>
      <c r="E19" s="39">
        <v>22500</v>
      </c>
      <c r="F19" s="39">
        <f>E19*0.2</f>
        <v>4500</v>
      </c>
      <c r="G19" s="39">
        <v>15</v>
      </c>
      <c r="H19" s="39">
        <f t="shared" si="0"/>
        <v>1200</v>
      </c>
      <c r="I19" s="39">
        <f t="shared" si="1"/>
        <v>1012.5</v>
      </c>
      <c r="J19" s="39">
        <f aca="true" t="shared" si="3" ref="J19:J29">(E19+F19)/2*0.04*D19</f>
        <v>540</v>
      </c>
      <c r="K19" s="40">
        <f t="shared" si="2"/>
        <v>6.88125</v>
      </c>
    </row>
    <row r="20" spans="2:11" ht="12.75">
      <c r="B20" s="34" t="s">
        <v>269</v>
      </c>
      <c r="C20" s="36"/>
      <c r="D20" s="38">
        <v>1</v>
      </c>
      <c r="E20" s="39">
        <v>24000</v>
      </c>
      <c r="F20" s="39">
        <f>E20*0.2</f>
        <v>4800</v>
      </c>
      <c r="G20" s="39">
        <v>15</v>
      </c>
      <c r="H20" s="39">
        <f t="shared" si="0"/>
        <v>1280</v>
      </c>
      <c r="I20" s="39">
        <f t="shared" si="1"/>
        <v>1080</v>
      </c>
      <c r="J20" s="39">
        <f t="shared" si="3"/>
        <v>576</v>
      </c>
      <c r="K20" s="40">
        <f t="shared" si="2"/>
        <v>7.34</v>
      </c>
    </row>
    <row r="21" spans="2:11" ht="12.75">
      <c r="B21" s="34" t="s">
        <v>257</v>
      </c>
      <c r="C21" s="36"/>
      <c r="D21" s="38">
        <v>1</v>
      </c>
      <c r="E21" s="39">
        <v>5500</v>
      </c>
      <c r="F21" s="39">
        <v>500</v>
      </c>
      <c r="G21" s="39">
        <v>15</v>
      </c>
      <c r="H21" s="39">
        <f t="shared" si="0"/>
        <v>333.3333333333333</v>
      </c>
      <c r="I21" s="39">
        <f t="shared" si="1"/>
        <v>225</v>
      </c>
      <c r="J21" s="39">
        <f t="shared" si="3"/>
        <v>120</v>
      </c>
      <c r="K21" s="40">
        <f t="shared" si="2"/>
        <v>1.695833333333333</v>
      </c>
    </row>
    <row r="22" spans="2:11" ht="12.75">
      <c r="B22" s="35" t="s">
        <v>336</v>
      </c>
      <c r="C22" s="41"/>
      <c r="D22" s="38">
        <v>1</v>
      </c>
      <c r="E22" s="39">
        <v>95000</v>
      </c>
      <c r="F22" s="39">
        <f aca="true" t="shared" si="4" ref="F22:F29">E22*0.2</f>
        <v>19000</v>
      </c>
      <c r="G22" s="39">
        <v>20</v>
      </c>
      <c r="H22" s="39">
        <f t="shared" si="0"/>
        <v>3800</v>
      </c>
      <c r="I22" s="39">
        <f t="shared" si="1"/>
        <v>4275</v>
      </c>
      <c r="J22" s="39">
        <f t="shared" si="3"/>
        <v>2280</v>
      </c>
      <c r="K22" s="40">
        <f t="shared" si="2"/>
        <v>25.8875</v>
      </c>
    </row>
    <row r="23" spans="2:11" ht="12.75">
      <c r="B23" s="35" t="s">
        <v>326</v>
      </c>
      <c r="C23" s="41"/>
      <c r="D23" s="38">
        <v>1</v>
      </c>
      <c r="E23" s="39">
        <v>30000</v>
      </c>
      <c r="F23" s="39">
        <f t="shared" si="4"/>
        <v>6000</v>
      </c>
      <c r="G23" s="39">
        <v>20</v>
      </c>
      <c r="H23" s="39">
        <f t="shared" si="0"/>
        <v>1200</v>
      </c>
      <c r="I23" s="39">
        <f t="shared" si="1"/>
        <v>1350</v>
      </c>
      <c r="J23" s="39">
        <f t="shared" si="3"/>
        <v>720</v>
      </c>
      <c r="K23" s="40">
        <f t="shared" si="2"/>
        <v>8.175</v>
      </c>
    </row>
    <row r="24" spans="2:11" ht="12.75">
      <c r="B24" s="35" t="s">
        <v>247</v>
      </c>
      <c r="C24" s="41"/>
      <c r="D24" s="38">
        <v>1</v>
      </c>
      <c r="E24" s="39">
        <v>50000</v>
      </c>
      <c r="F24" s="39">
        <f t="shared" si="4"/>
        <v>10000</v>
      </c>
      <c r="G24" s="39">
        <v>15</v>
      </c>
      <c r="H24" s="39">
        <f t="shared" si="0"/>
        <v>2666.6666666666665</v>
      </c>
      <c r="I24" s="39">
        <f t="shared" si="1"/>
        <v>2250</v>
      </c>
      <c r="J24" s="39">
        <f t="shared" si="3"/>
        <v>1200</v>
      </c>
      <c r="K24" s="40">
        <f t="shared" si="2"/>
        <v>15.291666666666664</v>
      </c>
    </row>
    <row r="25" spans="2:11" ht="12.75">
      <c r="B25" s="35" t="s">
        <v>110</v>
      </c>
      <c r="C25" s="41"/>
      <c r="D25" s="38">
        <v>1</v>
      </c>
      <c r="E25" s="39">
        <v>7300</v>
      </c>
      <c r="F25" s="39">
        <f t="shared" si="4"/>
        <v>1460</v>
      </c>
      <c r="G25" s="39">
        <v>15</v>
      </c>
      <c r="H25" s="39">
        <f t="shared" si="0"/>
        <v>389.3333333333333</v>
      </c>
      <c r="I25" s="39">
        <f t="shared" si="1"/>
        <v>328.5</v>
      </c>
      <c r="J25" s="39">
        <f t="shared" si="3"/>
        <v>175.20000000000002</v>
      </c>
      <c r="K25" s="40">
        <f t="shared" si="2"/>
        <v>2.2325833333333334</v>
      </c>
    </row>
    <row r="26" spans="2:11" ht="12.75">
      <c r="B26" s="35" t="s">
        <v>327</v>
      </c>
      <c r="C26" s="41"/>
      <c r="D26" s="38">
        <v>1</v>
      </c>
      <c r="E26" s="42">
        <v>17000</v>
      </c>
      <c r="F26" s="39">
        <f t="shared" si="4"/>
        <v>3400</v>
      </c>
      <c r="G26" s="43">
        <v>15</v>
      </c>
      <c r="H26" s="39">
        <f t="shared" si="0"/>
        <v>906.6666666666666</v>
      </c>
      <c r="I26" s="39">
        <f t="shared" si="1"/>
        <v>765</v>
      </c>
      <c r="J26" s="39">
        <f t="shared" si="3"/>
        <v>408</v>
      </c>
      <c r="K26" s="40">
        <f t="shared" si="2"/>
        <v>5.199166666666667</v>
      </c>
    </row>
    <row r="27" spans="2:11" ht="12.75">
      <c r="B27" s="35" t="s">
        <v>146</v>
      </c>
      <c r="C27" s="41"/>
      <c r="D27" s="38">
        <v>1</v>
      </c>
      <c r="E27" s="42">
        <v>68000</v>
      </c>
      <c r="F27" s="39">
        <f t="shared" si="4"/>
        <v>13600</v>
      </c>
      <c r="G27" s="43">
        <v>15</v>
      </c>
      <c r="H27" s="39">
        <f t="shared" si="0"/>
        <v>3626.6666666666665</v>
      </c>
      <c r="I27" s="39">
        <f t="shared" si="1"/>
        <v>3060</v>
      </c>
      <c r="J27" s="39">
        <f t="shared" si="3"/>
        <v>1632</v>
      </c>
      <c r="K27" s="40">
        <f t="shared" si="2"/>
        <v>20.796666666666667</v>
      </c>
    </row>
    <row r="28" spans="2:11" ht="12.75">
      <c r="B28" s="35" t="s">
        <v>215</v>
      </c>
      <c r="C28" s="41"/>
      <c r="D28" s="38">
        <v>1</v>
      </c>
      <c r="E28" s="39">
        <v>175000</v>
      </c>
      <c r="F28" s="39">
        <f t="shared" si="4"/>
        <v>35000</v>
      </c>
      <c r="G28" s="43">
        <v>15</v>
      </c>
      <c r="H28" s="39">
        <f t="shared" si="0"/>
        <v>9333.333333333334</v>
      </c>
      <c r="I28" s="39">
        <f t="shared" si="1"/>
        <v>7875</v>
      </c>
      <c r="J28" s="39">
        <f t="shared" si="3"/>
        <v>4200</v>
      </c>
      <c r="K28" s="40">
        <f t="shared" si="2"/>
        <v>53.52083333333334</v>
      </c>
    </row>
    <row r="29" spans="2:11" ht="12.75">
      <c r="B29" s="15" t="s">
        <v>274</v>
      </c>
      <c r="C29" s="15"/>
      <c r="D29" s="77">
        <v>1</v>
      </c>
      <c r="E29" s="104">
        <v>15750</v>
      </c>
      <c r="F29" s="104">
        <f t="shared" si="4"/>
        <v>3150</v>
      </c>
      <c r="G29" s="1">
        <v>15</v>
      </c>
      <c r="H29" s="1">
        <f t="shared" si="0"/>
        <v>840</v>
      </c>
      <c r="I29" s="1">
        <f t="shared" si="1"/>
        <v>708.75</v>
      </c>
      <c r="J29" s="39">
        <f t="shared" si="3"/>
        <v>378</v>
      </c>
      <c r="K29" s="15">
        <f t="shared" si="2"/>
        <v>4.816875</v>
      </c>
    </row>
    <row r="30" spans="2:6" ht="12.75">
      <c r="B30" s="15"/>
      <c r="C30" s="15"/>
      <c r="D30" s="6"/>
      <c r="E30" s="5"/>
      <c r="F30" s="5"/>
    </row>
    <row r="31" spans="2:11" ht="12.75">
      <c r="B31" s="15"/>
      <c r="C31" s="15"/>
      <c r="D31" s="6"/>
      <c r="E31" s="5"/>
      <c r="F31" s="5"/>
      <c r="K31" s="1"/>
    </row>
    <row r="32" spans="2:11" ht="13.5" thickBot="1">
      <c r="B32" s="23" t="s">
        <v>236</v>
      </c>
      <c r="D32" s="6"/>
      <c r="E32" s="72">
        <f>SUM(E17:E31)</f>
        <v>531850</v>
      </c>
      <c r="F32" s="73">
        <f>SUM(F17:F31)</f>
        <v>105770</v>
      </c>
      <c r="G32" s="13"/>
      <c r="H32" s="74">
        <f>SUM(H17:H31)</f>
        <v>26738.666666666664</v>
      </c>
      <c r="I32" s="74">
        <f>SUM(I17:I31)</f>
        <v>23910.75</v>
      </c>
      <c r="J32" s="74">
        <f>SUM(J17:J31)</f>
        <v>12752.4</v>
      </c>
      <c r="K32" s="74">
        <f>SUM(K17:K31)</f>
        <v>158.50454166666668</v>
      </c>
    </row>
    <row r="33" spans="4:11" ht="13.5" thickTop="1">
      <c r="D33" s="6"/>
      <c r="E33" s="54"/>
      <c r="F33" s="54"/>
      <c r="G33" s="6"/>
      <c r="H33" s="54"/>
      <c r="I33" s="54"/>
      <c r="J33" s="54"/>
      <c r="K33" s="71"/>
    </row>
    <row r="34" spans="4:11" ht="12.75">
      <c r="D34" s="6"/>
      <c r="E34" s="6"/>
      <c r="F34" s="6"/>
      <c r="G34" s="6"/>
      <c r="H34" s="6"/>
      <c r="I34" s="5">
        <f>H32</f>
        <v>26738.666666666664</v>
      </c>
      <c r="J34" s="6"/>
      <c r="K34" s="7"/>
    </row>
    <row r="35" spans="4:11" ht="12.75">
      <c r="D35" s="6"/>
      <c r="E35" s="6"/>
      <c r="F35" s="6"/>
      <c r="G35" s="6"/>
      <c r="H35" s="6"/>
      <c r="I35" s="5">
        <f>I32</f>
        <v>23910.75</v>
      </c>
      <c r="J35" s="6"/>
      <c r="K35" s="7"/>
    </row>
    <row r="36" spans="4:11" ht="12.75">
      <c r="D36" s="6"/>
      <c r="E36" s="6"/>
      <c r="F36" s="6"/>
      <c r="G36" s="6"/>
      <c r="H36" s="6"/>
      <c r="I36" s="5">
        <f>J32</f>
        <v>12752.4</v>
      </c>
      <c r="J36" s="6"/>
      <c r="K36" s="7"/>
    </row>
    <row r="37" spans="4:11" ht="12.75">
      <c r="D37" s="6"/>
      <c r="E37" s="6"/>
      <c r="F37" s="6"/>
      <c r="G37" s="6"/>
      <c r="H37" s="6"/>
      <c r="I37" s="5"/>
      <c r="J37" s="6"/>
      <c r="K37" s="7"/>
    </row>
    <row r="38" spans="2:11" ht="13.5" thickBot="1">
      <c r="B38" s="33" t="s">
        <v>306</v>
      </c>
      <c r="D38" s="6"/>
      <c r="E38" s="6"/>
      <c r="F38" s="6"/>
      <c r="G38" s="6"/>
      <c r="H38" s="6"/>
      <c r="I38" s="51">
        <f>SUM(I34:I37)</f>
        <v>63401.816666666666</v>
      </c>
      <c r="J38" s="6"/>
      <c r="K38" s="7"/>
    </row>
    <row r="39" spans="2:11" ht="14.25" thickBot="1" thickTop="1">
      <c r="B39" s="33" t="s">
        <v>328</v>
      </c>
      <c r="D39" s="6"/>
      <c r="E39" s="6"/>
      <c r="F39" s="6"/>
      <c r="G39" s="6"/>
      <c r="H39" s="6"/>
      <c r="I39" s="76">
        <f>I38/C12</f>
        <v>158.50454166666665</v>
      </c>
      <c r="J39" s="6"/>
      <c r="K39" s="7"/>
    </row>
    <row r="40" spans="4:11" ht="13.5" thickTop="1">
      <c r="D40" s="6"/>
      <c r="E40" s="6"/>
      <c r="F40" s="6"/>
      <c r="G40" s="6"/>
      <c r="H40" s="6"/>
      <c r="I40" s="54"/>
      <c r="J40" s="6"/>
      <c r="K40" s="7"/>
    </row>
    <row r="41" spans="4:11" ht="12.75">
      <c r="D41" s="6"/>
      <c r="E41" s="6"/>
      <c r="F41" s="6"/>
      <c r="G41" s="6"/>
      <c r="H41" s="6"/>
      <c r="I41" s="6"/>
      <c r="J41" s="6"/>
      <c r="K41" s="7"/>
    </row>
    <row r="42" spans="2:11" ht="12.75">
      <c r="B42" s="1" t="s">
        <v>78</v>
      </c>
      <c r="D42" s="6"/>
      <c r="E42" s="6"/>
      <c r="F42" s="6"/>
      <c r="G42" s="6"/>
      <c r="H42" s="6"/>
      <c r="I42" s="6"/>
      <c r="J42" s="6"/>
      <c r="K42" s="7"/>
    </row>
    <row r="43" spans="2:11" ht="12.75">
      <c r="B43" s="1" t="s">
        <v>80</v>
      </c>
      <c r="D43" s="6"/>
      <c r="E43" s="6"/>
      <c r="F43" s="6"/>
      <c r="G43" s="6"/>
      <c r="H43" s="6"/>
      <c r="I43" s="6"/>
      <c r="J43" s="6"/>
      <c r="K43" s="7"/>
    </row>
    <row r="44" spans="1:11" ht="12.75">
      <c r="A44" s="1" t="s">
        <v>85</v>
      </c>
      <c r="D44" s="6"/>
      <c r="E44" s="6"/>
      <c r="F44" s="6"/>
      <c r="G44" s="6"/>
      <c r="H44" s="6"/>
      <c r="I44" s="6"/>
      <c r="J44" s="6"/>
      <c r="K44" s="7"/>
    </row>
    <row r="45" spans="4:11" ht="12.75">
      <c r="D45" s="6"/>
      <c r="E45" s="6"/>
      <c r="F45" s="6"/>
      <c r="G45" s="6"/>
      <c r="H45" s="6"/>
      <c r="I45" s="6"/>
      <c r="J45" s="6"/>
      <c r="K45" s="7"/>
    </row>
    <row r="46" spans="4:11" ht="12.75">
      <c r="D46" s="6"/>
      <c r="E46" s="6"/>
      <c r="F46" s="6"/>
      <c r="G46" s="6"/>
      <c r="H46" s="6"/>
      <c r="I46" s="6"/>
      <c r="J46" s="6"/>
      <c r="K46" s="7"/>
    </row>
    <row r="47" spans="4:11" ht="12.75">
      <c r="D47" s="6"/>
      <c r="E47" s="6"/>
      <c r="F47" s="6"/>
      <c r="G47" s="6"/>
      <c r="H47" s="6"/>
      <c r="I47" s="6"/>
      <c r="J47" s="6"/>
      <c r="K47" s="7"/>
    </row>
    <row r="48" spans="4:11" ht="12.75">
      <c r="D48" s="6"/>
      <c r="E48" s="6"/>
      <c r="F48" s="6"/>
      <c r="G48" s="6"/>
      <c r="H48" s="6"/>
      <c r="I48" s="6"/>
      <c r="J48" s="6"/>
      <c r="K48" s="7"/>
    </row>
    <row r="49" spans="4:11" ht="12.75">
      <c r="D49" s="6"/>
      <c r="E49" s="6"/>
      <c r="F49" s="6"/>
      <c r="G49" s="6"/>
      <c r="H49" s="6"/>
      <c r="I49" s="6"/>
      <c r="J49" s="6"/>
      <c r="K49" s="7"/>
    </row>
    <row r="50" spans="4:11" ht="12.75">
      <c r="D50" s="6"/>
      <c r="E50" s="6"/>
      <c r="F50" s="6"/>
      <c r="G50" s="6"/>
      <c r="H50" s="6"/>
      <c r="I50" s="6"/>
      <c r="J50" s="6"/>
      <c r="K50" s="7"/>
    </row>
  </sheetData>
  <sheetProtection/>
  <mergeCells count="3">
    <mergeCell ref="B10:K10"/>
    <mergeCell ref="B1:M1"/>
    <mergeCell ref="B2:M2"/>
  </mergeCells>
  <printOptions/>
  <pageMargins left="0.75" right="0.75" top="1" bottom="1" header="0.5" footer="0.5"/>
  <pageSetup horizontalDpi="600" verticalDpi="600" orientation="portrait" r:id="rId2"/>
  <rowBreaks count="1" manualBreakCount="1">
    <brk id="4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M65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1.8515625" style="1" customWidth="1"/>
    <col min="2" max="3" width="9.140625" style="1" customWidth="1"/>
    <col min="4" max="4" width="14.140625" style="1" customWidth="1"/>
    <col min="5" max="5" width="12.57421875" style="1" customWidth="1"/>
    <col min="6" max="6" width="13.57421875" style="1" customWidth="1"/>
    <col min="7" max="7" width="11.7109375" style="1" customWidth="1"/>
    <col min="8" max="8" width="12.00390625" style="1" customWidth="1"/>
    <col min="9" max="9" width="13.140625" style="1" customWidth="1"/>
    <col min="10" max="10" width="6.00390625" style="1" customWidth="1"/>
    <col min="11" max="16384" width="9.140625" style="1" customWidth="1"/>
  </cols>
  <sheetData>
    <row r="2" ht="12.75">
      <c r="B2" s="66" t="s">
        <v>305</v>
      </c>
    </row>
    <row r="3" ht="12.75">
      <c r="A3" s="15"/>
    </row>
    <row r="4" spans="1:13" ht="15">
      <c r="A4" s="15"/>
      <c r="B4" s="118" t="s">
        <v>334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ht="15">
      <c r="A5" s="15"/>
      <c r="B5" s="121" t="s">
        <v>332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ht="12.75">
      <c r="A6" s="15"/>
    </row>
    <row r="7" spans="1:9" ht="12.75">
      <c r="A7" s="15"/>
      <c r="B7" s="105" t="s">
        <v>314</v>
      </c>
      <c r="C7" s="106"/>
      <c r="D7" s="106"/>
      <c r="E7" s="106"/>
      <c r="F7" s="106"/>
      <c r="G7" s="106"/>
      <c r="H7" s="106"/>
      <c r="I7" s="106"/>
    </row>
    <row r="8" spans="1:9" ht="12.75">
      <c r="A8" s="15"/>
      <c r="B8" s="106" t="s">
        <v>315</v>
      </c>
      <c r="C8" s="106"/>
      <c r="D8" s="106"/>
      <c r="E8" s="106"/>
      <c r="F8" s="106"/>
      <c r="G8" s="106"/>
      <c r="H8" s="106"/>
      <c r="I8" s="106"/>
    </row>
    <row r="9" spans="1:9" ht="12.75">
      <c r="A9" s="15"/>
      <c r="B9" s="106" t="s">
        <v>316</v>
      </c>
      <c r="C9" s="106"/>
      <c r="D9" s="106"/>
      <c r="E9" s="106"/>
      <c r="F9" s="106"/>
      <c r="G9" s="106"/>
      <c r="H9" s="106"/>
      <c r="I9" s="106"/>
    </row>
    <row r="10" spans="1:9" ht="12.75">
      <c r="A10" s="15"/>
      <c r="B10" s="100" t="s">
        <v>333</v>
      </c>
      <c r="C10" s="100"/>
      <c r="D10" s="100"/>
      <c r="E10" s="100"/>
      <c r="F10" s="100"/>
      <c r="G10" s="100"/>
      <c r="H10" s="100"/>
      <c r="I10" s="100"/>
    </row>
    <row r="11" ht="12.75">
      <c r="A11" s="15"/>
    </row>
    <row r="12" ht="12.75">
      <c r="A12" s="15"/>
    </row>
    <row r="13" spans="1:8" ht="15">
      <c r="A13" s="15"/>
      <c r="C13" s="108" t="s">
        <v>323</v>
      </c>
      <c r="D13" s="119"/>
      <c r="E13" s="119"/>
      <c r="F13" s="119"/>
      <c r="G13" s="119"/>
      <c r="H13" s="119"/>
    </row>
    <row r="14" ht="12.75">
      <c r="A14" s="15"/>
    </row>
    <row r="15" spans="1:8" ht="12.75">
      <c r="A15" s="15"/>
      <c r="C15" s="109"/>
      <c r="D15" s="119"/>
      <c r="E15" s="119"/>
      <c r="F15" s="119"/>
      <c r="G15" s="119"/>
      <c r="H15" s="119"/>
    </row>
    <row r="16" spans="1:8" ht="12.75">
      <c r="A16" s="15"/>
      <c r="C16" s="109"/>
      <c r="D16" s="119"/>
      <c r="E16" s="119"/>
      <c r="F16" s="119"/>
      <c r="G16" s="119"/>
      <c r="H16" s="119"/>
    </row>
    <row r="17" ht="12.75">
      <c r="A17" s="15"/>
    </row>
    <row r="18" spans="1:8" ht="12.75">
      <c r="A18" s="15"/>
      <c r="C18" s="110"/>
      <c r="D18" s="120"/>
      <c r="E18" s="120"/>
      <c r="F18" s="120"/>
      <c r="G18" s="120"/>
      <c r="H18" s="120"/>
    </row>
    <row r="19" ht="12.75">
      <c r="A19" s="15"/>
    </row>
    <row r="20" spans="1:7" ht="12.75">
      <c r="A20" s="15"/>
      <c r="B20" s="1" t="s">
        <v>107</v>
      </c>
      <c r="F20" s="24">
        <v>400</v>
      </c>
      <c r="G20" s="15" t="s">
        <v>97</v>
      </c>
    </row>
    <row r="21" spans="1:6" ht="12.75">
      <c r="A21" s="15"/>
      <c r="B21" s="1" t="s">
        <v>216</v>
      </c>
      <c r="D21" s="13">
        <v>40</v>
      </c>
      <c r="E21" s="1" t="s">
        <v>113</v>
      </c>
      <c r="F21" s="13">
        <v>40</v>
      </c>
    </row>
    <row r="22" spans="1:7" ht="12.75">
      <c r="A22" s="15"/>
      <c r="B22" s="1" t="s">
        <v>160</v>
      </c>
      <c r="G22" s="29">
        <v>0.075</v>
      </c>
    </row>
    <row r="23" spans="1:7" ht="12.75">
      <c r="A23" s="15"/>
      <c r="B23" s="1" t="s">
        <v>220</v>
      </c>
      <c r="G23" s="1">
        <v>0.015</v>
      </c>
    </row>
    <row r="24" spans="1:7" ht="12.75">
      <c r="A24" s="15"/>
      <c r="B24" s="1" t="s">
        <v>123</v>
      </c>
      <c r="G24" s="1">
        <v>120</v>
      </c>
    </row>
    <row r="25" ht="12.75">
      <c r="A25" s="15"/>
    </row>
    <row r="26" ht="12.75">
      <c r="A26" s="15"/>
    </row>
    <row r="27" spans="1:2" ht="12.75">
      <c r="A27" s="15"/>
      <c r="B27" s="13" t="s">
        <v>163</v>
      </c>
    </row>
    <row r="28" ht="12.75">
      <c r="A28" s="15"/>
    </row>
    <row r="29" spans="1:9" ht="12.75">
      <c r="A29" s="15"/>
      <c r="E29" s="6" t="s">
        <v>183</v>
      </c>
      <c r="F29" s="6" t="s">
        <v>265</v>
      </c>
      <c r="G29" s="6" t="s">
        <v>122</v>
      </c>
      <c r="H29" s="7" t="s">
        <v>159</v>
      </c>
      <c r="I29" s="7" t="s">
        <v>218</v>
      </c>
    </row>
    <row r="30" spans="1:9" ht="12.75">
      <c r="A30" s="15"/>
      <c r="B30" s="1" t="s">
        <v>193</v>
      </c>
      <c r="E30" s="5">
        <v>10815</v>
      </c>
      <c r="F30" s="5">
        <v>10</v>
      </c>
      <c r="G30" s="5">
        <f aca="true" t="shared" si="0" ref="G30:G36">E30/F30</f>
        <v>1081.5</v>
      </c>
      <c r="H30" s="5">
        <f>(E30/2)*G22</f>
        <v>405.5625</v>
      </c>
      <c r="I30" s="5">
        <f>(E30/2)*G23</f>
        <v>81.1125</v>
      </c>
    </row>
    <row r="31" spans="1:9" ht="12.75">
      <c r="A31" s="15"/>
      <c r="B31" s="1" t="s">
        <v>275</v>
      </c>
      <c r="E31" s="5">
        <v>4988</v>
      </c>
      <c r="F31" s="5">
        <v>10</v>
      </c>
      <c r="G31" s="5">
        <f t="shared" si="0"/>
        <v>498.8</v>
      </c>
      <c r="H31" s="5">
        <f>(E31/2)*G22</f>
        <v>187.04999999999998</v>
      </c>
      <c r="I31" s="5">
        <f>(E31/2)*G23</f>
        <v>37.41</v>
      </c>
    </row>
    <row r="32" spans="1:9" ht="12.75">
      <c r="A32" s="15"/>
      <c r="B32" s="1" t="s">
        <v>276</v>
      </c>
      <c r="E32" s="5">
        <v>12000</v>
      </c>
      <c r="F32" s="5">
        <v>25</v>
      </c>
      <c r="G32" s="5">
        <f t="shared" si="0"/>
        <v>480</v>
      </c>
      <c r="H32" s="5">
        <f>(E32/2)*G22</f>
        <v>450</v>
      </c>
      <c r="I32" s="5">
        <f>(E32/2)*G23</f>
        <v>90</v>
      </c>
    </row>
    <row r="33" spans="1:9" ht="12.75">
      <c r="A33" s="15"/>
      <c r="B33" s="1" t="s">
        <v>277</v>
      </c>
      <c r="E33" s="5">
        <v>11550</v>
      </c>
      <c r="F33" s="5">
        <v>15</v>
      </c>
      <c r="G33" s="5">
        <f t="shared" si="0"/>
        <v>770</v>
      </c>
      <c r="H33" s="5">
        <f>(E33/2)*G22</f>
        <v>433.125</v>
      </c>
      <c r="I33" s="5">
        <f>(E33/2)*G23</f>
        <v>86.625</v>
      </c>
    </row>
    <row r="34" spans="1:9" ht="12.75">
      <c r="A34" s="15"/>
      <c r="B34" s="1" t="s">
        <v>278</v>
      </c>
      <c r="E34" s="5">
        <v>1365</v>
      </c>
      <c r="F34" s="5">
        <v>10</v>
      </c>
      <c r="G34" s="5">
        <f t="shared" si="0"/>
        <v>136.5</v>
      </c>
      <c r="H34" s="5">
        <f>(E34/2)*G22</f>
        <v>51.1875</v>
      </c>
      <c r="I34" s="5">
        <f>(E34/2)*G23</f>
        <v>10.237499999999999</v>
      </c>
    </row>
    <row r="35" spans="1:9" ht="12.75">
      <c r="A35" s="15"/>
      <c r="B35" s="1" t="s">
        <v>279</v>
      </c>
      <c r="E35" s="5">
        <v>2449</v>
      </c>
      <c r="F35" s="5">
        <v>20</v>
      </c>
      <c r="G35" s="5">
        <f t="shared" si="0"/>
        <v>122.45</v>
      </c>
      <c r="H35" s="5">
        <f>(E35/2)*G22</f>
        <v>91.83749999999999</v>
      </c>
      <c r="I35" s="5">
        <f>(E35/2)*G23</f>
        <v>18.3675</v>
      </c>
    </row>
    <row r="36" spans="1:9" ht="12.75">
      <c r="A36" s="15"/>
      <c r="B36" s="1" t="s">
        <v>280</v>
      </c>
      <c r="E36" s="5">
        <v>42000</v>
      </c>
      <c r="F36" s="5">
        <v>20</v>
      </c>
      <c r="G36" s="5">
        <f t="shared" si="0"/>
        <v>2100</v>
      </c>
      <c r="H36" s="5">
        <f>(E36/2)*G22</f>
        <v>1575</v>
      </c>
      <c r="I36" s="5">
        <f>(E36/2)*G23</f>
        <v>315</v>
      </c>
    </row>
    <row r="37" spans="1:9" ht="13.5" thickBot="1">
      <c r="A37" s="15"/>
      <c r="B37" s="13" t="s">
        <v>237</v>
      </c>
      <c r="E37" s="51">
        <f>SUM(E30:E36)</f>
        <v>85167</v>
      </c>
      <c r="F37" s="6"/>
      <c r="G37" s="79">
        <f>SUM(G30:G36)</f>
        <v>5189.25</v>
      </c>
      <c r="H37" s="79">
        <f>SUM(H30:H36)</f>
        <v>3193.7625</v>
      </c>
      <c r="I37" s="79">
        <f>SUM(I30:I36)</f>
        <v>638.7525</v>
      </c>
    </row>
    <row r="38" spans="1:9" ht="13.5" thickTop="1">
      <c r="A38" s="15"/>
      <c r="E38" s="54"/>
      <c r="F38" s="6"/>
      <c r="G38" s="54"/>
      <c r="H38" s="54"/>
      <c r="I38" s="54"/>
    </row>
    <row r="39" spans="1:9" ht="13.5" thickBot="1">
      <c r="A39" s="15"/>
      <c r="B39" s="13" t="s">
        <v>230</v>
      </c>
      <c r="E39" s="6"/>
      <c r="F39" s="6"/>
      <c r="G39" s="6"/>
      <c r="H39" s="6"/>
      <c r="I39" s="51">
        <f>G37+H37+I37</f>
        <v>9021.765000000001</v>
      </c>
    </row>
    <row r="40" spans="1:9" ht="13.5" thickTop="1">
      <c r="A40" s="15"/>
      <c r="E40" s="6"/>
      <c r="F40" s="6"/>
      <c r="G40" s="6"/>
      <c r="H40" s="6"/>
      <c r="I40" s="54"/>
    </row>
    <row r="41" spans="1:9" ht="13.5" thickBot="1">
      <c r="A41" s="15"/>
      <c r="B41" s="13" t="s">
        <v>103</v>
      </c>
      <c r="E41" s="6"/>
      <c r="F41" s="6"/>
      <c r="G41" s="6"/>
      <c r="H41" s="6"/>
      <c r="I41" s="50">
        <f>I39/F20</f>
        <v>22.5544125</v>
      </c>
    </row>
    <row r="42" spans="1:9" ht="13.5" thickTop="1">
      <c r="A42" s="15"/>
      <c r="E42" s="6"/>
      <c r="F42" s="6"/>
      <c r="G42" s="6"/>
      <c r="H42" s="6"/>
      <c r="I42" s="54"/>
    </row>
    <row r="43" spans="1:9" ht="12.75">
      <c r="A43" s="15"/>
      <c r="E43" s="6"/>
      <c r="F43" s="6"/>
      <c r="G43" s="6"/>
      <c r="H43" s="6"/>
      <c r="I43" s="6"/>
    </row>
    <row r="44" spans="1:9" ht="12.75">
      <c r="A44" s="15"/>
      <c r="B44" s="13" t="s">
        <v>186</v>
      </c>
      <c r="E44" s="6"/>
      <c r="F44" s="6"/>
      <c r="G44" s="6"/>
      <c r="H44" s="6"/>
      <c r="I44" s="6"/>
    </row>
    <row r="45" spans="1:9" ht="12.75">
      <c r="A45" s="15"/>
      <c r="E45" s="6"/>
      <c r="F45" s="6"/>
      <c r="G45" s="6"/>
      <c r="H45" s="6"/>
      <c r="I45" s="6"/>
    </row>
    <row r="46" spans="1:9" ht="12.75">
      <c r="A46" s="15"/>
      <c r="B46" s="1" t="s">
        <v>180</v>
      </c>
      <c r="E46" s="6"/>
      <c r="F46" s="6"/>
      <c r="G46" s="5">
        <v>7.5</v>
      </c>
      <c r="H46" s="6"/>
      <c r="I46" s="6"/>
    </row>
    <row r="47" spans="1:9" ht="12.75">
      <c r="A47" s="15"/>
      <c r="B47" s="1" t="s">
        <v>209</v>
      </c>
      <c r="E47" s="6"/>
      <c r="F47" s="6"/>
      <c r="G47" s="5">
        <f>(E37-E35-E36)*0.005+25+(E31*0.12)</f>
        <v>827.15</v>
      </c>
      <c r="H47" s="6"/>
      <c r="I47" s="6"/>
    </row>
    <row r="48" spans="1:9" ht="12.75">
      <c r="A48" s="15"/>
      <c r="B48" s="1" t="s">
        <v>104</v>
      </c>
      <c r="E48" s="6"/>
      <c r="F48" s="6"/>
      <c r="G48" s="5">
        <v>1820</v>
      </c>
      <c r="H48" s="6"/>
      <c r="I48" s="6"/>
    </row>
    <row r="49" spans="1:9" ht="12.75">
      <c r="A49" s="15"/>
      <c r="B49" s="1" t="s">
        <v>125</v>
      </c>
      <c r="E49" s="6"/>
      <c r="F49" s="6"/>
      <c r="G49" s="5"/>
      <c r="H49" s="6"/>
      <c r="I49" s="6"/>
    </row>
    <row r="50" spans="1:9" ht="12.75">
      <c r="A50" s="15"/>
      <c r="B50" s="1" t="s">
        <v>12</v>
      </c>
      <c r="E50" s="6"/>
      <c r="F50" s="6"/>
      <c r="G50" s="5">
        <f>G46*12</f>
        <v>90</v>
      </c>
      <c r="H50" s="6"/>
      <c r="I50" s="6"/>
    </row>
    <row r="51" spans="1:9" ht="12.75">
      <c r="A51" s="15"/>
      <c r="B51" s="1" t="s">
        <v>33</v>
      </c>
      <c r="E51" s="6"/>
      <c r="F51" s="6"/>
      <c r="G51" s="7">
        <v>0.08</v>
      </c>
      <c r="H51" s="6"/>
      <c r="I51" s="6"/>
    </row>
    <row r="52" spans="1:9" ht="12.75">
      <c r="A52" s="15"/>
      <c r="B52" s="1" t="s">
        <v>101</v>
      </c>
      <c r="E52" s="6"/>
      <c r="F52" s="6"/>
      <c r="G52" s="5">
        <f>(G46*0.746*G51*G48)+G50</f>
        <v>904.632</v>
      </c>
      <c r="H52" s="6"/>
      <c r="I52" s="6"/>
    </row>
    <row r="53" spans="1:9" ht="12.75">
      <c r="A53" s="15"/>
      <c r="B53" s="1" t="s">
        <v>102</v>
      </c>
      <c r="E53" s="6"/>
      <c r="F53" s="6"/>
      <c r="G53" s="6"/>
      <c r="H53" s="6"/>
      <c r="I53" s="7">
        <f>G52/F20</f>
        <v>2.26158</v>
      </c>
    </row>
    <row r="54" spans="1:9" ht="13.5" thickBot="1">
      <c r="A54" s="15"/>
      <c r="B54" s="13" t="s">
        <v>185</v>
      </c>
      <c r="E54" s="6"/>
      <c r="F54" s="6"/>
      <c r="G54" s="6"/>
      <c r="H54" s="6"/>
      <c r="I54" s="50">
        <f>(G47+G52)/F20</f>
        <v>4.329454999999999</v>
      </c>
    </row>
    <row r="55" spans="1:9" ht="13.5" thickTop="1">
      <c r="A55" s="15"/>
      <c r="E55" s="6"/>
      <c r="F55" s="6"/>
      <c r="G55" s="6"/>
      <c r="H55" s="6"/>
      <c r="I55" s="54"/>
    </row>
    <row r="56" spans="1:9" ht="12.75">
      <c r="A56" s="15"/>
      <c r="E56" s="6"/>
      <c r="F56" s="6"/>
      <c r="G56" s="6"/>
      <c r="H56" s="6"/>
      <c r="I56" s="6"/>
    </row>
    <row r="57" spans="1:9" ht="13.5" thickBot="1">
      <c r="A57" s="15"/>
      <c r="B57" s="13" t="s">
        <v>229</v>
      </c>
      <c r="E57" s="6"/>
      <c r="F57" s="6"/>
      <c r="G57" s="6"/>
      <c r="H57" s="6"/>
      <c r="I57" s="50">
        <f>I41+I54</f>
        <v>26.8838675</v>
      </c>
    </row>
    <row r="58" spans="1:9" ht="13.5" thickTop="1">
      <c r="A58" s="15"/>
      <c r="E58" s="6"/>
      <c r="F58" s="6"/>
      <c r="G58" s="6"/>
      <c r="H58" s="6"/>
      <c r="I58" s="54"/>
    </row>
    <row r="59" spans="1:9" ht="12.75">
      <c r="A59" s="15"/>
      <c r="E59" s="6"/>
      <c r="F59" s="6"/>
      <c r="G59" s="6"/>
      <c r="H59" s="6"/>
      <c r="I59" s="6"/>
    </row>
    <row r="60" spans="1:9" ht="12.75">
      <c r="A60" s="15"/>
      <c r="E60" s="6"/>
      <c r="F60" s="6"/>
      <c r="G60" s="6"/>
      <c r="H60" s="6"/>
      <c r="I60" s="6"/>
    </row>
    <row r="61" spans="1:9" ht="12.75">
      <c r="A61" s="15"/>
      <c r="E61" s="6"/>
      <c r="F61" s="6"/>
      <c r="G61" s="6"/>
      <c r="H61" s="6"/>
      <c r="I61" s="6"/>
    </row>
    <row r="62" spans="1:9" ht="12.75">
      <c r="A62" s="15"/>
      <c r="E62" s="6"/>
      <c r="F62" s="6"/>
      <c r="G62" s="6"/>
      <c r="H62" s="6"/>
      <c r="I62" s="6"/>
    </row>
    <row r="63" spans="1:9" ht="12.75">
      <c r="A63" s="15" t="s">
        <v>85</v>
      </c>
      <c r="E63" s="6"/>
      <c r="F63" s="6"/>
      <c r="G63" s="6"/>
      <c r="H63" s="6"/>
      <c r="I63" s="6"/>
    </row>
    <row r="64" spans="1:9" ht="12.75">
      <c r="A64" s="15"/>
      <c r="E64" s="6"/>
      <c r="F64" s="6"/>
      <c r="G64" s="6"/>
      <c r="H64" s="6"/>
      <c r="I64" s="6"/>
    </row>
    <row r="65" spans="1:9" ht="12.75">
      <c r="A65" s="15"/>
      <c r="E65" s="6"/>
      <c r="F65" s="6"/>
      <c r="G65" s="6"/>
      <c r="H65" s="6"/>
      <c r="I65" s="6"/>
    </row>
  </sheetData>
  <sheetProtection/>
  <mergeCells count="6">
    <mergeCell ref="C13:H13"/>
    <mergeCell ref="C15:H15"/>
    <mergeCell ref="C16:H16"/>
    <mergeCell ref="C18:H18"/>
    <mergeCell ref="B4:M4"/>
    <mergeCell ref="B5:M5"/>
  </mergeCells>
  <printOptions/>
  <pageMargins left="0.75" right="0.75" top="1" bottom="1" header="0.5" footer="0.5"/>
  <pageSetup horizontalDpi="600" verticalDpi="600" orientation="portrait" r:id="rId2"/>
  <rowBreaks count="1" manualBreakCount="1">
    <brk id="6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8"/>
  </sheetPr>
  <dimension ref="A1:L37"/>
  <sheetViews>
    <sheetView zoomScale="88" zoomScaleNormal="88" zoomScalePageLayoutView="0" workbookViewId="0" topLeftCell="A1">
      <selection activeCell="Q28" sqref="Q28"/>
    </sheetView>
  </sheetViews>
  <sheetFormatPr defaultColWidth="9.140625" defaultRowHeight="12.75"/>
  <cols>
    <col min="1" max="5" width="9.140625" style="1" customWidth="1"/>
    <col min="6" max="6" width="10.8515625" style="1" customWidth="1"/>
    <col min="7" max="7" width="10.00390625" style="1" customWidth="1"/>
    <col min="8" max="8" width="10.8515625" style="1" customWidth="1"/>
    <col min="9" max="16384" width="9.140625" style="1" customWidth="1"/>
  </cols>
  <sheetData>
    <row r="1" spans="1:12" ht="15">
      <c r="A1" s="118" t="s">
        <v>334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5">
      <c r="A2" s="121" t="s">
        <v>332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5" spans="1:8" ht="12.75">
      <c r="A5" s="105" t="s">
        <v>314</v>
      </c>
      <c r="B5" s="106"/>
      <c r="C5" s="106"/>
      <c r="D5" s="106"/>
      <c r="E5" s="106"/>
      <c r="F5" s="106"/>
      <c r="G5" s="106"/>
      <c r="H5" s="106"/>
    </row>
    <row r="6" spans="1:8" ht="12.75">
      <c r="A6" s="106" t="s">
        <v>315</v>
      </c>
      <c r="B6" s="106"/>
      <c r="C6" s="106"/>
      <c r="D6" s="106"/>
      <c r="E6" s="106"/>
      <c r="F6" s="106"/>
      <c r="G6" s="106"/>
      <c r="H6" s="106"/>
    </row>
    <row r="7" spans="1:8" ht="12.75">
      <c r="A7" s="106" t="s">
        <v>316</v>
      </c>
      <c r="B7" s="106"/>
      <c r="C7" s="106"/>
      <c r="D7" s="106"/>
      <c r="E7" s="106"/>
      <c r="F7" s="106"/>
      <c r="G7" s="106"/>
      <c r="H7" s="106"/>
    </row>
    <row r="8" spans="1:8" ht="12.75">
      <c r="A8" s="100" t="s">
        <v>333</v>
      </c>
      <c r="B8" s="100"/>
      <c r="C8" s="100"/>
      <c r="D8" s="100"/>
      <c r="E8" s="100"/>
      <c r="F8" s="100"/>
      <c r="G8" s="100"/>
      <c r="H8" s="100"/>
    </row>
    <row r="10" ht="12.75">
      <c r="D10" s="31" t="s">
        <v>335</v>
      </c>
    </row>
    <row r="12" ht="12.75">
      <c r="C12" s="13" t="s">
        <v>223</v>
      </c>
    </row>
    <row r="14" spans="2:8" ht="12.75">
      <c r="B14" s="6"/>
      <c r="C14" s="6"/>
      <c r="D14" s="6"/>
      <c r="E14" s="6"/>
      <c r="F14" s="6" t="s">
        <v>211</v>
      </c>
      <c r="G14" s="6"/>
      <c r="H14" s="6" t="s">
        <v>211</v>
      </c>
    </row>
    <row r="15" spans="2:8" ht="12.75">
      <c r="B15" s="6" t="s">
        <v>261</v>
      </c>
      <c r="C15" s="6" t="s">
        <v>262</v>
      </c>
      <c r="D15" s="6" t="s">
        <v>199</v>
      </c>
      <c r="E15" s="6" t="s">
        <v>253</v>
      </c>
      <c r="F15" s="6" t="s">
        <v>253</v>
      </c>
      <c r="G15" s="6" t="s">
        <v>231</v>
      </c>
      <c r="H15" s="6" t="s">
        <v>231</v>
      </c>
    </row>
    <row r="17" spans="2:8" ht="12.75">
      <c r="B17" s="6">
        <v>1</v>
      </c>
      <c r="C17" s="6">
        <v>0</v>
      </c>
      <c r="D17" s="12">
        <v>0</v>
      </c>
      <c r="E17" s="7">
        <f>Yr1!H38</f>
        <v>1768.0724041666665</v>
      </c>
      <c r="F17" s="7">
        <f aca="true" t="shared" si="0" ref="F17:F31">(C17*D17)-E17</f>
        <v>-1768.0724041666665</v>
      </c>
      <c r="G17" s="7">
        <f>Yr1!H38</f>
        <v>1768.0724041666665</v>
      </c>
      <c r="H17" s="7">
        <f aca="true" t="shared" si="1" ref="H17:H31">(C17*D17)-G17</f>
        <v>-1768.0724041666665</v>
      </c>
    </row>
    <row r="18" spans="2:8" ht="12.75">
      <c r="B18" s="6">
        <v>2</v>
      </c>
      <c r="C18" s="6">
        <v>0</v>
      </c>
      <c r="D18" s="12">
        <v>0</v>
      </c>
      <c r="E18" s="7">
        <f>Yr2!H$40</f>
        <v>1281.5800791666666</v>
      </c>
      <c r="F18" s="7">
        <f t="shared" si="0"/>
        <v>-1281.5800791666666</v>
      </c>
      <c r="G18" s="7">
        <f>Yr2!H40</f>
        <v>1281.5800791666666</v>
      </c>
      <c r="H18" s="7">
        <f t="shared" si="1"/>
        <v>-1281.5800791666666</v>
      </c>
    </row>
    <row r="19" spans="2:8" ht="12.75">
      <c r="B19" s="6">
        <v>3</v>
      </c>
      <c r="C19" s="6">
        <v>0</v>
      </c>
      <c r="D19" s="12">
        <v>0</v>
      </c>
      <c r="E19" s="7">
        <f>Yr2!H$40</f>
        <v>1281.5800791666666</v>
      </c>
      <c r="F19" s="7">
        <f t="shared" si="0"/>
        <v>-1281.5800791666666</v>
      </c>
      <c r="G19" s="7">
        <f>Yr2!H40</f>
        <v>1281.5800791666666</v>
      </c>
      <c r="H19" s="7">
        <f t="shared" si="1"/>
        <v>-1281.5800791666666</v>
      </c>
    </row>
    <row r="20" spans="2:8" ht="12.75">
      <c r="B20" s="6">
        <v>4</v>
      </c>
      <c r="C20" s="6">
        <v>0</v>
      </c>
      <c r="D20" s="12">
        <v>0</v>
      </c>
      <c r="E20" s="7">
        <f>Yr2!H$40</f>
        <v>1281.5800791666666</v>
      </c>
      <c r="F20" s="7">
        <f t="shared" si="0"/>
        <v>-1281.5800791666666</v>
      </c>
      <c r="G20" s="7">
        <f>Yr2!H40</f>
        <v>1281.5800791666666</v>
      </c>
      <c r="H20" s="7">
        <f t="shared" si="1"/>
        <v>-1281.5800791666666</v>
      </c>
    </row>
    <row r="21" spans="2:8" ht="12.75">
      <c r="B21" s="6">
        <v>5</v>
      </c>
      <c r="C21" s="6">
        <v>0</v>
      </c>
      <c r="D21" s="12">
        <v>0</v>
      </c>
      <c r="E21" s="7">
        <f>Yr3!H$42</f>
        <v>1684.9308291666666</v>
      </c>
      <c r="F21" s="7">
        <f t="shared" si="0"/>
        <v>-1684.9308291666666</v>
      </c>
      <c r="G21" s="7">
        <f>Yr3!H42</f>
        <v>1684.9308291666666</v>
      </c>
      <c r="H21" s="7">
        <f t="shared" si="1"/>
        <v>-1684.9308291666666</v>
      </c>
    </row>
    <row r="22" spans="2:8" ht="12.75">
      <c r="B22" s="6">
        <v>6</v>
      </c>
      <c r="C22" s="6">
        <v>0</v>
      </c>
      <c r="D22" s="12">
        <v>0</v>
      </c>
      <c r="E22" s="7">
        <f>Yr3!H$42</f>
        <v>1684.9308291666666</v>
      </c>
      <c r="F22" s="7">
        <f t="shared" si="0"/>
        <v>-1684.9308291666666</v>
      </c>
      <c r="G22" s="7">
        <f>Yr3!H42</f>
        <v>1684.9308291666666</v>
      </c>
      <c r="H22" s="7">
        <f t="shared" si="1"/>
        <v>-1684.9308291666666</v>
      </c>
    </row>
    <row r="23" spans="2:8" ht="12.75">
      <c r="B23" s="6">
        <v>7</v>
      </c>
      <c r="C23" s="6">
        <v>0</v>
      </c>
      <c r="D23" s="12">
        <v>0</v>
      </c>
      <c r="E23" s="7">
        <f>Yr3!H$42</f>
        <v>1684.9308291666666</v>
      </c>
      <c r="F23" s="7">
        <f t="shared" si="0"/>
        <v>-1684.9308291666666</v>
      </c>
      <c r="G23" s="7">
        <f>Yr3!H42</f>
        <v>1684.9308291666666</v>
      </c>
      <c r="H23" s="7">
        <f t="shared" si="1"/>
        <v>-1684.9308291666666</v>
      </c>
    </row>
    <row r="24" spans="2:8" ht="12.75">
      <c r="B24" s="6">
        <v>8</v>
      </c>
      <c r="C24" s="6">
        <f>MEDY</f>
        <v>1400</v>
      </c>
      <c r="D24" s="12">
        <v>1.55</v>
      </c>
      <c r="E24" s="7">
        <f>Bud!I$58</f>
        <v>1876.31</v>
      </c>
      <c r="F24" s="7">
        <f t="shared" si="0"/>
        <v>293.69000000000005</v>
      </c>
      <c r="G24" s="7">
        <f>Yr3!H42+(C24*0.13)</f>
        <v>1866.9308291666666</v>
      </c>
      <c r="H24" s="7">
        <f t="shared" si="1"/>
        <v>303.0691708333334</v>
      </c>
    </row>
    <row r="25" spans="2:8" ht="12.75">
      <c r="B25" s="6">
        <v>9</v>
      </c>
      <c r="C25" s="6">
        <v>1400</v>
      </c>
      <c r="D25" s="12">
        <v>1.65</v>
      </c>
      <c r="E25" s="7">
        <f>Bud!I$58</f>
        <v>1876.31</v>
      </c>
      <c r="F25" s="7">
        <f t="shared" si="0"/>
        <v>433.69000000000005</v>
      </c>
      <c r="G25" s="7">
        <f>Yr3!H42+(C25*0.13)</f>
        <v>1866.9308291666666</v>
      </c>
      <c r="H25" s="7">
        <f t="shared" si="1"/>
        <v>443.0691708333334</v>
      </c>
    </row>
    <row r="26" spans="2:9" ht="12.75">
      <c r="B26" s="6">
        <v>10</v>
      </c>
      <c r="C26" s="6">
        <v>1400</v>
      </c>
      <c r="D26" s="12">
        <v>1.75</v>
      </c>
      <c r="E26" s="7">
        <f>Bud!I$58</f>
        <v>1876.31</v>
      </c>
      <c r="F26" s="7">
        <f t="shared" si="0"/>
        <v>573.69</v>
      </c>
      <c r="G26" s="7">
        <f>Bud!I48+Bud!I64+(C26*0.13)</f>
        <v>1915.5614091666666</v>
      </c>
      <c r="H26" s="7">
        <f t="shared" si="1"/>
        <v>534.4385908333334</v>
      </c>
      <c r="I26" s="13" t="s">
        <v>79</v>
      </c>
    </row>
    <row r="27" spans="2:8" ht="12.75">
      <c r="B27" s="6">
        <v>11</v>
      </c>
      <c r="C27" s="6">
        <v>1400</v>
      </c>
      <c r="D27" s="12">
        <v>2.5</v>
      </c>
      <c r="E27" s="7">
        <f>Bud!I$58</f>
        <v>1876.31</v>
      </c>
      <c r="F27" s="7">
        <f t="shared" si="0"/>
        <v>1623.69</v>
      </c>
      <c r="G27" s="7">
        <f>Bud!I48+Bud!I64+(C27*0.13)</f>
        <v>1915.5614091666666</v>
      </c>
      <c r="H27" s="7">
        <f t="shared" si="1"/>
        <v>1584.4385908333334</v>
      </c>
    </row>
    <row r="28" spans="2:8" ht="12.75">
      <c r="B28" s="6">
        <v>12</v>
      </c>
      <c r="C28" s="6">
        <v>1400</v>
      </c>
      <c r="D28" s="12">
        <v>2.85</v>
      </c>
      <c r="E28" s="7">
        <f>Bud!I$58</f>
        <v>1876.31</v>
      </c>
      <c r="F28" s="7">
        <f t="shared" si="0"/>
        <v>2113.69</v>
      </c>
      <c r="G28" s="7">
        <f>Bud!I48+Bud!I64+(C28*0.13)</f>
        <v>1915.5614091666666</v>
      </c>
      <c r="H28" s="7">
        <f t="shared" si="1"/>
        <v>2074.4385908333334</v>
      </c>
    </row>
    <row r="29" spans="2:8" ht="12.75">
      <c r="B29" s="6">
        <v>13</v>
      </c>
      <c r="C29" s="6">
        <v>1500</v>
      </c>
      <c r="D29" s="12">
        <v>2.75</v>
      </c>
      <c r="E29" s="7">
        <f>Bud!I$58</f>
        <v>1876.31</v>
      </c>
      <c r="F29" s="7">
        <f t="shared" si="0"/>
        <v>2248.69</v>
      </c>
      <c r="G29" s="7">
        <f>Bud!I48+Bud!I64+(C29*0.13)</f>
        <v>1928.5614091666666</v>
      </c>
      <c r="H29" s="7">
        <f t="shared" si="1"/>
        <v>2196.4385908333334</v>
      </c>
    </row>
    <row r="30" spans="2:8" ht="12.75">
      <c r="B30" s="6">
        <v>14</v>
      </c>
      <c r="C30" s="6">
        <v>1500</v>
      </c>
      <c r="D30" s="12">
        <v>2.65</v>
      </c>
      <c r="E30" s="7">
        <f>Bud!I$58</f>
        <v>1876.31</v>
      </c>
      <c r="F30" s="7">
        <f t="shared" si="0"/>
        <v>2098.69</v>
      </c>
      <c r="G30" s="7">
        <f>Bud!I48+Bud!I64+(C30*0.13)</f>
        <v>1928.5614091666666</v>
      </c>
      <c r="H30" s="7">
        <f t="shared" si="1"/>
        <v>2046.4385908333334</v>
      </c>
    </row>
    <row r="31" spans="2:8" ht="12.75">
      <c r="B31" s="6">
        <v>15</v>
      </c>
      <c r="C31" s="6">
        <v>1600</v>
      </c>
      <c r="D31" s="12">
        <v>2.55</v>
      </c>
      <c r="E31" s="7">
        <f>Bud!I$58</f>
        <v>1876.31</v>
      </c>
      <c r="F31" s="7">
        <f t="shared" si="0"/>
        <v>2203.6899999999996</v>
      </c>
      <c r="G31" s="7">
        <f>Bud!I48+Bud!I64+(C31*0.13)</f>
        <v>1941.5614091666666</v>
      </c>
      <c r="H31" s="7">
        <f t="shared" si="1"/>
        <v>2138.438590833333</v>
      </c>
    </row>
    <row r="32" spans="2:8" ht="12.75">
      <c r="B32" s="6"/>
      <c r="C32" s="6"/>
      <c r="D32" s="6"/>
      <c r="E32" s="6"/>
      <c r="F32" s="6"/>
      <c r="G32" s="6"/>
      <c r="H32" s="6"/>
    </row>
    <row r="33" spans="2:8" ht="12.75">
      <c r="B33" s="6"/>
      <c r="C33" s="13" t="s">
        <v>79</v>
      </c>
      <c r="D33" s="6" t="s">
        <v>224</v>
      </c>
      <c r="E33" s="6"/>
      <c r="F33" s="6"/>
      <c r="G33" s="6"/>
      <c r="H33" s="6"/>
    </row>
    <row r="34" spans="2:8" ht="12.75">
      <c r="B34" s="6"/>
      <c r="C34" s="6"/>
      <c r="D34" s="6" t="s">
        <v>154</v>
      </c>
      <c r="E34" s="6"/>
      <c r="F34" s="6"/>
      <c r="G34" s="6"/>
      <c r="H34" s="6"/>
    </row>
    <row r="36" ht="12.75">
      <c r="C36" s="1" t="s">
        <v>85</v>
      </c>
    </row>
    <row r="37" ht="12.75">
      <c r="B37" s="1" t="s">
        <v>85</v>
      </c>
    </row>
    <row r="40" ht="12.75"/>
    <row r="41" ht="12.75"/>
  </sheetData>
  <sheetProtection/>
  <mergeCells count="2">
    <mergeCell ref="A1:L1"/>
    <mergeCell ref="A2:L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Esendugue Greg Fonsah</cp:lastModifiedBy>
  <cp:lastPrinted>2023-02-11T21:13:03Z</cp:lastPrinted>
  <dcterms:created xsi:type="dcterms:W3CDTF">2017-01-27T13:31:33Z</dcterms:created>
  <dcterms:modified xsi:type="dcterms:W3CDTF">2023-02-28T03:19:01Z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