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firstSheet="1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M" sheetId="12" r:id="rId12"/>
    <sheet name="N" sheetId="13" r:id="rId13"/>
  </sheets>
  <externalReferences>
    <externalReference r:id="rId16"/>
  </externalReferences>
  <definedNames>
    <definedName name="\AUTOEXEC">'Bud'!$X$145:$X$147</definedName>
    <definedName name="\C">'Bud'!$I$146:$I$186</definedName>
    <definedName name="\FLOW">'N'!$E$1:$E$4</definedName>
    <definedName name="\T">'Bud'!$C$146:$C$186</definedName>
    <definedName name="\TOTAL">'N'!$B$1:$B$4</definedName>
    <definedName name="\V">'Bud'!$R$145:$R$185</definedName>
    <definedName name="\VARIABLE">'N'!$H$1:$H$4</definedName>
    <definedName name="\X">'Bud'!$F$146:$F$186</definedName>
    <definedName name="\Y">'Bud'!$O$152:$O$192</definedName>
    <definedName name="\Z">'Bud'!$U$145:$U$185</definedName>
    <definedName name="ENR">'Bud'!$R$101:$R$101</definedName>
    <definedName name="ENR_MNR">'Bud'!$R$101:$R$101</definedName>
    <definedName name="ETR">'Bud'!$P$100:$P$100</definedName>
    <definedName name="EXPP">'Bud'!$R$82:$R$82</definedName>
    <definedName name="EXPY">'Bud'!$P$82:$P$82</definedName>
    <definedName name="MEDP">'Bud'!$G$25:$G$25</definedName>
    <definedName name="MEDY">'Bud'!$G$24:$G$24</definedName>
    <definedName name="MNR">'Bud'!$P$102:$P$102</definedName>
    <definedName name="MTC">'Bud'!$R$100:$R$100</definedName>
    <definedName name="MTCV">'Bud'!$R$100:$R$100</definedName>
    <definedName name="MTR">'Bud'!$P$101:$P$101</definedName>
    <definedName name="STRHH">'Bud'!$P$96:$P$96</definedName>
    <definedName name="STRHL">'Bud'!$P$97:$P$97</definedName>
    <definedName name="STRLH">'Bud'!$R$97:$R$97</definedName>
    <definedName name="STRLL">'Bud'!$R$96:$R$96</definedName>
    <definedName name="STRO">'Bud'!$P$98:$P$98</definedName>
    <definedName name="STRP">'Bud'!$R$98:$R$98</definedName>
    <definedName name="UNIT">'Bud'!$I$19:$I$19</definedName>
    <definedName name="UNITCOST">'Bud'!$I$66:$I$66</definedName>
  </definedNames>
  <calcPr fullCalcOnLoad="1"/>
</workbook>
</file>

<file path=xl/sharedStrings.xml><?xml version="1.0" encoding="utf-8"?>
<sst xmlns="http://schemas.openxmlformats.org/spreadsheetml/2006/main" count="1046" uniqueCount="369">
  <si>
    <t/>
  </si>
  <si>
    <t>-</t>
  </si>
  <si>
    <t xml:space="preserve">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</si>
  <si>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</si>
  <si>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</si>
  <si>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</si>
  <si>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</si>
  <si>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</si>
  <si>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</si>
  <si>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</si>
  <si>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</si>
  <si>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</si>
  <si>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</si>
  <si>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</si>
  <si>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</si>
  <si>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</si>
  <si>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</si>
  <si>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</si>
  <si>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</si>
  <si>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</si>
  <si>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</si>
  <si>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</si>
  <si>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</si>
  <si>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</si>
  <si>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</si>
  <si>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</si>
  <si>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</si>
  <si>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</si>
  <si>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</si>
  <si>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</si>
  <si>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</si>
  <si>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</si>
  <si>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</si>
  <si>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</si>
  <si>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</si>
  <si>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</si>
  <si>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</si>
  <si>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</si>
  <si>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</si>
  <si>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</si>
  <si>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</si>
  <si>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</si>
  <si>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</si>
  <si>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</si>
  <si>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</si>
  <si>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</si>
  <si>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</si>
  <si>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</si>
  <si>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</si>
  <si>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</si>
  <si>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</si>
  <si>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</si>
  <si>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</si>
  <si>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</si>
  <si>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</si>
  <si>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</si>
  <si>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</si>
  <si>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</si>
  <si>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</si>
  <si>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</si>
  <si>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</si>
  <si>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</si>
  <si>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</si>
  <si>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</si>
  <si>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</si>
  <si>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</si>
  <si>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</si>
  <si>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</si>
  <si>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</si>
  <si>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</si>
  <si>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</si>
  <si>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</si>
  <si>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</si>
  <si>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</si>
  <si>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</si>
  <si>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</si>
  <si>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</si>
  <si>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</si>
  <si>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</si>
  <si>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</si>
  <si>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</si>
  <si>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</si>
  <si>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</si>
  <si>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</si>
  <si>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</si>
  <si>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</si>
  <si>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</si>
  <si>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</si>
  <si>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</si>
  <si>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</si>
  <si>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</si>
  <si>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</si>
  <si>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</si>
  <si>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</si>
  <si>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AMOUNT</t>
  </si>
  <si>
    <t>Amt/Ac.</t>
  </si>
  <si>
    <t>ANNUAL ENERGY COST</t>
  </si>
  <si>
    <t>ANNUAL ENERGY COST PER ACRE</t>
  </si>
  <si>
    <t>ANNUAL PUMPING HOURS</t>
  </si>
  <si>
    <t>Appl</t>
  </si>
  <si>
    <t>Appl.</t>
  </si>
  <si>
    <t>BASED ON</t>
  </si>
  <si>
    <t>Best</t>
  </si>
  <si>
    <t>Break-Even (BE) Costs Per Lb.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</si>
  <si>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</si>
  <si>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</si>
  <si>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</si>
  <si>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</si>
  <si>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</si>
  <si>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</si>
  <si>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</si>
  <si>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Costs Per Lb.</t>
  </si>
  <si>
    <t>Deprec.</t>
  </si>
  <si>
    <t>DEPREC.</t>
  </si>
  <si>
    <t>DEPTH OF WELL IN FEET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</si>
  <si>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</si>
  <si>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</si>
  <si>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</si>
  <si>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</si>
  <si>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</si>
  <si>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</si>
  <si>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</si>
  <si>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</si>
  <si>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</si>
  <si>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</si>
  <si>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</si>
  <si>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</si>
  <si>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</si>
  <si>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</si>
  <si>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Foliar B</t>
  </si>
  <si>
    <t>Foliar Zn</t>
  </si>
  <si>
    <t>Fuel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</si>
  <si>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</si>
  <si>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</si>
  <si>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</si>
  <si>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</si>
  <si>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</si>
  <si>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</si>
  <si>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</si>
  <si>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</si>
  <si>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</si>
  <si>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</si>
  <si>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</si>
  <si>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</si>
  <si>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</si>
  <si>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</si>
  <si>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</si>
  <si>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</si>
  <si>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</si>
  <si>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</si>
  <si>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</si>
  <si>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</si>
  <si>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</si>
  <si>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</si>
  <si>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</si>
  <si>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</si>
  <si>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</si>
  <si>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</si>
  <si>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</si>
  <si>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</si>
  <si>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</si>
  <si>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</si>
  <si>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</si>
  <si>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</si>
  <si>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</si>
  <si>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</si>
  <si>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</si>
  <si>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</si>
  <si>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</si>
  <si>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</si>
  <si>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</si>
  <si>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</si>
  <si>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Net return levels (TOP ROW);</t>
  </si>
  <si>
    <t>NEW COST</t>
  </si>
  <si>
    <t>Nitrogen (N)</t>
  </si>
  <si>
    <t>Number</t>
  </si>
  <si>
    <t>OPERATING COSTS</t>
  </si>
  <si>
    <t>Opt</t>
  </si>
  <si>
    <t>Other</t>
  </si>
  <si>
    <t>Over</t>
  </si>
  <si>
    <t>Overhead and Management</t>
  </si>
  <si>
    <t>PECAN BUDGET</t>
  </si>
  <si>
    <t xml:space="preserve">PECANS   </t>
  </si>
  <si>
    <t>Per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</si>
  <si>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</si>
  <si>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</si>
  <si>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</si>
  <si>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</si>
  <si>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</si>
  <si>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</si>
  <si>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</si>
  <si>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</si>
  <si>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</si>
  <si>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</si>
  <si>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</si>
  <si>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</si>
  <si>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</si>
  <si>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</si>
  <si>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</si>
  <si>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</si>
  <si>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</si>
  <si>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</si>
  <si>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</si>
  <si>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</si>
  <si>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</si>
  <si>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>RRRETURNS</t>
  </si>
  <si>
    <t xml:space="preserve">Salvage 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</si>
  <si>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</si>
  <si>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</si>
  <si>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</si>
  <si>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</si>
  <si>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</si>
  <si>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</si>
  <si>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</si>
  <si>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</si>
  <si>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</si>
  <si>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</si>
  <si>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</si>
  <si>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</si>
  <si>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</si>
  <si>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</si>
  <si>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</si>
  <si>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</si>
  <si>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</si>
  <si>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</si>
  <si>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</si>
  <si>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</si>
  <si>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</si>
  <si>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</si>
  <si>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Operating Costs</t>
  </si>
  <si>
    <t>Total Pre-Harvest</t>
  </si>
  <si>
    <t>Total Variable Costs</t>
  </si>
  <si>
    <t>Tractor &amp; Equipment</t>
  </si>
  <si>
    <t>Tree</t>
  </si>
  <si>
    <t>Truck</t>
  </si>
  <si>
    <t>UGA, Ag and Applied Econ Dept. Horticulture and Mitchell Co.</t>
  </si>
  <si>
    <t>Unit</t>
  </si>
  <si>
    <t>UNIT</t>
  </si>
  <si>
    <t>Use</t>
  </si>
  <si>
    <t>Value</t>
  </si>
  <si>
    <t>Var. Cost</t>
  </si>
  <si>
    <t>Variable Cost Budget</t>
  </si>
  <si>
    <t>Variable Costs</t>
  </si>
  <si>
    <t>VOLUME</t>
  </si>
  <si>
    <t>Width</t>
  </si>
  <si>
    <t>Worst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</si>
  <si>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</si>
  <si>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</si>
  <si>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</si>
  <si>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</si>
  <si>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</si>
  <si>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</si>
  <si>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</si>
  <si>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</si>
  <si>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</si>
  <si>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</si>
  <si>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</si>
  <si>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</si>
  <si>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</si>
  <si>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</si>
  <si>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</si>
  <si>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 xml:space="preserve">Total </t>
  </si>
  <si>
    <t>Total Chemicals</t>
  </si>
  <si>
    <t>Bush Hog Mower (20')</t>
  </si>
  <si>
    <t>Bess Sprayer</t>
  </si>
  <si>
    <t>Herbicide strip Sprayer</t>
  </si>
  <si>
    <t>Grinder (hand tools etc.)</t>
  </si>
  <si>
    <t>Dodge Truck (1/2 ton)</t>
  </si>
  <si>
    <t>2nd Year Estimated Annual Maintenance Cost for Satsuma</t>
  </si>
  <si>
    <t>1st Year Estimated Establishment And Maintenance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</si>
  <si>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</si>
  <si>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</si>
  <si>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</si>
  <si>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</si>
  <si>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</si>
  <si>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</si>
  <si>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</si>
  <si>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</si>
  <si>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</si>
  <si>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</si>
  <si>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</si>
  <si>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</si>
  <si>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</si>
  <si>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</si>
  <si>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</si>
  <si>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</si>
  <si>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</si>
  <si>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</si>
  <si>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</si>
  <si>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</si>
  <si>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</si>
  <si>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</si>
  <si>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</si>
  <si>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</si>
  <si>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</si>
  <si>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TOTAL FIXED COSTS (TFC)</t>
  </si>
  <si>
    <t>TOTAL COSTS (TC) ($)</t>
  </si>
  <si>
    <t>TOTAL FIXED COSTS (TFC) ($)</t>
  </si>
  <si>
    <t>Tractor</t>
  </si>
  <si>
    <t>EXAMPLE OF CHEMICALS FOR SATSUMA</t>
  </si>
  <si>
    <t>Total Pre-Variable Costs (P-HVC)</t>
  </si>
  <si>
    <t>TOTAL COSTS (FC)</t>
  </si>
  <si>
    <t>Total budgeted cost per acre ($)</t>
  </si>
  <si>
    <t>Total Fixed Costs ($)</t>
  </si>
  <si>
    <t>Opt.</t>
  </si>
  <si>
    <t>of Profit</t>
  </si>
  <si>
    <t xml:space="preserve">Sensitivity Analysis and Economic Risk-rated Returns for Price and Yield over Total Cost </t>
  </si>
  <si>
    <t>DRIP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</si>
  <si>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</si>
  <si>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</si>
  <si>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</si>
  <si>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</si>
  <si>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</si>
  <si>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</si>
  <si>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</si>
  <si>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</si>
  <si>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</si>
  <si>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</si>
  <si>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</si>
  <si>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</si>
  <si>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BE pre-harvest variable cost per lb ($).</t>
  </si>
  <si>
    <t>BE harvest &amp; marketing cost per lb ($).</t>
  </si>
  <si>
    <t xml:space="preserve">BE fixed costs  per lb ($)                </t>
  </si>
  <si>
    <t>BE Yields (Lbs).</t>
  </si>
  <si>
    <t xml:space="preserve">Trees replacement (15 x 20)  </t>
  </si>
  <si>
    <t>RU (Gramaxon)</t>
  </si>
  <si>
    <t xml:space="preserve">Trees (15 x 20)  </t>
  </si>
  <si>
    <t xml:space="preserve">Trees replacement (15 x 20) </t>
  </si>
  <si>
    <t>Fugicides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</si>
  <si>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</si>
  <si>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</si>
  <si>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</si>
  <si>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</si>
  <si>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                   Base Budgeted Net Revenue ($) =</t>
  </si>
  <si>
    <t>Chances for Profit =</t>
  </si>
  <si>
    <t xml:space="preserve">  Opt</t>
  </si>
  <si>
    <t xml:space="preserve">  Pess</t>
  </si>
  <si>
    <t>for Crop</t>
  </si>
  <si>
    <t>% Use</t>
  </si>
  <si>
    <t>by 40</t>
  </si>
  <si>
    <t>Harvesting &amp; hauling</t>
  </si>
  <si>
    <t xml:space="preserve">ESTIMATED TOTAL ANNUAL FIXED MACHINERY COSTS FOR SATSUMA </t>
  </si>
  <si>
    <t>Net</t>
  </si>
  <si>
    <t>Profit</t>
  </si>
  <si>
    <t>$-Price/lb</t>
  </si>
  <si>
    <t>BE Total cost per acre</t>
  </si>
  <si>
    <t>Prepared by Esendugue Greg Fonsah,  Joshua Dawson, Jake Price and Ben Cantrell</t>
  </si>
  <si>
    <t>UGA, Ag and Applied Econ Dept., ANR Ft. Valley State Uni, Agent Coordinators, Lowndes and Effingham Counties</t>
  </si>
  <si>
    <t>GROWERS ARE ENCOURAGED TO ENTER THEIR OWN NUMBERS</t>
  </si>
  <si>
    <t>yields, selling and input price data.</t>
  </si>
  <si>
    <t>50/50 - 6+ Years - SATSUMA CITRUS BUDGET - FRESH MARKET</t>
  </si>
  <si>
    <t xml:space="preserve">      6TH+ YEARS PRODUCTION - SATSUMA CITRUS 2023</t>
  </si>
  <si>
    <t>Gal</t>
  </si>
  <si>
    <t xml:space="preserve">THIS BUDGET IS INTERACTIVE </t>
  </si>
  <si>
    <t>Cost Per Acre For Georgia Satsuma Citrus</t>
  </si>
  <si>
    <t>INPUT COST</t>
  </si>
  <si>
    <t>3rd Estimated Annual Maintenance Cost For Satsuma Citrus</t>
  </si>
  <si>
    <t>John Deere Tractor 5095M  (hp 95)</t>
  </si>
  <si>
    <t xml:space="preserve">Total Annual Costs Per Acre </t>
  </si>
  <si>
    <t>Annual Fixed Costs Per Acre</t>
  </si>
  <si>
    <t>Total Annual Fixed Costs</t>
  </si>
  <si>
    <t xml:space="preserve">Total Investment </t>
  </si>
  <si>
    <t xml:space="preserve">Operating Cost Per Acre Per Year </t>
  </si>
  <si>
    <t xml:space="preserve">Annual Fixed Costs Per Acre </t>
  </si>
  <si>
    <t>Total Annual Costs Per Acre</t>
  </si>
  <si>
    <t>FROST PROTECTION IRRIGATION FOR SATSUMA CITRUS</t>
  </si>
  <si>
    <t xml:space="preserve">SATSUMA  CITRUS RETURNS </t>
  </si>
  <si>
    <t>ESTIMATED MACHINERY COST FOR SATSUMA CITRUS PRODUCTION</t>
  </si>
  <si>
    <t>Quantity.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</si>
</sst>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0" fontId="5" fillId="2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0" fillId="33" borderId="7" applyNumberFormat="0" applyFont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3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0" fontId="7" fillId="35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2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2" fillId="2" borderId="11" xfId="0" applyNumberFormat="1" applyFont="1" applyFill="1" applyBorder="1" applyAlignment="1">
      <alignment horizontal="center"/>
    </xf>
    <xf numFmtId="0" fontId="52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53" fillId="2" borderId="10" xfId="0" applyFont="1" applyFill="1" applyBorder="1" applyAlignment="1">
      <alignment/>
    </xf>
    <xf numFmtId="0" fontId="54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5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5" fillId="2" borderId="10" xfId="0" applyFont="1" applyFill="1" applyBorder="1" applyAlignment="1">
      <alignment/>
    </xf>
    <xf numFmtId="0" fontId="55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55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5" fillId="36" borderId="10" xfId="0" applyFont="1" applyFill="1" applyBorder="1" applyAlignment="1">
      <alignment vertical="center"/>
    </xf>
    <xf numFmtId="2" fontId="0" fillId="2" borderId="0" xfId="0" applyNumberForma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56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53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2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/>
    </xf>
    <xf numFmtId="9" fontId="3" fillId="2" borderId="0" xfId="0" applyNumberFormat="1" applyFont="1" applyFill="1" applyBorder="1" applyAlignment="1">
      <alignment/>
    </xf>
    <xf numFmtId="0" fontId="55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1" fontId="3" fillId="2" borderId="15" xfId="0" applyNumberFormat="1" applyFont="1" applyFill="1" applyBorder="1" applyAlignment="1">
      <alignment horizontal="right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right"/>
    </xf>
    <xf numFmtId="1" fontId="3" fillId="2" borderId="24" xfId="0" applyNumberFormat="1" applyFont="1" applyFill="1" applyBorder="1" applyAlignment="1">
      <alignment horizontal="right"/>
    </xf>
    <xf numFmtId="3" fontId="3" fillId="2" borderId="24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vertical="center"/>
    </xf>
    <xf numFmtId="9" fontId="3" fillId="2" borderId="24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3" fontId="52" fillId="2" borderId="0" xfId="0" applyNumberFormat="1" applyFont="1" applyFill="1" applyBorder="1" applyAlignment="1">
      <alignment horizontal="center"/>
    </xf>
    <xf numFmtId="10" fontId="0" fillId="2" borderId="0" xfId="0" applyNumberFormat="1" applyFill="1" applyBorder="1" applyAlignment="1">
      <alignment/>
    </xf>
    <xf numFmtId="10" fontId="52" fillId="2" borderId="0" xfId="0" applyNumberFormat="1" applyFont="1" applyFill="1" applyBorder="1" applyAlignment="1">
      <alignment/>
    </xf>
    <xf numFmtId="3" fontId="55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55" fillId="36" borderId="0" xfId="0" applyNumberFormat="1" applyFont="1" applyFill="1" applyAlignment="1">
      <alignment vertical="center"/>
    </xf>
    <xf numFmtId="2" fontId="52" fillId="36" borderId="0" xfId="0" applyNumberFormat="1" applyFont="1" applyFill="1" applyAlignment="1">
      <alignment vertical="center"/>
    </xf>
    <xf numFmtId="2" fontId="52" fillId="2" borderId="0" xfId="0" applyNumberFormat="1" applyFont="1" applyFill="1" applyAlignment="1">
      <alignment/>
    </xf>
    <xf numFmtId="2" fontId="55" fillId="2" borderId="0" xfId="0" applyNumberFormat="1" applyFont="1" applyFill="1" applyBorder="1" applyAlignment="1">
      <alignment/>
    </xf>
    <xf numFmtId="2" fontId="52" fillId="2" borderId="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1" fontId="3" fillId="2" borderId="24" xfId="0" applyNumberFormat="1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1" fontId="3" fillId="2" borderId="27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6" fillId="2" borderId="0" xfId="0" applyFont="1" applyFill="1" applyBorder="1" applyAlignment="1">
      <alignment horizontal="left"/>
    </xf>
    <xf numFmtId="3" fontId="0" fillId="2" borderId="0" xfId="0" applyNumberForma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55" fillId="36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56" fillId="38" borderId="0" xfId="0" applyNumberFormat="1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5" fillId="36" borderId="19" xfId="0" applyFont="1" applyFill="1" applyBorder="1" applyAlignment="1">
      <alignment vertical="center"/>
    </xf>
    <xf numFmtId="0" fontId="55" fillId="36" borderId="0" xfId="0" applyFont="1" applyFill="1" applyAlignment="1">
      <alignment vertical="center"/>
    </xf>
    <xf numFmtId="0" fontId="55" fillId="36" borderId="20" xfId="0" applyFont="1" applyFill="1" applyBorder="1" applyAlignment="1">
      <alignment vertical="center"/>
    </xf>
    <xf numFmtId="0" fontId="55" fillId="36" borderId="21" xfId="0" applyFont="1" applyFill="1" applyBorder="1" applyAlignment="1">
      <alignment vertical="center"/>
    </xf>
    <xf numFmtId="0" fontId="55" fillId="36" borderId="22" xfId="0" applyFont="1" applyFill="1" applyBorder="1" applyAlignment="1">
      <alignment vertical="center"/>
    </xf>
    <xf numFmtId="0" fontId="55" fillId="36" borderId="23" xfId="0" applyFont="1" applyFill="1" applyBorder="1" applyAlignment="1">
      <alignment vertical="center"/>
    </xf>
    <xf numFmtId="2" fontId="56" fillId="38" borderId="0" xfId="0" applyNumberFormat="1" applyFont="1" applyFill="1" applyAlignment="1">
      <alignment horizontal="center"/>
    </xf>
    <xf numFmtId="0" fontId="4" fillId="2" borderId="10" xfId="0" applyFont="1" applyFill="1" applyBorder="1" applyAlignment="1">
      <alignment/>
    </xf>
    <xf numFmtId="0" fontId="55" fillId="36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55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3" fillId="2" borderId="25" xfId="0" applyFont="1" applyFill="1" applyBorder="1" applyAlignment="1">
      <alignment horizontal="center"/>
    </xf>
    <xf numFmtId="0" fontId="53" fillId="2" borderId="26" xfId="0" applyFont="1" applyFill="1" applyBorder="1" applyAlignment="1">
      <alignment horizontal="center"/>
    </xf>
    <xf numFmtId="0" fontId="53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9" fontId="3" fillId="2" borderId="0" xfId="0" applyNumberFormat="1" applyFont="1" applyFill="1" applyBorder="1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122</xdr:row>
      <xdr:rowOff>19050</xdr:rowOff>
    </xdr:from>
    <xdr:to>
      <xdr:col>7</xdr:col>
      <xdr:colOff>495300</xdr:colOff>
      <xdr:row>125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22545675"/>
          <a:ext cx="2190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39</xdr:row>
      <xdr:rowOff>0</xdr:rowOff>
    </xdr:from>
    <xdr:to>
      <xdr:col>6</xdr:col>
      <xdr:colOff>381000</xdr:colOff>
      <xdr:row>42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6581775"/>
          <a:ext cx="2247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49</xdr:row>
      <xdr:rowOff>76200</xdr:rowOff>
    </xdr:from>
    <xdr:to>
      <xdr:col>6</xdr:col>
      <xdr:colOff>285750</xdr:colOff>
      <xdr:row>52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8362950"/>
          <a:ext cx="2247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</xdr:row>
      <xdr:rowOff>104775</xdr:rowOff>
    </xdr:from>
    <xdr:to>
      <xdr:col>6</xdr:col>
      <xdr:colOff>323850</xdr:colOff>
      <xdr:row>46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391400"/>
          <a:ext cx="2228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72</xdr:row>
      <xdr:rowOff>0</xdr:rowOff>
    </xdr:from>
    <xdr:to>
      <xdr:col>6</xdr:col>
      <xdr:colOff>114300</xdr:colOff>
      <xdr:row>75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2077700"/>
          <a:ext cx="2266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43</xdr:row>
      <xdr:rowOff>95250</xdr:rowOff>
    </xdr:from>
    <xdr:to>
      <xdr:col>6</xdr:col>
      <xdr:colOff>323850</xdr:colOff>
      <xdr:row>46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372350"/>
          <a:ext cx="2200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31</xdr:row>
      <xdr:rowOff>95250</xdr:rowOff>
    </xdr:from>
    <xdr:to>
      <xdr:col>9</xdr:col>
      <xdr:colOff>152400</xdr:colOff>
      <xdr:row>34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381625"/>
          <a:ext cx="2247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40</xdr:row>
      <xdr:rowOff>0</xdr:rowOff>
    </xdr:from>
    <xdr:to>
      <xdr:col>8</xdr:col>
      <xdr:colOff>200025</xdr:colOff>
      <xdr:row>43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6791325"/>
          <a:ext cx="22193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59</xdr:row>
      <xdr:rowOff>114300</xdr:rowOff>
    </xdr:from>
    <xdr:to>
      <xdr:col>7</xdr:col>
      <xdr:colOff>514350</xdr:colOff>
      <xdr:row>62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0039350"/>
          <a:ext cx="2143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61</xdr:row>
      <xdr:rowOff>95250</xdr:rowOff>
    </xdr:from>
    <xdr:to>
      <xdr:col>5</xdr:col>
      <xdr:colOff>1104900</xdr:colOff>
      <xdr:row>64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0391775"/>
          <a:ext cx="2257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utlookuga-my.sharepoint.com/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181</v>
      </c>
      <c r="G3" s="2"/>
      <c r="H3" s="2"/>
      <c r="I3" s="2"/>
      <c r="J3" s="2"/>
      <c r="K3" s="2"/>
    </row>
    <row r="4" spans="2:12" ht="12.75">
      <c r="B4" s="1" t="s">
        <v>3</v>
      </c>
      <c r="E4" s="2" t="s">
        <v>191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235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204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81</v>
      </c>
    </row>
    <row r="12" spans="6:12" ht="15">
      <c r="F12" s="190" t="s">
        <v>182</v>
      </c>
      <c r="G12" s="191"/>
      <c r="H12" s="191"/>
      <c r="L12" s="1" t="s">
        <v>0</v>
      </c>
    </row>
    <row r="14" spans="6:12" ht="12.75">
      <c r="F14" s="1" t="s">
        <v>241</v>
      </c>
      <c r="L14" s="1" t="s">
        <v>0</v>
      </c>
    </row>
    <row r="15" spans="6:12" ht="12.75">
      <c r="F15" s="1" t="s">
        <v>6</v>
      </c>
      <c r="J15" s="6">
        <v>1</v>
      </c>
      <c r="L15" s="1" t="s">
        <v>2</v>
      </c>
    </row>
    <row r="16" spans="5:12" ht="12.75">
      <c r="E16" s="1" t="s">
        <v>155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102</v>
      </c>
      <c r="G18" s="7" t="s">
        <v>177</v>
      </c>
      <c r="H18" s="7" t="s">
        <v>170</v>
      </c>
      <c r="I18" s="8" t="s">
        <v>184</v>
      </c>
      <c r="J18" s="8" t="s">
        <v>245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79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77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156</v>
      </c>
      <c r="G23" s="7" t="s">
        <v>236</v>
      </c>
      <c r="H23" s="7" t="s">
        <v>196</v>
      </c>
      <c r="I23" s="8" t="s">
        <v>192</v>
      </c>
      <c r="J23" s="6" t="s">
        <v>66</v>
      </c>
      <c r="K23" s="11" t="s">
        <v>219</v>
      </c>
      <c r="L23" s="1" t="s">
        <v>0</v>
      </c>
    </row>
    <row r="24" ht="12.75">
      <c r="L24" s="1" t="s">
        <v>0</v>
      </c>
    </row>
    <row r="25" spans="3:10" ht="12.75">
      <c r="C25" s="1" t="s">
        <v>242</v>
      </c>
      <c r="J25" s="12" t="s">
        <v>0</v>
      </c>
    </row>
    <row r="26" spans="4:12" ht="12.75">
      <c r="D26" s="1" t="s">
        <v>165</v>
      </c>
      <c r="G26" s="7" t="s">
        <v>217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174</v>
      </c>
      <c r="G27" s="7" t="s">
        <v>162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185</v>
      </c>
      <c r="G28" s="7" t="s">
        <v>162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187</v>
      </c>
      <c r="G29" s="7" t="s">
        <v>162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251</v>
      </c>
      <c r="G30" s="7" t="s">
        <v>162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130</v>
      </c>
      <c r="G31" s="7" t="s">
        <v>162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129</v>
      </c>
      <c r="G32" s="7" t="s">
        <v>162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133</v>
      </c>
      <c r="G33" s="7" t="s">
        <v>99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140</v>
      </c>
      <c r="G34" s="7" t="s">
        <v>99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145</v>
      </c>
      <c r="G35" s="7" t="s">
        <v>99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158</v>
      </c>
      <c r="G36" s="7" t="s">
        <v>142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56</v>
      </c>
      <c r="G37" s="7" t="s">
        <v>134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61</v>
      </c>
      <c r="G38" s="7" t="s">
        <v>91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161</v>
      </c>
      <c r="G39" s="7" t="s">
        <v>91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154</v>
      </c>
      <c r="G40" s="7" t="s">
        <v>91</v>
      </c>
      <c r="H40" s="7">
        <v>1</v>
      </c>
      <c r="I40" s="8">
        <f>SSet!H49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160</v>
      </c>
      <c r="G41" s="7" t="s">
        <v>91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151</v>
      </c>
      <c r="G42" s="7" t="s">
        <v>65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190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138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131</v>
      </c>
      <c r="G46" s="7" t="s">
        <v>99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167</v>
      </c>
      <c r="G47" s="7" t="s">
        <v>91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158</v>
      </c>
      <c r="G48" s="7" t="s">
        <v>142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109</v>
      </c>
      <c r="G49" s="7" t="s">
        <v>162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227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231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125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232</v>
      </c>
      <c r="G55" s="7" t="s">
        <v>142</v>
      </c>
      <c r="H55" s="8">
        <v>1</v>
      </c>
      <c r="I55" s="8">
        <f>FxdCost!I33</f>
        <v>2403.0408783600005</v>
      </c>
      <c r="J55" s="8">
        <f>H55*I55</f>
        <v>2403.0408783600005</v>
      </c>
      <c r="K55" s="11">
        <f>J15*J55</f>
        <v>2403.0408783600005</v>
      </c>
      <c r="L55" s="14" t="s">
        <v>0</v>
      </c>
    </row>
    <row r="56" spans="4:12" ht="12.75">
      <c r="D56" s="1" t="s">
        <v>154</v>
      </c>
      <c r="G56" s="7" t="s">
        <v>91</v>
      </c>
      <c r="H56" s="8">
        <v>1</v>
      </c>
      <c r="I56" s="8">
        <f>Drip!$I40</f>
        <v>1383.426</v>
      </c>
      <c r="J56" s="8">
        <f>H56*I56</f>
        <v>1383.426</v>
      </c>
      <c r="K56" s="11">
        <f>J15*J56</f>
        <v>1383.426</v>
      </c>
      <c r="L56" s="7"/>
    </row>
    <row r="57" spans="4:12" ht="12.75">
      <c r="D57" s="1" t="s">
        <v>199</v>
      </c>
      <c r="G57" s="7" t="s">
        <v>91</v>
      </c>
      <c r="H57" s="8">
        <v>1</v>
      </c>
      <c r="I57" s="8">
        <f>Yr3!H57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159</v>
      </c>
      <c r="G58" s="7" t="s">
        <v>91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180</v>
      </c>
      <c r="G59" s="7" t="s">
        <v>65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224</v>
      </c>
      <c r="G60" s="7"/>
      <c r="H60" s="7"/>
      <c r="I60" s="7"/>
      <c r="J60" s="10">
        <f>SUM(J55:J59)</f>
        <v>1893.7296405128207</v>
      </c>
      <c r="K60" s="16">
        <f>J15*J60</f>
        <v>1893.7296405128207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220</v>
      </c>
      <c r="H62" s="7"/>
      <c r="I62" s="7"/>
      <c r="J62" s="10">
        <f>J43+J51+J60</f>
        <v>3451.447332820513</v>
      </c>
      <c r="K62" s="9">
        <f>J15*J62</f>
        <v>3451.447332820513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111</v>
      </c>
      <c r="H64" s="7"/>
      <c r="I64" s="7"/>
      <c r="J64" s="7"/>
      <c r="K64" s="7"/>
      <c r="L64" s="7"/>
    </row>
    <row r="65" spans="4:12" ht="12.75">
      <c r="D65" s="1" t="s">
        <v>189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137</v>
      </c>
      <c r="H66" s="7"/>
      <c r="I66" s="7"/>
      <c r="J66" s="8">
        <f>J51/H20</f>
        <v>0.2872928571428572</v>
      </c>
      <c r="K66" s="7"/>
      <c r="L66" s="7"/>
      <c r="M66" s="1" t="s">
        <v>74</v>
      </c>
      <c r="N66" s="1" t="s">
        <v>74</v>
      </c>
      <c r="R66" s="1" t="s">
        <v>74</v>
      </c>
    </row>
    <row r="67" spans="4:18" ht="12.75">
      <c r="D67" s="1" t="s">
        <v>127</v>
      </c>
      <c r="E67" s="1" t="s">
        <v>60</v>
      </c>
      <c r="H67" s="7"/>
      <c r="I67" s="7"/>
      <c r="J67" s="8">
        <f>J60/H20</f>
        <v>1.352664028937729</v>
      </c>
      <c r="K67" s="7"/>
      <c r="L67" s="7"/>
      <c r="M67" s="1" t="s">
        <v>74</v>
      </c>
      <c r="N67" s="1" t="s">
        <v>7</v>
      </c>
      <c r="R67" s="1" t="s">
        <v>74</v>
      </c>
    </row>
    <row r="68" spans="3:18" ht="12.75">
      <c r="C68" s="15" t="s">
        <v>221</v>
      </c>
      <c r="H68" s="7"/>
      <c r="I68" s="7"/>
      <c r="J68" s="10">
        <f>J62/H20</f>
        <v>2.4653195234432235</v>
      </c>
      <c r="K68" s="7"/>
      <c r="L68" s="7"/>
      <c r="M68" s="1" t="s">
        <v>74</v>
      </c>
      <c r="N68" s="1" t="s">
        <v>1</v>
      </c>
      <c r="R68" s="1" t="s">
        <v>74</v>
      </c>
    </row>
    <row r="69" spans="8:18" ht="12.75">
      <c r="H69" s="7"/>
      <c r="I69" s="7"/>
      <c r="J69" s="7"/>
      <c r="K69" s="7"/>
      <c r="L69" s="7"/>
      <c r="M69" s="1" t="s">
        <v>74</v>
      </c>
      <c r="N69" s="12">
        <f>J15</f>
        <v>1</v>
      </c>
      <c r="O69" s="1" t="s">
        <v>10</v>
      </c>
      <c r="R69" s="1" t="s">
        <v>74</v>
      </c>
    </row>
    <row r="70" spans="6:18" ht="12.75">
      <c r="F70" s="1" t="s">
        <v>69</v>
      </c>
      <c r="H70" s="7"/>
      <c r="I70" s="7"/>
      <c r="J70" s="7"/>
      <c r="K70" s="7"/>
      <c r="L70" s="7"/>
      <c r="M70" s="1" t="s">
        <v>74</v>
      </c>
      <c r="N70" s="12">
        <f>F20</f>
        <v>1800</v>
      </c>
      <c r="O70" s="1" t="s">
        <v>12</v>
      </c>
      <c r="P70" s="17">
        <f>F21</f>
        <v>1.9</v>
      </c>
      <c r="Q70" s="1" t="s">
        <v>11</v>
      </c>
      <c r="R70" s="1" t="s">
        <v>74</v>
      </c>
    </row>
    <row r="71" spans="8:18" ht="12.75">
      <c r="H71" s="7"/>
      <c r="I71" s="7"/>
      <c r="J71" s="7"/>
      <c r="K71" s="7"/>
      <c r="L71" s="7"/>
      <c r="M71" s="1" t="s">
        <v>74</v>
      </c>
      <c r="N71" s="12">
        <f>G20</f>
        <v>1600</v>
      </c>
      <c r="O71" s="1" t="s">
        <v>29</v>
      </c>
      <c r="P71" s="17">
        <f>G21</f>
        <v>1.7</v>
      </c>
      <c r="Q71" s="1" t="s">
        <v>28</v>
      </c>
      <c r="R71" s="1" t="s">
        <v>74</v>
      </c>
    </row>
    <row r="72" spans="3:16" ht="12.75">
      <c r="C72" s="1" t="s">
        <v>81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74</v>
      </c>
      <c r="N73" s="12">
        <f>H20</f>
        <v>1400</v>
      </c>
      <c r="O73" s="1" t="s">
        <v>22</v>
      </c>
      <c r="P73" s="17">
        <f>H21</f>
        <v>1.5</v>
      </c>
      <c r="Q73" s="1" t="s">
        <v>21</v>
      </c>
      <c r="R73" s="1" t="s">
        <v>74</v>
      </c>
    </row>
    <row r="74" spans="8:18" ht="12.75">
      <c r="H74" s="7"/>
      <c r="I74" s="7"/>
      <c r="J74" s="7"/>
      <c r="K74" s="7"/>
      <c r="L74" s="7"/>
      <c r="M74" s="1" t="s">
        <v>74</v>
      </c>
      <c r="N74" s="12">
        <f>I20</f>
        <v>1200</v>
      </c>
      <c r="O74" s="1" t="s">
        <v>32</v>
      </c>
      <c r="P74" s="17">
        <f>I21</f>
        <v>1.2</v>
      </c>
      <c r="Q74" s="1" t="s">
        <v>31</v>
      </c>
      <c r="R74" s="1" t="s">
        <v>74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74</v>
      </c>
      <c r="N75" s="12">
        <f>J20</f>
        <v>1000</v>
      </c>
      <c r="O75" s="1" t="s">
        <v>55</v>
      </c>
      <c r="P75" s="17">
        <f>J21</f>
        <v>1</v>
      </c>
      <c r="Q75" s="1" t="s">
        <v>54</v>
      </c>
      <c r="R75" s="1" t="s">
        <v>74</v>
      </c>
    </row>
    <row r="76" spans="8:18" ht="12.75">
      <c r="H76" s="7"/>
      <c r="I76" s="7"/>
      <c r="J76" s="7"/>
      <c r="K76" s="11" t="s">
        <v>0</v>
      </c>
      <c r="L76" s="7"/>
      <c r="M76" s="1" t="s">
        <v>74</v>
      </c>
      <c r="N76" s="17">
        <f>J66</f>
        <v>0.2872928571428572</v>
      </c>
      <c r="O76" s="1" t="s">
        <v>20</v>
      </c>
      <c r="R76" s="1" t="s">
        <v>74</v>
      </c>
    </row>
    <row r="77" spans="8:18" ht="12.75">
      <c r="H77" s="7"/>
      <c r="I77" s="7"/>
      <c r="J77" s="7"/>
      <c r="K77" s="7"/>
      <c r="L77" s="7"/>
      <c r="M77" s="1" t="s">
        <v>74</v>
      </c>
      <c r="N77" s="17">
        <f>J43+J60</f>
        <v>3049.237332820513</v>
      </c>
      <c r="O77" s="1" t="s">
        <v>45</v>
      </c>
      <c r="R77" s="1" t="s">
        <v>74</v>
      </c>
    </row>
    <row r="78" spans="8:18" ht="12.75">
      <c r="H78" s="7"/>
      <c r="I78" s="7"/>
      <c r="J78" s="7"/>
      <c r="K78" s="7"/>
      <c r="L78" s="7"/>
      <c r="M78" s="1" t="s">
        <v>74</v>
      </c>
      <c r="N78" s="1" t="s">
        <v>74</v>
      </c>
      <c r="R78" s="1" t="s">
        <v>74</v>
      </c>
    </row>
    <row r="79" spans="8:18" ht="12.75">
      <c r="H79" s="7"/>
      <c r="I79" s="7"/>
      <c r="J79" s="7"/>
      <c r="K79" s="7"/>
      <c r="L79" s="7"/>
      <c r="M79" s="1" t="s">
        <v>80</v>
      </c>
      <c r="N79" s="1" t="s">
        <v>1</v>
      </c>
      <c r="R79" s="1" t="s">
        <v>80</v>
      </c>
    </row>
    <row r="80" spans="8:18" ht="12.75">
      <c r="H80" s="7"/>
      <c r="I80" s="7"/>
      <c r="J80" s="7"/>
      <c r="K80" s="7"/>
      <c r="L80" s="7"/>
      <c r="M80" s="1" t="s">
        <v>80</v>
      </c>
      <c r="O80" s="1" t="s">
        <v>106</v>
      </c>
      <c r="R80" s="1" t="s">
        <v>80</v>
      </c>
    </row>
    <row r="81" spans="8:18" ht="12.75">
      <c r="H81" s="18"/>
      <c r="I81" s="7"/>
      <c r="J81" s="7"/>
      <c r="K81" s="7"/>
      <c r="L81" s="7"/>
      <c r="M81" s="1" t="s">
        <v>80</v>
      </c>
      <c r="N81" s="1" t="s">
        <v>1</v>
      </c>
      <c r="R81" s="1" t="s">
        <v>80</v>
      </c>
    </row>
    <row r="82" spans="4:18" ht="12.75">
      <c r="D82" s="192" t="s">
        <v>121</v>
      </c>
      <c r="E82" s="191"/>
      <c r="F82" s="191"/>
      <c r="G82" s="191"/>
      <c r="H82" s="191"/>
      <c r="I82" s="191"/>
      <c r="J82" s="191"/>
      <c r="K82" s="7"/>
      <c r="L82" s="7"/>
      <c r="M82" s="1" t="s">
        <v>80</v>
      </c>
      <c r="N82" s="12">
        <f>0.04*N70+0.25*N71+0.42*N73+0.25*N74+0.04*N75</f>
        <v>1400</v>
      </c>
      <c r="O82" s="1" t="s">
        <v>18</v>
      </c>
      <c r="P82" s="1">
        <f>0.04*P70+0.25*P71+0.42*P73+0.25*P74+0.04*P75</f>
        <v>1.471</v>
      </c>
      <c r="Q82" s="1" t="s">
        <v>17</v>
      </c>
      <c r="R82" s="1" t="s">
        <v>80</v>
      </c>
    </row>
    <row r="83" spans="8:18" ht="12.75">
      <c r="H83" s="19" t="s">
        <v>0</v>
      </c>
      <c r="I83" s="19"/>
      <c r="J83" s="7"/>
      <c r="K83" s="7"/>
      <c r="L83" s="7"/>
      <c r="M83" s="1" t="s">
        <v>80</v>
      </c>
      <c r="N83" s="1">
        <f>0.25*(N70-N82)+0.5*(N71-N82)</f>
        <v>200</v>
      </c>
      <c r="O83" s="1" t="s">
        <v>43</v>
      </c>
      <c r="P83" s="1">
        <f>0.25*(P70-P82)+0.5*(P71-P82)</f>
        <v>0.2217499999999999</v>
      </c>
      <c r="Q83" s="1" t="s">
        <v>35</v>
      </c>
      <c r="R83" s="1" t="s">
        <v>80</v>
      </c>
    </row>
    <row r="84" spans="8:18" ht="12.75">
      <c r="H84" s="7"/>
      <c r="I84" s="7"/>
      <c r="J84" s="7"/>
      <c r="K84" s="7"/>
      <c r="L84" s="7"/>
      <c r="M84" s="1" t="s">
        <v>80</v>
      </c>
      <c r="N84" s="1">
        <f>0.25*(N82-N75)+0.5*(N82-N74)</f>
        <v>200</v>
      </c>
      <c r="O84" s="1" t="s">
        <v>44</v>
      </c>
      <c r="P84" s="1">
        <f>0.25*(P82-P75)+0.5*(P82-P74)</f>
        <v>0.2532500000000001</v>
      </c>
      <c r="Q84" s="1" t="s">
        <v>36</v>
      </c>
      <c r="R84" s="1" t="s">
        <v>80</v>
      </c>
    </row>
    <row r="85" spans="4:18" ht="12.75">
      <c r="D85" s="1" t="s">
        <v>0</v>
      </c>
      <c r="E85" s="1" t="s">
        <v>120</v>
      </c>
      <c r="G85" s="1" t="s">
        <v>243</v>
      </c>
      <c r="H85" s="7"/>
      <c r="I85" s="8" t="s">
        <v>120</v>
      </c>
      <c r="J85" s="8" t="s">
        <v>0</v>
      </c>
      <c r="K85" s="11" t="s">
        <v>219</v>
      </c>
      <c r="L85" s="7"/>
      <c r="M85" s="1" t="s">
        <v>80</v>
      </c>
      <c r="N85" s="12">
        <f>N83^2</f>
        <v>40000</v>
      </c>
      <c r="O85" s="1" t="s">
        <v>52</v>
      </c>
      <c r="P85" s="1">
        <f>P83^2</f>
        <v>0.049173062499999955</v>
      </c>
      <c r="Q85" s="1" t="s">
        <v>46</v>
      </c>
      <c r="R85" s="1" t="s">
        <v>80</v>
      </c>
    </row>
    <row r="86" spans="4:18" ht="12.75">
      <c r="D86" s="1" t="s">
        <v>93</v>
      </c>
      <c r="E86" s="1" t="s">
        <v>248</v>
      </c>
      <c r="G86" s="1" t="s">
        <v>169</v>
      </c>
      <c r="H86" s="7"/>
      <c r="I86" s="8" t="s">
        <v>193</v>
      </c>
      <c r="J86" s="8" t="s">
        <v>0</v>
      </c>
      <c r="K86" s="11" t="s">
        <v>203</v>
      </c>
      <c r="L86" s="7" t="s">
        <v>2</v>
      </c>
      <c r="M86" s="1" t="s">
        <v>80</v>
      </c>
      <c r="N86" s="12">
        <f>N84^2</f>
        <v>40000</v>
      </c>
      <c r="O86" s="1" t="s">
        <v>53</v>
      </c>
      <c r="P86" s="1">
        <f>P84^2</f>
        <v>0.06413556250000005</v>
      </c>
      <c r="Q86" s="1" t="s">
        <v>47</v>
      </c>
      <c r="R86" s="1" t="s">
        <v>80</v>
      </c>
    </row>
    <row r="87" spans="8:18" ht="12.75">
      <c r="H87" s="7"/>
      <c r="I87" s="7"/>
      <c r="J87" s="7"/>
      <c r="K87" s="7"/>
      <c r="L87" s="7"/>
      <c r="M87" s="1" t="s">
        <v>80</v>
      </c>
      <c r="N87" s="1" t="s">
        <v>1</v>
      </c>
      <c r="R87" s="1" t="s">
        <v>80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80</v>
      </c>
      <c r="N88" s="12">
        <f>(N82^2*P85)+(P82-N76)^2*N85</f>
        <v>152425.70650204073</v>
      </c>
      <c r="O88" s="12" t="s">
        <v>48</v>
      </c>
      <c r="P88" s="12">
        <f>(N82^2*P86)+(P82-N76)^2*N86</f>
        <v>181752.2065020409</v>
      </c>
      <c r="Q88" s="1" t="s">
        <v>51</v>
      </c>
      <c r="R88" s="1" t="s">
        <v>80</v>
      </c>
    </row>
    <row r="89" spans="8:18" ht="12.75">
      <c r="H89" s="7"/>
      <c r="I89" s="7"/>
      <c r="J89" s="7"/>
      <c r="K89" s="7"/>
      <c r="L89" s="7"/>
      <c r="M89" s="1" t="s">
        <v>80</v>
      </c>
      <c r="N89" s="12">
        <f>(N82^2*P85)+(P82-N76)^2*N86</f>
        <v>152425.70650204073</v>
      </c>
      <c r="O89" s="12" t="s">
        <v>49</v>
      </c>
      <c r="P89" s="12">
        <f>N82^2*P86+(P82-N76)^2*N85</f>
        <v>181752.2065020409</v>
      </c>
      <c r="Q89" s="1" t="s">
        <v>50</v>
      </c>
      <c r="R89" s="1" t="s">
        <v>80</v>
      </c>
    </row>
    <row r="90" spans="8:19" ht="12.75">
      <c r="H90" s="7"/>
      <c r="I90" s="7"/>
      <c r="J90" s="7"/>
      <c r="K90" s="7"/>
      <c r="L90" s="7"/>
      <c r="M90" s="1" t="s">
        <v>80</v>
      </c>
      <c r="N90" s="12">
        <f>SQRT(N88)</f>
        <v>390.4173491304411</v>
      </c>
      <c r="O90" s="12" t="s">
        <v>37</v>
      </c>
      <c r="P90" s="12">
        <f>SQRT(P88)</f>
        <v>426.32406277624176</v>
      </c>
      <c r="Q90" s="1" t="s">
        <v>40</v>
      </c>
      <c r="R90" s="1" t="s">
        <v>80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80</v>
      </c>
      <c r="N91" s="12">
        <f>SQRT(N89)</f>
        <v>390.4173491304411</v>
      </c>
      <c r="O91" s="12" t="s">
        <v>38</v>
      </c>
      <c r="P91" s="12">
        <f>SQRT(P89)</f>
        <v>426.32406277624176</v>
      </c>
      <c r="Q91" s="1" t="s">
        <v>39</v>
      </c>
      <c r="R91" s="1" t="s">
        <v>80</v>
      </c>
    </row>
    <row r="92" spans="3:18" ht="12.75">
      <c r="C92" s="1" t="s">
        <v>4</v>
      </c>
      <c r="H92" s="7"/>
      <c r="I92" s="7"/>
      <c r="J92" s="7"/>
      <c r="K92" s="7"/>
      <c r="L92" s="7"/>
      <c r="M92" s="1" t="s">
        <v>80</v>
      </c>
      <c r="N92" s="12">
        <f>0.66*N90+0.17*N91+0.17*P91</f>
        <v>396.5214904502272</v>
      </c>
      <c r="O92" s="12" t="s">
        <v>41</v>
      </c>
      <c r="P92" s="12">
        <f>0.66*P90+0.17*N91+0.17*P91</f>
        <v>420.21992145645567</v>
      </c>
      <c r="Q92" s="1" t="s">
        <v>42</v>
      </c>
      <c r="R92" s="1" t="s">
        <v>80</v>
      </c>
    </row>
    <row r="93" spans="8:18" ht="12.75">
      <c r="H93" s="7"/>
      <c r="I93" s="7"/>
      <c r="J93" s="7"/>
      <c r="K93" s="7"/>
      <c r="L93" s="7"/>
      <c r="M93" s="1" t="s">
        <v>80</v>
      </c>
      <c r="N93" s="1" t="s">
        <v>1</v>
      </c>
      <c r="R93" s="1" t="s">
        <v>80</v>
      </c>
    </row>
    <row r="94" spans="3:18" ht="12.75">
      <c r="C94" s="1" t="s">
        <v>172</v>
      </c>
      <c r="H94" s="7"/>
      <c r="I94" s="7"/>
      <c r="J94" s="7"/>
      <c r="K94" s="7"/>
      <c r="L94" s="7"/>
      <c r="M94" s="1" t="s">
        <v>80</v>
      </c>
      <c r="N94" s="1" t="s">
        <v>105</v>
      </c>
      <c r="R94" s="1" t="s">
        <v>80</v>
      </c>
    </row>
    <row r="95" spans="3:18" ht="12.75">
      <c r="C95" s="1" t="s">
        <v>213</v>
      </c>
      <c r="H95" s="7"/>
      <c r="I95" s="7"/>
      <c r="J95" s="7"/>
      <c r="K95" s="7"/>
      <c r="L95" s="7"/>
      <c r="M95" s="1" t="s">
        <v>80</v>
      </c>
      <c r="N95" s="1" t="s">
        <v>1</v>
      </c>
      <c r="R95" s="1" t="s">
        <v>80</v>
      </c>
    </row>
    <row r="96" spans="3:18" ht="12.75">
      <c r="C96" s="1" t="s">
        <v>212</v>
      </c>
      <c r="H96" s="7"/>
      <c r="I96" s="7"/>
      <c r="J96" s="7"/>
      <c r="K96" s="7"/>
      <c r="L96" s="7"/>
      <c r="M96" s="1" t="s">
        <v>80</v>
      </c>
      <c r="N96" s="12">
        <f>N90*N69</f>
        <v>390.4173491304411</v>
      </c>
      <c r="O96" s="1" t="s">
        <v>37</v>
      </c>
      <c r="P96" s="12">
        <f>P90*N69</f>
        <v>426.32406277624176</v>
      </c>
      <c r="Q96" s="1" t="s">
        <v>40</v>
      </c>
      <c r="R96" s="1" t="s">
        <v>80</v>
      </c>
    </row>
    <row r="97" spans="8:18" ht="12.75">
      <c r="H97" s="7"/>
      <c r="I97" s="7"/>
      <c r="J97" s="7"/>
      <c r="K97" s="7"/>
      <c r="L97" s="7" t="s">
        <v>0</v>
      </c>
      <c r="M97" s="1" t="s">
        <v>80</v>
      </c>
      <c r="N97" s="12">
        <f>N91*N69</f>
        <v>390.4173491304411</v>
      </c>
      <c r="O97" s="1" t="s">
        <v>38</v>
      </c>
      <c r="P97" s="12">
        <f>P91*N69</f>
        <v>426.32406277624176</v>
      </c>
      <c r="Q97" s="1" t="s">
        <v>39</v>
      </c>
      <c r="R97" s="1" t="s">
        <v>80</v>
      </c>
    </row>
    <row r="98" spans="6:18" ht="12.75">
      <c r="F98" s="1" t="s">
        <v>30</v>
      </c>
      <c r="H98" s="19" t="s">
        <v>19</v>
      </c>
      <c r="I98" s="7"/>
      <c r="J98" s="8" t="s">
        <v>33</v>
      </c>
      <c r="K98" s="7"/>
      <c r="L98" s="7"/>
      <c r="M98" s="1" t="s">
        <v>80</v>
      </c>
      <c r="N98" s="12">
        <f>N69*N92</f>
        <v>396.5214904502272</v>
      </c>
      <c r="O98" s="1" t="s">
        <v>41</v>
      </c>
      <c r="P98" s="12">
        <f>N69*P92</f>
        <v>420.21992145645567</v>
      </c>
      <c r="Q98" s="1" t="s">
        <v>42</v>
      </c>
      <c r="R98" s="1" t="s">
        <v>80</v>
      </c>
    </row>
    <row r="99" spans="5:18" ht="12.75">
      <c r="E99" s="7"/>
      <c r="K99" s="7"/>
      <c r="L99" s="7"/>
      <c r="M99" s="1" t="s">
        <v>80</v>
      </c>
      <c r="N99" s="17">
        <f>P73</f>
        <v>1.5</v>
      </c>
      <c r="O99" s="1" t="s">
        <v>24</v>
      </c>
      <c r="P99" s="1">
        <f>N73</f>
        <v>1400</v>
      </c>
      <c r="Q99" s="1" t="s">
        <v>27</v>
      </c>
      <c r="R99" s="1" t="s">
        <v>80</v>
      </c>
    </row>
    <row r="100" spans="3:18" ht="12.75">
      <c r="C100" s="1" t="s">
        <v>78</v>
      </c>
      <c r="E100" s="11">
        <f>P101+1.5*N98</f>
        <v>-797.2650971451723</v>
      </c>
      <c r="F100" s="11">
        <f>(P101+N98)</f>
        <v>-995.5258423702858</v>
      </c>
      <c r="G100" s="11">
        <f>P101+0.5*N98</f>
        <v>-1193.7865875953994</v>
      </c>
      <c r="H100" s="16">
        <f>P101</f>
        <v>-1392.047332820513</v>
      </c>
      <c r="I100" s="11">
        <f>P101-0.5*P98</f>
        <v>-1602.1572935487409</v>
      </c>
      <c r="J100" s="11">
        <f>P101-P98</f>
        <v>-1812.2672542769687</v>
      </c>
      <c r="K100" s="11">
        <f>P101-1.5*P98</f>
        <v>-2022.3772150051964</v>
      </c>
      <c r="L100" s="7"/>
      <c r="M100" s="1" t="s">
        <v>80</v>
      </c>
      <c r="N100" s="12">
        <f>J15*N82*P82</f>
        <v>2059.4</v>
      </c>
      <c r="O100" s="1" t="s">
        <v>16</v>
      </c>
      <c r="P100" s="12">
        <f>(N77+N73*N76)*N69</f>
        <v>3451.447332820513</v>
      </c>
      <c r="Q100" s="1" t="s">
        <v>25</v>
      </c>
      <c r="R100" s="1" t="s">
        <v>80</v>
      </c>
    </row>
    <row r="101" spans="3:18" ht="12.75">
      <c r="C101" s="1" t="s">
        <v>107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80</v>
      </c>
      <c r="N101" s="12">
        <f>N100+(0.7857*(P98-N98))</f>
        <v>2078.019857241594</v>
      </c>
      <c r="O101" s="1" t="s">
        <v>26</v>
      </c>
      <c r="P101" s="12">
        <f>N100-P100</f>
        <v>-1392.047332820513</v>
      </c>
      <c r="Q101" s="1" t="s">
        <v>14</v>
      </c>
      <c r="R101" s="1" t="s">
        <v>80</v>
      </c>
    </row>
    <row r="102" spans="3:18" ht="12.75">
      <c r="C102" s="1" t="s">
        <v>107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80</v>
      </c>
      <c r="N102" s="12">
        <f>N101-P100</f>
        <v>-1373.4274755789193</v>
      </c>
      <c r="O102" s="1" t="s">
        <v>23</v>
      </c>
      <c r="P102" s="1">
        <f>P101-N102</f>
        <v>-18.619857241593763</v>
      </c>
      <c r="Q102" s="1" t="s">
        <v>15</v>
      </c>
      <c r="R102" s="1" t="s">
        <v>80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80</v>
      </c>
      <c r="N103" s="1" t="s">
        <v>1</v>
      </c>
      <c r="R103" s="1" t="s">
        <v>80</v>
      </c>
    </row>
    <row r="104" spans="3:12" ht="12.75">
      <c r="C104" s="15" t="s">
        <v>108</v>
      </c>
      <c r="E104" s="7"/>
      <c r="F104" s="24">
        <f>IF(U109&lt;1,IF(T109,Y109,1-Y109),IF(T109,Y110,1-Y110))</f>
        <v>0.00620969291581936</v>
      </c>
      <c r="G104" s="7" t="s">
        <v>5</v>
      </c>
      <c r="H104" s="7"/>
      <c r="I104" s="7"/>
      <c r="J104" s="7"/>
      <c r="K104" s="16">
        <f>N69*(H20*H21-J62)</f>
        <v>-1351.447332820513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3.510647887558185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81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L66"/>
  <sheetViews>
    <sheetView zoomScalePageLayoutView="0" workbookViewId="0" topLeftCell="A37">
      <selection activeCell="K20" sqref="K20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27.7109375" style="1" customWidth="1"/>
    <col min="4" max="4" width="15.28125" style="1" customWidth="1"/>
    <col min="5" max="5" width="17.28125" style="1" customWidth="1"/>
    <col min="6" max="7" width="20.28125" style="1" customWidth="1"/>
    <col min="8" max="8" width="21.00390625" style="1" customWidth="1"/>
    <col min="9" max="16384" width="9.140625" style="1" customWidth="1"/>
  </cols>
  <sheetData>
    <row r="2" spans="2:4" ht="12.75">
      <c r="B2" s="76"/>
      <c r="D2" s="47"/>
    </row>
    <row r="4" spans="1:12" ht="21">
      <c r="A4" s="207" t="s">
        <v>353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21">
      <c r="A5" s="207" t="s">
        <v>348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</row>
    <row r="6" spans="2:8" ht="12.75">
      <c r="B6" s="177"/>
      <c r="C6" s="178"/>
      <c r="D6" s="178"/>
      <c r="E6" s="178"/>
      <c r="F6" s="178"/>
      <c r="G6" s="178"/>
      <c r="H6" s="94"/>
    </row>
    <row r="7" spans="2:8" ht="12.75">
      <c r="B7" s="171" t="s">
        <v>329</v>
      </c>
      <c r="C7" s="172"/>
      <c r="D7" s="172"/>
      <c r="E7" s="172"/>
      <c r="F7" s="172"/>
      <c r="G7" s="172"/>
      <c r="H7" s="94"/>
    </row>
    <row r="8" spans="2:8" ht="12.75">
      <c r="B8" s="172" t="s">
        <v>330</v>
      </c>
      <c r="C8" s="172"/>
      <c r="D8" s="172"/>
      <c r="E8" s="172"/>
      <c r="F8" s="172"/>
      <c r="G8" s="172"/>
      <c r="H8" s="94"/>
    </row>
    <row r="9" spans="2:8" ht="17.25" customHeight="1">
      <c r="B9" s="172" t="s">
        <v>331</v>
      </c>
      <c r="C9" s="172"/>
      <c r="D9" s="172"/>
      <c r="E9" s="172"/>
      <c r="F9" s="172"/>
      <c r="G9" s="172"/>
      <c r="H9" s="141"/>
    </row>
    <row r="10" spans="2:7" ht="12.75">
      <c r="B10" s="173" t="s">
        <v>349</v>
      </c>
      <c r="C10" s="173"/>
      <c r="D10" s="173"/>
      <c r="E10" s="173"/>
      <c r="F10" s="173"/>
      <c r="G10" s="173"/>
    </row>
    <row r="11" spans="3:7" ht="12.75">
      <c r="C11" s="215"/>
      <c r="D11" s="216"/>
      <c r="E11" s="216"/>
      <c r="F11" s="216"/>
      <c r="G11" s="217"/>
    </row>
    <row r="12" spans="3:7" ht="15">
      <c r="C12" s="218"/>
      <c r="D12" s="219"/>
      <c r="E12" s="219"/>
      <c r="F12" s="219"/>
      <c r="G12" s="220"/>
    </row>
    <row r="14" spans="3:7" ht="12.75">
      <c r="C14" s="215"/>
      <c r="D14" s="216"/>
      <c r="E14" s="216"/>
      <c r="F14" s="216"/>
      <c r="G14" s="217"/>
    </row>
    <row r="15" spans="3:7" ht="15">
      <c r="C15" s="199" t="s">
        <v>365</v>
      </c>
      <c r="D15" s="221"/>
      <c r="E15" s="221"/>
      <c r="F15" s="221"/>
      <c r="G15" s="221"/>
    </row>
    <row r="17" spans="2:6" ht="12.75">
      <c r="B17" s="1" t="s">
        <v>101</v>
      </c>
      <c r="E17" s="9">
        <v>5</v>
      </c>
      <c r="F17" s="8" t="s">
        <v>93</v>
      </c>
    </row>
    <row r="18" spans="2:6" ht="12.75">
      <c r="B18" s="1" t="s">
        <v>270</v>
      </c>
      <c r="C18" s="1">
        <v>40</v>
      </c>
      <c r="D18" s="1" t="s">
        <v>104</v>
      </c>
      <c r="E18" s="7">
        <v>45</v>
      </c>
      <c r="F18" s="7"/>
    </row>
    <row r="19" spans="2:6" ht="12.75">
      <c r="B19" s="1" t="s">
        <v>150</v>
      </c>
      <c r="E19" s="7"/>
      <c r="F19" s="34">
        <v>0.075</v>
      </c>
    </row>
    <row r="20" spans="2:6" ht="12.75">
      <c r="B20" s="1" t="s">
        <v>211</v>
      </c>
      <c r="E20" s="7"/>
      <c r="F20" s="7">
        <v>0.015</v>
      </c>
    </row>
    <row r="21" spans="2:6" ht="12.75">
      <c r="B21" s="1" t="s">
        <v>114</v>
      </c>
      <c r="E21" s="7"/>
      <c r="F21" s="6">
        <v>600</v>
      </c>
    </row>
    <row r="23" ht="12.75">
      <c r="B23" s="15" t="s">
        <v>153</v>
      </c>
    </row>
    <row r="24" spans="4:8" ht="12.75">
      <c r="D24" s="19" t="s">
        <v>173</v>
      </c>
      <c r="E24" s="19" t="s">
        <v>250</v>
      </c>
      <c r="F24" s="19" t="s">
        <v>113</v>
      </c>
      <c r="G24" s="10" t="s">
        <v>149</v>
      </c>
      <c r="H24" s="10" t="s">
        <v>209</v>
      </c>
    </row>
    <row r="26" spans="2:8" ht="12.75">
      <c r="B26" s="40" t="s">
        <v>271</v>
      </c>
      <c r="D26" s="6">
        <v>5650</v>
      </c>
      <c r="E26" s="6">
        <v>20</v>
      </c>
      <c r="F26" s="6">
        <f aca="true" t="shared" si="0" ref="F26:F36">D26/E26</f>
        <v>282.5</v>
      </c>
      <c r="G26" s="6">
        <f>(D26/2)*F19</f>
        <v>211.875</v>
      </c>
      <c r="H26" s="6">
        <f>(D26/2)*F20</f>
        <v>42.375</v>
      </c>
    </row>
    <row r="27" spans="2:8" ht="12.75">
      <c r="B27" s="40" t="s">
        <v>281</v>
      </c>
      <c r="D27" s="6">
        <v>1648</v>
      </c>
      <c r="E27" s="6">
        <v>10</v>
      </c>
      <c r="F27" s="6">
        <f t="shared" si="0"/>
        <v>164.8</v>
      </c>
      <c r="G27" s="6">
        <f>(D27/2)*F19</f>
        <v>61.8</v>
      </c>
      <c r="H27" s="6">
        <f>(D27/2)*F20</f>
        <v>12.36</v>
      </c>
    </row>
    <row r="28" spans="2:8" ht="12.75">
      <c r="B28" s="40" t="s">
        <v>272</v>
      </c>
      <c r="D28" s="6">
        <v>58853</v>
      </c>
      <c r="E28" s="6">
        <v>25</v>
      </c>
      <c r="F28" s="6">
        <f t="shared" si="0"/>
        <v>2354.12</v>
      </c>
      <c r="G28" s="6">
        <f>(D28/2)*F19</f>
        <v>2206.9874999999997</v>
      </c>
      <c r="H28" s="6">
        <f>(D28/2)*F20</f>
        <v>441.3975</v>
      </c>
    </row>
    <row r="29" spans="2:8" ht="12.75">
      <c r="B29" s="1" t="s">
        <v>280</v>
      </c>
      <c r="D29" s="6">
        <v>18833</v>
      </c>
      <c r="E29" s="6">
        <v>15</v>
      </c>
      <c r="F29" s="6">
        <f t="shared" si="0"/>
        <v>1255.5333333333333</v>
      </c>
      <c r="G29" s="6">
        <f>(D29/2)*F19</f>
        <v>706.2375</v>
      </c>
      <c r="H29" s="6">
        <f>(D29/2)*F$19</f>
        <v>706.2375</v>
      </c>
    </row>
    <row r="30" spans="2:8" ht="12.75">
      <c r="B30" s="1" t="s">
        <v>273</v>
      </c>
      <c r="D30" s="6">
        <v>1177</v>
      </c>
      <c r="E30" s="6">
        <v>10</v>
      </c>
      <c r="F30" s="6">
        <f t="shared" si="0"/>
        <v>117.7</v>
      </c>
      <c r="G30" s="6">
        <f>(D31/2)*F19</f>
        <v>88.27499999999999</v>
      </c>
      <c r="H30" s="6">
        <f>(D30/2)*F20</f>
        <v>8.827499999999999</v>
      </c>
    </row>
    <row r="31" spans="2:8" ht="12.75">
      <c r="B31" s="1" t="s">
        <v>274</v>
      </c>
      <c r="D31" s="6">
        <v>2354</v>
      </c>
      <c r="E31" s="6">
        <v>5</v>
      </c>
      <c r="F31" s="6">
        <f t="shared" si="0"/>
        <v>470.8</v>
      </c>
      <c r="G31" s="6">
        <f>(D31/2)*F19</f>
        <v>88.27499999999999</v>
      </c>
      <c r="H31" s="6">
        <f>(D31/2)*F$19</f>
        <v>88.27499999999999</v>
      </c>
    </row>
    <row r="32" spans="2:8" ht="12.75">
      <c r="B32" s="1" t="s">
        <v>275</v>
      </c>
      <c r="D32" s="6">
        <v>2472</v>
      </c>
      <c r="E32" s="6">
        <v>5</v>
      </c>
      <c r="F32" s="6">
        <f t="shared" si="0"/>
        <v>494.4</v>
      </c>
      <c r="G32" s="6">
        <f>(D32/2)*F19</f>
        <v>92.7</v>
      </c>
      <c r="H32" s="6">
        <f>(D32/2)*F$19</f>
        <v>92.7</v>
      </c>
    </row>
    <row r="33" spans="2:8" ht="12.75">
      <c r="B33" s="1" t="s">
        <v>276</v>
      </c>
      <c r="D33" s="6">
        <v>3060</v>
      </c>
      <c r="E33" s="6">
        <v>5</v>
      </c>
      <c r="F33" s="6">
        <f t="shared" si="0"/>
        <v>612</v>
      </c>
      <c r="G33" s="6">
        <f>(D33/2)*F19</f>
        <v>114.75</v>
      </c>
      <c r="H33" s="6">
        <f>(D33/2)*F$19</f>
        <v>114.75</v>
      </c>
    </row>
    <row r="34" spans="2:8" ht="12.75">
      <c r="B34" s="1" t="s">
        <v>277</v>
      </c>
      <c r="D34" s="6">
        <v>4826</v>
      </c>
      <c r="E34" s="6">
        <v>20</v>
      </c>
      <c r="F34" s="6">
        <f t="shared" si="0"/>
        <v>241.3</v>
      </c>
      <c r="G34" s="6">
        <f>(D34/2)*F19</f>
        <v>180.975</v>
      </c>
      <c r="H34" s="6">
        <f>(D34/2)*F20</f>
        <v>36.195</v>
      </c>
    </row>
    <row r="35" spans="2:8" ht="12.75">
      <c r="B35" s="1" t="s">
        <v>278</v>
      </c>
      <c r="D35" s="6">
        <v>735</v>
      </c>
      <c r="E35" s="6">
        <v>5</v>
      </c>
      <c r="F35" s="6">
        <f t="shared" si="0"/>
        <v>147</v>
      </c>
      <c r="G35" s="6">
        <f>(D35/2)*F19</f>
        <v>27.5625</v>
      </c>
      <c r="H35" s="6">
        <f>(D35/2)*F20</f>
        <v>5.5125</v>
      </c>
    </row>
    <row r="36" spans="2:8" ht="12.75">
      <c r="B36" s="1" t="s">
        <v>279</v>
      </c>
      <c r="D36" s="6">
        <v>1766</v>
      </c>
      <c r="E36" s="6">
        <v>20</v>
      </c>
      <c r="F36" s="6">
        <f t="shared" si="0"/>
        <v>88.3</v>
      </c>
      <c r="G36" s="6">
        <f>(D36/2)*F19</f>
        <v>66.225</v>
      </c>
      <c r="H36" s="6">
        <f>(D36/2)*F20</f>
        <v>13.245</v>
      </c>
    </row>
    <row r="37" spans="2:8" ht="13.5" thickBot="1">
      <c r="B37" s="15" t="s">
        <v>228</v>
      </c>
      <c r="D37" s="71">
        <f>SUM(D26:D36)</f>
        <v>101374</v>
      </c>
      <c r="E37" s="74"/>
      <c r="F37" s="75">
        <f>SUM(F26:F36)</f>
        <v>6228.453333333334</v>
      </c>
      <c r="G37" s="75">
        <f>SUM(G26:G36)</f>
        <v>3845.6624999999995</v>
      </c>
      <c r="H37" s="75">
        <f>SUM(H26:H36)</f>
        <v>1561.875</v>
      </c>
    </row>
    <row r="38" spans="4:8" ht="13.5" thickTop="1">
      <c r="D38" s="61"/>
      <c r="E38" s="61"/>
      <c r="F38" s="61"/>
      <c r="G38" s="61"/>
      <c r="H38" s="61"/>
    </row>
    <row r="39" spans="2:8" ht="13.5" thickBot="1">
      <c r="B39" s="15" t="s">
        <v>360</v>
      </c>
      <c r="D39" s="7"/>
      <c r="E39" s="7"/>
      <c r="F39" s="7"/>
      <c r="G39" s="7"/>
      <c r="H39" s="71">
        <f>F37+G37+H37</f>
        <v>11635.990833333333</v>
      </c>
    </row>
    <row r="40" spans="4:8" ht="13.5" thickTop="1">
      <c r="D40" s="7"/>
      <c r="E40" s="7"/>
      <c r="F40" s="7"/>
      <c r="G40" s="7"/>
      <c r="H40" s="61"/>
    </row>
    <row r="41" spans="2:8" ht="13.5" thickBot="1">
      <c r="B41" s="15" t="s">
        <v>363</v>
      </c>
      <c r="D41" s="7"/>
      <c r="E41" s="7"/>
      <c r="F41" s="7"/>
      <c r="G41" s="7"/>
      <c r="H41" s="64">
        <f>H39/E17</f>
        <v>2327.1981666666666</v>
      </c>
    </row>
    <row r="42" spans="4:8" ht="13.5" thickTop="1">
      <c r="D42" s="7"/>
      <c r="E42" s="7"/>
      <c r="F42" s="7"/>
      <c r="G42" s="7"/>
      <c r="H42" s="61"/>
    </row>
    <row r="43" spans="4:8" ht="12.75">
      <c r="D43" s="7"/>
      <c r="E43" s="7"/>
      <c r="F43" s="7"/>
      <c r="G43" s="7"/>
      <c r="H43" s="7"/>
    </row>
    <row r="44" spans="2:8" ht="12.75">
      <c r="B44" s="15" t="s">
        <v>176</v>
      </c>
      <c r="D44" s="7"/>
      <c r="E44" s="7"/>
      <c r="F44" s="7"/>
      <c r="G44" s="7"/>
      <c r="H44" s="7"/>
    </row>
    <row r="45" spans="4:8" ht="12.75">
      <c r="D45" s="7"/>
      <c r="E45" s="7"/>
      <c r="F45" s="7"/>
      <c r="G45" s="7"/>
      <c r="H45" s="7"/>
    </row>
    <row r="46" spans="2:8" ht="12.75">
      <c r="B46" s="1" t="s">
        <v>171</v>
      </c>
      <c r="D46" s="7"/>
      <c r="E46" s="7"/>
      <c r="F46" s="7">
        <v>50</v>
      </c>
      <c r="G46" s="7"/>
      <c r="H46" s="7"/>
    </row>
    <row r="47" spans="2:8" ht="12.75">
      <c r="B47" s="1" t="s">
        <v>201</v>
      </c>
      <c r="D47" s="7"/>
      <c r="E47" s="7"/>
      <c r="F47" s="6">
        <v>625</v>
      </c>
      <c r="G47" s="7"/>
      <c r="H47" s="7"/>
    </row>
    <row r="48" spans="2:8" ht="12.75">
      <c r="B48" s="1" t="s">
        <v>98</v>
      </c>
      <c r="D48" s="7"/>
      <c r="E48" s="7"/>
      <c r="F48" s="7">
        <v>100</v>
      </c>
      <c r="G48" s="7"/>
      <c r="H48" s="7"/>
    </row>
    <row r="49" spans="2:8" ht="12.75">
      <c r="B49" s="1" t="s">
        <v>117</v>
      </c>
      <c r="D49" s="7"/>
      <c r="E49" s="7"/>
      <c r="F49" s="7"/>
      <c r="G49" s="7"/>
      <c r="H49" s="7"/>
    </row>
    <row r="50" spans="2:8" ht="12.75">
      <c r="B50" s="1" t="s">
        <v>13</v>
      </c>
      <c r="D50" s="7"/>
      <c r="E50" s="7"/>
      <c r="F50" s="7">
        <v>1100</v>
      </c>
      <c r="G50" s="7"/>
      <c r="H50" s="7"/>
    </row>
    <row r="51" spans="2:8" ht="12.75">
      <c r="B51" s="1" t="s">
        <v>34</v>
      </c>
      <c r="D51" s="7"/>
      <c r="E51" s="7"/>
      <c r="F51" s="7">
        <v>0.12</v>
      </c>
      <c r="G51" s="7"/>
      <c r="H51" s="7"/>
    </row>
    <row r="52" spans="2:8" ht="12.75">
      <c r="B52" s="1" t="s">
        <v>96</v>
      </c>
      <c r="D52" s="7"/>
      <c r="E52" s="7"/>
      <c r="F52" s="6">
        <v>1245</v>
      </c>
      <c r="G52" s="7"/>
      <c r="H52" s="7"/>
    </row>
    <row r="53" spans="2:8" ht="12.75">
      <c r="B53" s="1" t="s">
        <v>97</v>
      </c>
      <c r="D53" s="7"/>
      <c r="E53" s="7"/>
      <c r="F53" s="7"/>
      <c r="G53" s="7"/>
      <c r="H53" s="8">
        <f>F52/E17</f>
        <v>249</v>
      </c>
    </row>
    <row r="54" spans="2:8" ht="13.5" thickBot="1">
      <c r="B54" s="15" t="s">
        <v>362</v>
      </c>
      <c r="D54" s="7"/>
      <c r="E54" s="7"/>
      <c r="F54" s="7"/>
      <c r="G54" s="7"/>
      <c r="H54" s="64">
        <f>(F47+F52)/E17</f>
        <v>374</v>
      </c>
    </row>
    <row r="55" spans="4:8" ht="13.5" thickTop="1">
      <c r="D55" s="7"/>
      <c r="E55" s="7"/>
      <c r="F55" s="7"/>
      <c r="G55" s="7"/>
      <c r="H55" s="61"/>
    </row>
    <row r="56" spans="2:8" ht="13.5" thickBot="1">
      <c r="B56" s="15" t="s">
        <v>364</v>
      </c>
      <c r="D56" s="7"/>
      <c r="E56" s="7"/>
      <c r="F56" s="7"/>
      <c r="G56" s="7"/>
      <c r="H56" s="64">
        <f>H41+H54</f>
        <v>2701.1981666666666</v>
      </c>
    </row>
    <row r="57" spans="1:8" ht="13.5" thickTop="1">
      <c r="A57" s="1" t="s">
        <v>81</v>
      </c>
      <c r="D57" s="7"/>
      <c r="E57" s="7"/>
      <c r="F57" s="7"/>
      <c r="G57" s="7"/>
      <c r="H57" s="61"/>
    </row>
    <row r="58" spans="4:8" ht="12.75">
      <c r="D58" s="7"/>
      <c r="E58" s="7"/>
      <c r="F58" s="7"/>
      <c r="G58" s="7"/>
      <c r="H58" s="7"/>
    </row>
    <row r="59" spans="2:10" ht="12.75">
      <c r="B59" s="47"/>
      <c r="C59" s="47"/>
      <c r="D59" s="47"/>
      <c r="E59" s="47"/>
      <c r="F59" s="47"/>
      <c r="G59" s="47"/>
      <c r="H59" s="47"/>
      <c r="I59" s="47"/>
      <c r="J59" s="47"/>
    </row>
    <row r="60" spans="2:10" ht="12.75">
      <c r="B60" s="47"/>
      <c r="C60" s="47"/>
      <c r="D60" s="47"/>
      <c r="E60" s="47"/>
      <c r="F60" s="47"/>
      <c r="G60" s="47"/>
      <c r="H60" s="47"/>
      <c r="I60" s="47"/>
      <c r="J60" s="47"/>
    </row>
    <row r="61" spans="2:10" ht="12.75">
      <c r="B61" s="47"/>
      <c r="C61" s="47"/>
      <c r="D61" s="47"/>
      <c r="E61" s="47"/>
      <c r="F61" s="47"/>
      <c r="G61" s="47"/>
      <c r="H61" s="47"/>
      <c r="I61" s="47"/>
      <c r="J61" s="47"/>
    </row>
    <row r="62" spans="2:10" ht="12.75">
      <c r="B62" s="47"/>
      <c r="C62" s="47"/>
      <c r="D62" s="47"/>
      <c r="E62" s="47"/>
      <c r="F62" s="47"/>
      <c r="G62" s="47"/>
      <c r="H62" s="47"/>
      <c r="I62" s="47"/>
      <c r="J62" s="47"/>
    </row>
    <row r="63" spans="2:10" ht="12.75">
      <c r="B63" s="47"/>
      <c r="C63" s="47"/>
      <c r="D63" s="47"/>
      <c r="E63" s="47"/>
      <c r="F63" s="47"/>
      <c r="G63" s="47"/>
      <c r="H63" s="47"/>
      <c r="I63" s="47"/>
      <c r="J63" s="47"/>
    </row>
    <row r="64" spans="2:10" ht="12.75">
      <c r="B64" s="92"/>
      <c r="C64" s="92"/>
      <c r="D64" s="92"/>
      <c r="E64" s="92"/>
      <c r="F64" s="92"/>
      <c r="G64" s="92"/>
      <c r="H64" s="92"/>
      <c r="I64" s="92"/>
      <c r="J64" s="93"/>
    </row>
    <row r="65" spans="2:10" ht="12.75">
      <c r="B65" s="209"/>
      <c r="C65" s="209"/>
      <c r="D65" s="209"/>
      <c r="E65" s="209"/>
      <c r="F65" s="209"/>
      <c r="G65" s="209"/>
      <c r="H65" s="209"/>
      <c r="I65" s="209"/>
      <c r="J65" s="209"/>
    </row>
    <row r="66" spans="2:10" ht="12.75">
      <c r="B66" s="209"/>
      <c r="C66" s="209"/>
      <c r="D66" s="209"/>
      <c r="E66" s="209"/>
      <c r="F66" s="209"/>
      <c r="G66" s="209"/>
      <c r="H66" s="209"/>
      <c r="I66" s="209"/>
      <c r="J66" s="209"/>
    </row>
  </sheetData>
  <sheetProtection/>
  <mergeCells count="8">
    <mergeCell ref="A4:L4"/>
    <mergeCell ref="A5:L5"/>
    <mergeCell ref="B66:J66"/>
    <mergeCell ref="C11:G11"/>
    <mergeCell ref="C12:G12"/>
    <mergeCell ref="C14:G14"/>
    <mergeCell ref="C15:G15"/>
    <mergeCell ref="B65:J65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1:L45"/>
  <sheetViews>
    <sheetView zoomScalePageLayoutView="0" workbookViewId="0" topLeftCell="A14">
      <selection activeCell="M21" sqref="M21"/>
    </sheetView>
  </sheetViews>
  <sheetFormatPr defaultColWidth="9.140625" defaultRowHeight="12.75"/>
  <cols>
    <col min="1" max="2" width="9.140625" style="1" customWidth="1"/>
    <col min="3" max="3" width="14.28125" style="1" customWidth="1"/>
    <col min="4" max="4" width="14.57421875" style="1" customWidth="1"/>
    <col min="5" max="5" width="10.421875" style="1" customWidth="1"/>
    <col min="6" max="6" width="17.57421875" style="1" customWidth="1"/>
    <col min="7" max="7" width="17.8515625" style="1" customWidth="1"/>
    <col min="8" max="8" width="19.28125" style="1" customWidth="1"/>
    <col min="9" max="16384" width="9.140625" style="1" customWidth="1"/>
  </cols>
  <sheetData>
    <row r="1" spans="1:12" ht="21">
      <c r="A1" s="207" t="s">
        <v>353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1">
      <c r="A2" s="207" t="s">
        <v>348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5" spans="2:8" ht="12.75">
      <c r="B5" s="171" t="s">
        <v>329</v>
      </c>
      <c r="C5" s="172"/>
      <c r="D5" s="172"/>
      <c r="E5" s="172"/>
      <c r="F5" s="172"/>
      <c r="G5" s="172"/>
      <c r="H5" s="94"/>
    </row>
    <row r="6" spans="2:8" ht="12.75">
      <c r="B6" s="172" t="s">
        <v>330</v>
      </c>
      <c r="C6" s="172"/>
      <c r="D6" s="172"/>
      <c r="E6" s="172"/>
      <c r="F6" s="172"/>
      <c r="G6" s="172"/>
      <c r="H6" s="94"/>
    </row>
    <row r="7" spans="2:8" ht="15">
      <c r="B7" s="172" t="s">
        <v>331</v>
      </c>
      <c r="C7" s="172"/>
      <c r="D7" s="172"/>
      <c r="E7" s="172"/>
      <c r="F7" s="172"/>
      <c r="G7" s="172"/>
      <c r="H7" s="141"/>
    </row>
    <row r="8" spans="2:7" ht="12.75">
      <c r="B8" s="173" t="s">
        <v>349</v>
      </c>
      <c r="C8" s="173"/>
      <c r="D8" s="173"/>
      <c r="E8" s="173"/>
      <c r="F8" s="173"/>
      <c r="G8" s="173"/>
    </row>
    <row r="10" ht="12.75">
      <c r="B10" s="89"/>
    </row>
    <row r="12" spans="4:6" ht="15">
      <c r="D12" s="199" t="s">
        <v>366</v>
      </c>
      <c r="E12" s="200"/>
      <c r="F12" s="200"/>
    </row>
    <row r="14" ht="12.75">
      <c r="C14" s="15" t="s">
        <v>214</v>
      </c>
    </row>
    <row r="16" spans="2:8" ht="12.75">
      <c r="B16" s="7"/>
      <c r="C16" s="7"/>
      <c r="D16" s="7"/>
      <c r="E16" s="7"/>
      <c r="F16" s="7" t="s">
        <v>202</v>
      </c>
      <c r="G16" s="7"/>
      <c r="H16" s="7" t="s">
        <v>202</v>
      </c>
    </row>
    <row r="17" spans="2:8" ht="12.75">
      <c r="B17" s="7" t="s">
        <v>246</v>
      </c>
      <c r="C17" s="7" t="s">
        <v>247</v>
      </c>
      <c r="D17" s="7" t="s">
        <v>192</v>
      </c>
      <c r="E17" s="7" t="s">
        <v>240</v>
      </c>
      <c r="F17" s="7" t="s">
        <v>240</v>
      </c>
      <c r="G17" s="7" t="s">
        <v>222</v>
      </c>
      <c r="H17" s="7" t="s">
        <v>222</v>
      </c>
    </row>
    <row r="19" spans="2:8" ht="12.75">
      <c r="B19" s="7">
        <v>1</v>
      </c>
      <c r="C19" s="7">
        <v>0</v>
      </c>
      <c r="D19" s="14">
        <v>0</v>
      </c>
      <c r="E19" s="8">
        <f>+Yr1!H35</f>
        <v>6492.72265</v>
      </c>
      <c r="F19" s="8">
        <f aca="true" t="shared" si="0" ref="F19:F33">(C19*D19)-E19</f>
        <v>-6492.72265</v>
      </c>
      <c r="G19" s="8">
        <f>Yr1!H44</f>
        <v>11253.09792586</v>
      </c>
      <c r="H19" s="8">
        <f aca="true" t="shared" si="1" ref="H19:H33">(C19*D19)-G19</f>
        <v>-11253.09792586</v>
      </c>
    </row>
    <row r="20" spans="2:8" ht="12.75">
      <c r="B20" s="7">
        <v>2</v>
      </c>
      <c r="C20" s="7">
        <v>0</v>
      </c>
      <c r="D20" s="14">
        <v>0</v>
      </c>
      <c r="E20" s="8">
        <f>+Yr2!H30</f>
        <v>4243.2639</v>
      </c>
      <c r="F20" s="8">
        <f t="shared" si="0"/>
        <v>-4243.2639</v>
      </c>
      <c r="G20" s="8">
        <f>+Yr2!H40</f>
        <v>8666.22036336</v>
      </c>
      <c r="H20" s="8">
        <f t="shared" si="1"/>
        <v>-8666.22036336</v>
      </c>
    </row>
    <row r="21" spans="2:8" ht="12.75">
      <c r="B21" s="7">
        <v>3</v>
      </c>
      <c r="C21" s="7">
        <v>0</v>
      </c>
      <c r="D21" s="14">
        <v>0</v>
      </c>
      <c r="E21" s="8">
        <f>+Yr3!H33</f>
        <v>6079.7294</v>
      </c>
      <c r="F21" s="8">
        <f t="shared" si="0"/>
        <v>-6079.7294</v>
      </c>
      <c r="G21" s="8">
        <f>+Yr3!H43</f>
        <v>10778.15568836</v>
      </c>
      <c r="H21" s="8">
        <f t="shared" si="1"/>
        <v>-10778.15568836</v>
      </c>
    </row>
    <row r="22" spans="2:8" ht="12.75">
      <c r="B22" s="7">
        <v>4</v>
      </c>
      <c r="C22" s="7">
        <v>8700</v>
      </c>
      <c r="D22" s="14">
        <f>MEDP</f>
        <v>0.6</v>
      </c>
      <c r="E22" s="8">
        <f>+Bud!I53</f>
        <v>10045.69765</v>
      </c>
      <c r="F22" s="8">
        <f t="shared" si="0"/>
        <v>-4825.69765</v>
      </c>
      <c r="G22" s="8">
        <f aca="true" t="shared" si="2" ref="G22:G33">+UNITCOST</f>
        <v>18468.864150038127</v>
      </c>
      <c r="H22" s="8">
        <f t="shared" si="1"/>
        <v>-13248.864150038127</v>
      </c>
    </row>
    <row r="23" spans="2:8" ht="12.75">
      <c r="B23" s="7">
        <v>5</v>
      </c>
      <c r="C23" s="7">
        <v>21750</v>
      </c>
      <c r="D23" s="14">
        <f>Bud!H25</f>
        <v>0.54</v>
      </c>
      <c r="E23" s="8">
        <f>+Bud!I53</f>
        <v>10045.69765</v>
      </c>
      <c r="F23" s="8">
        <f t="shared" si="0"/>
        <v>1699.30235</v>
      </c>
      <c r="G23" s="8">
        <f t="shared" si="2"/>
        <v>18468.864150038127</v>
      </c>
      <c r="H23" s="8">
        <f t="shared" si="1"/>
        <v>-6723.864150038127</v>
      </c>
    </row>
    <row r="24" spans="2:8" ht="12.75">
      <c r="B24" s="7">
        <v>6</v>
      </c>
      <c r="C24" s="7">
        <f>MEDY</f>
        <v>33000</v>
      </c>
      <c r="D24" s="14">
        <f>Bud!F25</f>
        <v>0.66</v>
      </c>
      <c r="E24" s="8">
        <f>+Bud!I53</f>
        <v>10045.69765</v>
      </c>
      <c r="F24" s="8">
        <f t="shared" si="0"/>
        <v>11734.30235</v>
      </c>
      <c r="G24" s="8">
        <f t="shared" si="2"/>
        <v>18468.864150038127</v>
      </c>
      <c r="H24" s="8">
        <f t="shared" si="1"/>
        <v>3311.1358499618727</v>
      </c>
    </row>
    <row r="25" spans="2:8" ht="12.75">
      <c r="B25" s="7">
        <v>7</v>
      </c>
      <c r="C25" s="7">
        <f aca="true" t="shared" si="3" ref="C25:C33">MEDY</f>
        <v>33000</v>
      </c>
      <c r="D25" s="14">
        <f>Bud!I25</f>
        <v>0.48</v>
      </c>
      <c r="E25" s="8">
        <f>+Bud!I53</f>
        <v>10045.69765</v>
      </c>
      <c r="F25" s="8">
        <f t="shared" si="0"/>
        <v>5794.30235</v>
      </c>
      <c r="G25" s="8">
        <f t="shared" si="2"/>
        <v>18468.864150038127</v>
      </c>
      <c r="H25" s="8">
        <f t="shared" si="1"/>
        <v>-2628.8641500381273</v>
      </c>
    </row>
    <row r="26" spans="2:8" ht="12.75">
      <c r="B26" s="7">
        <v>8</v>
      </c>
      <c r="C26" s="7">
        <f t="shared" si="3"/>
        <v>33000</v>
      </c>
      <c r="D26" s="14">
        <f>Bud!E25</f>
        <v>0.72</v>
      </c>
      <c r="E26" s="8">
        <f>Bud!I$53</f>
        <v>10045.69765</v>
      </c>
      <c r="F26" s="8">
        <f t="shared" si="0"/>
        <v>13714.30235</v>
      </c>
      <c r="G26" s="8">
        <f t="shared" si="2"/>
        <v>18468.864150038127</v>
      </c>
      <c r="H26" s="8">
        <f t="shared" si="1"/>
        <v>5291.135849961873</v>
      </c>
    </row>
    <row r="27" spans="2:8" ht="12.75">
      <c r="B27" s="7">
        <v>9</v>
      </c>
      <c r="C27" s="7">
        <f t="shared" si="3"/>
        <v>33000</v>
      </c>
      <c r="D27" s="14">
        <f>Bud!I25</f>
        <v>0.48</v>
      </c>
      <c r="E27" s="8">
        <f>Bud!I$53</f>
        <v>10045.69765</v>
      </c>
      <c r="F27" s="8">
        <f t="shared" si="0"/>
        <v>5794.30235</v>
      </c>
      <c r="G27" s="8">
        <f t="shared" si="2"/>
        <v>18468.864150038127</v>
      </c>
      <c r="H27" s="8">
        <f t="shared" si="1"/>
        <v>-2628.8641500381273</v>
      </c>
    </row>
    <row r="28" spans="2:9" ht="12.75">
      <c r="B28" s="7">
        <v>10</v>
      </c>
      <c r="C28" s="7">
        <f t="shared" si="3"/>
        <v>33000</v>
      </c>
      <c r="D28" s="14">
        <v>0.45</v>
      </c>
      <c r="E28" s="8">
        <f>Bud!I$53</f>
        <v>10045.69765</v>
      </c>
      <c r="F28" s="8">
        <f t="shared" si="0"/>
        <v>4804.30235</v>
      </c>
      <c r="G28" s="8">
        <f t="shared" si="2"/>
        <v>18468.864150038127</v>
      </c>
      <c r="H28" s="8">
        <f t="shared" si="1"/>
        <v>-3618.8641500381273</v>
      </c>
      <c r="I28" s="15" t="s">
        <v>76</v>
      </c>
    </row>
    <row r="29" spans="2:8" ht="12.75">
      <c r="B29" s="7">
        <v>11</v>
      </c>
      <c r="C29" s="7">
        <f t="shared" si="3"/>
        <v>33000</v>
      </c>
      <c r="D29" s="14">
        <v>0.45</v>
      </c>
      <c r="E29" s="8">
        <f>Bud!I$53</f>
        <v>10045.69765</v>
      </c>
      <c r="F29" s="8">
        <f t="shared" si="0"/>
        <v>4804.30235</v>
      </c>
      <c r="G29" s="8">
        <f t="shared" si="2"/>
        <v>18468.864150038127</v>
      </c>
      <c r="H29" s="8">
        <f t="shared" si="1"/>
        <v>-3618.8641500381273</v>
      </c>
    </row>
    <row r="30" spans="2:8" ht="12.75">
      <c r="B30" s="7">
        <v>12</v>
      </c>
      <c r="C30" s="7">
        <f t="shared" si="3"/>
        <v>33000</v>
      </c>
      <c r="D30" s="14">
        <v>0.45</v>
      </c>
      <c r="E30" s="8">
        <f>Bud!I$53</f>
        <v>10045.69765</v>
      </c>
      <c r="F30" s="8">
        <f t="shared" si="0"/>
        <v>4804.30235</v>
      </c>
      <c r="G30" s="8">
        <f t="shared" si="2"/>
        <v>18468.864150038127</v>
      </c>
      <c r="H30" s="8">
        <f t="shared" si="1"/>
        <v>-3618.8641500381273</v>
      </c>
    </row>
    <row r="31" spans="2:8" ht="12.75">
      <c r="B31" s="7">
        <v>13</v>
      </c>
      <c r="C31" s="7">
        <f t="shared" si="3"/>
        <v>33000</v>
      </c>
      <c r="D31" s="14">
        <v>0.45</v>
      </c>
      <c r="E31" s="8">
        <f>Bud!I$53</f>
        <v>10045.69765</v>
      </c>
      <c r="F31" s="8">
        <f t="shared" si="0"/>
        <v>4804.30235</v>
      </c>
      <c r="G31" s="8">
        <f t="shared" si="2"/>
        <v>18468.864150038127</v>
      </c>
      <c r="H31" s="8">
        <f t="shared" si="1"/>
        <v>-3618.8641500381273</v>
      </c>
    </row>
    <row r="32" spans="2:8" ht="12.75">
      <c r="B32" s="7">
        <v>14</v>
      </c>
      <c r="C32" s="7">
        <f t="shared" si="3"/>
        <v>33000</v>
      </c>
      <c r="D32" s="14">
        <v>0.45</v>
      </c>
      <c r="E32" s="8">
        <f>Bud!I$53</f>
        <v>10045.69765</v>
      </c>
      <c r="F32" s="8">
        <f t="shared" si="0"/>
        <v>4804.30235</v>
      </c>
      <c r="G32" s="8">
        <f t="shared" si="2"/>
        <v>18468.864150038127</v>
      </c>
      <c r="H32" s="8">
        <f t="shared" si="1"/>
        <v>-3618.8641500381273</v>
      </c>
    </row>
    <row r="33" spans="2:8" ht="12.75">
      <c r="B33" s="7">
        <v>15</v>
      </c>
      <c r="C33" s="7">
        <f t="shared" si="3"/>
        <v>33000</v>
      </c>
      <c r="D33" s="14">
        <v>0.45</v>
      </c>
      <c r="E33" s="8">
        <f>Bud!I$53</f>
        <v>10045.69765</v>
      </c>
      <c r="F33" s="8">
        <f t="shared" si="0"/>
        <v>4804.30235</v>
      </c>
      <c r="G33" s="8">
        <f t="shared" si="2"/>
        <v>18468.864150038127</v>
      </c>
      <c r="H33" s="8">
        <f t="shared" si="1"/>
        <v>-3618.8641500381273</v>
      </c>
    </row>
    <row r="34" spans="2:8" ht="12.75">
      <c r="B34" s="7"/>
      <c r="C34" s="7"/>
      <c r="D34" s="7"/>
      <c r="E34" s="7"/>
      <c r="F34" s="7"/>
      <c r="G34" s="7"/>
      <c r="H34" s="7"/>
    </row>
    <row r="35" spans="2:8" ht="12.75">
      <c r="B35" s="7"/>
      <c r="C35" s="15" t="s">
        <v>76</v>
      </c>
      <c r="D35" s="7" t="s">
        <v>215</v>
      </c>
      <c r="E35" s="7"/>
      <c r="F35" s="7"/>
      <c r="G35" s="7"/>
      <c r="H35" s="7"/>
    </row>
    <row r="36" spans="2:8" ht="12.75">
      <c r="B36" s="7"/>
      <c r="C36" s="7"/>
      <c r="D36" s="7" t="s">
        <v>144</v>
      </c>
      <c r="E36" s="7"/>
      <c r="F36" s="7"/>
      <c r="G36" s="7"/>
      <c r="H36" s="7"/>
    </row>
    <row r="38" ht="12.75">
      <c r="C38" s="1" t="s">
        <v>81</v>
      </c>
    </row>
    <row r="39" ht="12.75">
      <c r="B39" s="1" t="s">
        <v>81</v>
      </c>
    </row>
    <row r="40" ht="12.75"/>
    <row r="41" ht="12.75"/>
    <row r="42" ht="12.75"/>
    <row r="43" spans="1:9" ht="12.75">
      <c r="A43" s="97"/>
      <c r="B43" s="97"/>
      <c r="C43" s="97"/>
      <c r="D43" s="97"/>
      <c r="E43" s="97"/>
      <c r="F43" s="97"/>
      <c r="G43" s="97"/>
      <c r="H43" s="97"/>
      <c r="I43" s="93"/>
    </row>
    <row r="44" spans="1:9" ht="12.75">
      <c r="A44" s="209"/>
      <c r="B44" s="209"/>
      <c r="C44" s="209"/>
      <c r="D44" s="209"/>
      <c r="E44" s="209"/>
      <c r="F44" s="209"/>
      <c r="G44" s="209"/>
      <c r="H44" s="209"/>
      <c r="I44" s="209"/>
    </row>
    <row r="45" spans="1:9" ht="12.75">
      <c r="A45" s="209"/>
      <c r="B45" s="209"/>
      <c r="C45" s="209"/>
      <c r="D45" s="209"/>
      <c r="E45" s="209"/>
      <c r="F45" s="209"/>
      <c r="G45" s="209"/>
      <c r="H45" s="209"/>
      <c r="I45" s="209"/>
    </row>
  </sheetData>
  <sheetProtection/>
  <mergeCells count="5">
    <mergeCell ref="D12:F12"/>
    <mergeCell ref="A44:I44"/>
    <mergeCell ref="A45:I45"/>
    <mergeCell ref="A1:L1"/>
    <mergeCell ref="A2:L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35" t="s">
        <v>195</v>
      </c>
      <c r="B1" s="1" t="s">
        <v>82</v>
      </c>
      <c r="C1" s="15"/>
      <c r="D1" s="35" t="s">
        <v>195</v>
      </c>
      <c r="E1" s="1" t="s">
        <v>82</v>
      </c>
      <c r="F1" s="15"/>
      <c r="G1" s="35" t="s">
        <v>195</v>
      </c>
      <c r="H1" s="1" t="s">
        <v>82</v>
      </c>
    </row>
    <row r="2" spans="1:8" ht="12.75">
      <c r="A2" s="7" t="s">
        <v>90</v>
      </c>
      <c r="B2" s="1" t="s">
        <v>86</v>
      </c>
      <c r="C2" s="15"/>
      <c r="D2" s="7" t="s">
        <v>90</v>
      </c>
      <c r="E2" s="1" t="s">
        <v>83</v>
      </c>
      <c r="F2" s="15"/>
      <c r="G2" s="7" t="s">
        <v>90</v>
      </c>
      <c r="H2" s="1" t="s">
        <v>89</v>
      </c>
    </row>
    <row r="3" spans="1:8" ht="12.75">
      <c r="A3" s="7" t="s">
        <v>90</v>
      </c>
      <c r="B3" s="1" t="s">
        <v>84</v>
      </c>
      <c r="D3" s="7" t="s">
        <v>90</v>
      </c>
      <c r="E3" s="1" t="s">
        <v>85</v>
      </c>
      <c r="G3" s="7" t="s">
        <v>90</v>
      </c>
      <c r="H3" s="1" t="s">
        <v>84</v>
      </c>
    </row>
    <row r="4" spans="1:8" ht="12.75">
      <c r="A4" s="7" t="s">
        <v>90</v>
      </c>
      <c r="B4" s="1" t="s">
        <v>87</v>
      </c>
      <c r="D4" s="7" t="s">
        <v>90</v>
      </c>
      <c r="E4" s="1" t="s">
        <v>88</v>
      </c>
      <c r="G4" s="7" t="s">
        <v>90</v>
      </c>
      <c r="H4" s="1" t="s">
        <v>87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AT143"/>
  <sheetViews>
    <sheetView tabSelected="1" zoomScalePageLayoutView="0" workbookViewId="0" topLeftCell="A1">
      <selection activeCell="M118" sqref="M118"/>
    </sheetView>
  </sheetViews>
  <sheetFormatPr defaultColWidth="9.140625" defaultRowHeight="12.75"/>
  <cols>
    <col min="1" max="1" width="2.140625" style="100" customWidth="1"/>
    <col min="2" max="2" width="8.28125" style="100" customWidth="1"/>
    <col min="3" max="3" width="8.421875" style="100" customWidth="1"/>
    <col min="4" max="4" width="20.28125" style="100" customWidth="1"/>
    <col min="5" max="5" width="8.7109375" style="100" customWidth="1"/>
    <col min="6" max="6" width="12.8515625" style="100" customWidth="1"/>
    <col min="7" max="7" width="12.57421875" style="100" customWidth="1"/>
    <col min="8" max="8" width="12.140625" style="100" customWidth="1"/>
    <col min="9" max="10" width="13.140625" style="100" customWidth="1"/>
    <col min="11" max="14" width="7.28125" style="100" customWidth="1"/>
    <col min="15" max="15" width="11.7109375" style="100" customWidth="1"/>
    <col min="16" max="34" width="9.140625" style="100" customWidth="1"/>
    <col min="35" max="35" width="3.28125" style="100" customWidth="1"/>
    <col min="36" max="36" width="1.57421875" style="100" customWidth="1"/>
    <col min="37" max="37" width="2.421875" style="100" customWidth="1"/>
    <col min="38" max="38" width="54.7109375" style="100" customWidth="1"/>
    <col min="39" max="39" width="2.421875" style="100" customWidth="1"/>
    <col min="40" max="40" width="1.57421875" style="100" customWidth="1"/>
    <col min="41" max="16384" width="9.140625" style="100" customWidth="1"/>
  </cols>
  <sheetData>
    <row r="1" spans="1:15" ht="15">
      <c r="A1" s="138"/>
      <c r="B1" s="138"/>
      <c r="C1" s="138"/>
      <c r="D1" s="139"/>
      <c r="E1" s="140" t="s">
        <v>350</v>
      </c>
      <c r="F1" s="139"/>
      <c r="G1" s="139"/>
      <c r="H1" s="139"/>
      <c r="I1" s="139"/>
      <c r="J1" s="139"/>
      <c r="K1" s="138"/>
      <c r="L1" s="138"/>
      <c r="M1" s="138"/>
      <c r="N1" s="138"/>
      <c r="O1" s="138"/>
    </row>
    <row r="2" spans="1:15" ht="12.75">
      <c r="A2" s="100" t="s">
        <v>3</v>
      </c>
      <c r="B2" s="193" t="s">
        <v>346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3" spans="2:15" ht="12.75">
      <c r="B3" s="193" t="s">
        <v>347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4:11" ht="12.75">
      <c r="D4" s="137"/>
      <c r="E4" s="137"/>
      <c r="F4" s="137"/>
      <c r="G4" s="137"/>
      <c r="H4" s="137"/>
      <c r="I4" s="137"/>
      <c r="J4" s="137"/>
      <c r="K4" s="100" t="s">
        <v>0</v>
      </c>
    </row>
    <row r="5" spans="2:15" ht="21">
      <c r="B5" s="194">
        <v>2023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ht="12.75">
      <c r="K6" s="100" t="s">
        <v>0</v>
      </c>
    </row>
    <row r="7" spans="2:16" ht="21">
      <c r="B7" s="187"/>
      <c r="C7" s="187"/>
      <c r="D7" s="187"/>
      <c r="E7" s="188" t="s">
        <v>319</v>
      </c>
      <c r="F7" s="187"/>
      <c r="G7" s="187"/>
      <c r="H7" s="187"/>
      <c r="I7" s="187"/>
      <c r="J7" s="189" t="s">
        <v>0</v>
      </c>
      <c r="K7" s="187" t="s">
        <v>0</v>
      </c>
      <c r="L7" s="187"/>
      <c r="M7" s="187"/>
      <c r="N7" s="187"/>
      <c r="O7" s="187"/>
      <c r="P7" s="187"/>
    </row>
    <row r="8" spans="2:16" ht="21">
      <c r="B8" s="198" t="s">
        <v>348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</row>
    <row r="9" spans="5:10" ht="21">
      <c r="E9" s="101"/>
      <c r="J9" s="102"/>
    </row>
    <row r="10" spans="3:15" ht="12.75">
      <c r="C10" s="171" t="s">
        <v>329</v>
      </c>
      <c r="D10" s="172"/>
      <c r="E10" s="172"/>
      <c r="F10" s="172"/>
      <c r="G10" s="172"/>
      <c r="H10" s="172"/>
      <c r="I10" s="172"/>
      <c r="J10" s="172"/>
      <c r="K10" s="173"/>
      <c r="L10" s="173"/>
      <c r="M10" s="173"/>
      <c r="N10" s="173"/>
      <c r="O10" s="173"/>
    </row>
    <row r="11" spans="3:15" ht="12.75">
      <c r="C11" s="172" t="s">
        <v>330</v>
      </c>
      <c r="D11" s="172"/>
      <c r="E11" s="172"/>
      <c r="F11" s="172"/>
      <c r="G11" s="172"/>
      <c r="H11" s="172"/>
      <c r="I11" s="172"/>
      <c r="J11" s="172"/>
      <c r="K11" s="173"/>
      <c r="L11" s="173"/>
      <c r="M11" s="173"/>
      <c r="N11" s="173"/>
      <c r="O11" s="173"/>
    </row>
    <row r="12" spans="3:15" ht="12.75">
      <c r="C12" s="172" t="s">
        <v>331</v>
      </c>
      <c r="D12" s="172"/>
      <c r="E12" s="172"/>
      <c r="F12" s="172"/>
      <c r="G12" s="172"/>
      <c r="H12" s="172"/>
      <c r="I12" s="172"/>
      <c r="J12" s="172"/>
      <c r="K12" s="173"/>
      <c r="L12" s="173"/>
      <c r="M12" s="173"/>
      <c r="N12" s="173"/>
      <c r="O12" s="173"/>
    </row>
    <row r="13" spans="1:15" ht="12.75">
      <c r="A13" s="100" t="s">
        <v>2</v>
      </c>
      <c r="C13" s="173" t="s">
        <v>349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</row>
    <row r="14" spans="6:11" ht="12.75">
      <c r="F14" s="103"/>
      <c r="K14" s="100" t="s">
        <v>0</v>
      </c>
    </row>
    <row r="15" ht="12.75">
      <c r="F15" s="103"/>
    </row>
    <row r="16" spans="1:20" ht="12.75" customHeight="1">
      <c r="A16" s="197" t="s">
        <v>351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70"/>
      <c r="M16" s="170"/>
      <c r="N16" s="170"/>
      <c r="P16" s="104"/>
      <c r="Q16" s="104"/>
      <c r="R16" s="105"/>
      <c r="S16" s="104"/>
      <c r="T16" s="104"/>
    </row>
    <row r="17" spans="5:21" ht="15">
      <c r="E17" s="106"/>
      <c r="P17" s="107"/>
      <c r="Q17" s="107"/>
      <c r="R17" s="107"/>
      <c r="S17" s="108"/>
      <c r="T17" s="107"/>
      <c r="U17" s="107"/>
    </row>
    <row r="18" spans="5:11" ht="12.75">
      <c r="E18" s="100" t="s">
        <v>241</v>
      </c>
      <c r="K18" s="100" t="s">
        <v>0</v>
      </c>
    </row>
    <row r="19" spans="5:11" ht="12.75">
      <c r="E19" s="100" t="s">
        <v>6</v>
      </c>
      <c r="I19" s="104">
        <v>1</v>
      </c>
      <c r="K19" s="100" t="s">
        <v>2</v>
      </c>
    </row>
    <row r="20" spans="4:27" ht="12.75">
      <c r="D20" s="100" t="s">
        <v>155</v>
      </c>
      <c r="I20" s="104">
        <v>1</v>
      </c>
      <c r="K20" s="100" t="s">
        <v>0</v>
      </c>
      <c r="U20" s="107"/>
      <c r="V20" s="107"/>
      <c r="W20" s="108"/>
      <c r="X20" s="107"/>
      <c r="Y20" s="107"/>
      <c r="Z20" s="111"/>
      <c r="AA20" s="111"/>
    </row>
    <row r="21" ht="12.75">
      <c r="K21" s="100" t="s">
        <v>0</v>
      </c>
    </row>
    <row r="22" spans="2:11" ht="12.75">
      <c r="B22" s="103"/>
      <c r="C22" s="103"/>
      <c r="D22" s="103"/>
      <c r="E22" s="109" t="s">
        <v>102</v>
      </c>
      <c r="F22" s="109" t="s">
        <v>177</v>
      </c>
      <c r="G22" s="109" t="s">
        <v>170</v>
      </c>
      <c r="H22" s="108" t="s">
        <v>184</v>
      </c>
      <c r="I22" s="108" t="s">
        <v>245</v>
      </c>
      <c r="J22" s="102" t="s">
        <v>0</v>
      </c>
      <c r="K22" s="100" t="s">
        <v>0</v>
      </c>
    </row>
    <row r="23" spans="5:11" ht="12.75">
      <c r="E23" s="110"/>
      <c r="F23" s="110"/>
      <c r="G23" s="110"/>
      <c r="H23" s="110"/>
      <c r="I23" s="110"/>
      <c r="K23" s="100" t="s">
        <v>0</v>
      </c>
    </row>
    <row r="24" spans="2:15" ht="15" customHeight="1">
      <c r="B24" s="100" t="s">
        <v>79</v>
      </c>
      <c r="E24" s="104">
        <v>39600</v>
      </c>
      <c r="F24" s="104">
        <v>36300</v>
      </c>
      <c r="G24" s="165">
        <v>33000</v>
      </c>
      <c r="H24" s="104">
        <v>29700</v>
      </c>
      <c r="I24" s="104">
        <v>26400</v>
      </c>
      <c r="J24" s="111"/>
      <c r="K24" s="111"/>
      <c r="L24" s="111"/>
      <c r="M24" s="111"/>
      <c r="N24" s="111"/>
      <c r="O24" s="111"/>
    </row>
    <row r="25" spans="2:25" ht="15" customHeight="1">
      <c r="B25" s="100" t="s">
        <v>77</v>
      </c>
      <c r="E25" s="107">
        <v>0.72</v>
      </c>
      <c r="F25" s="107">
        <v>0.66</v>
      </c>
      <c r="G25" s="127">
        <v>0.6</v>
      </c>
      <c r="H25" s="107">
        <v>0.54</v>
      </c>
      <c r="I25" s="107">
        <v>0.48</v>
      </c>
      <c r="J25" s="111"/>
      <c r="K25" s="111"/>
      <c r="L25" s="111"/>
      <c r="M25" s="111"/>
      <c r="N25" s="111"/>
      <c r="S25" s="107"/>
      <c r="T25" s="107"/>
      <c r="U25" s="127"/>
      <c r="V25" s="107"/>
      <c r="W25" s="107"/>
      <c r="X25" s="111"/>
      <c r="Y25" s="111"/>
    </row>
    <row r="26" spans="11:22" ht="15" customHeight="1">
      <c r="K26" s="100" t="s">
        <v>0</v>
      </c>
      <c r="V26" s="100" t="s">
        <v>0</v>
      </c>
    </row>
    <row r="27" spans="2:11" ht="15" customHeight="1">
      <c r="B27" s="103" t="s">
        <v>156</v>
      </c>
      <c r="C27" s="103"/>
      <c r="D27" s="103"/>
      <c r="E27" s="103"/>
      <c r="F27" s="109" t="s">
        <v>236</v>
      </c>
      <c r="G27" s="109" t="s">
        <v>196</v>
      </c>
      <c r="H27" s="108" t="s">
        <v>192</v>
      </c>
      <c r="I27" s="105" t="s">
        <v>66</v>
      </c>
      <c r="J27" s="112" t="s">
        <v>218</v>
      </c>
      <c r="K27" s="100" t="s">
        <v>0</v>
      </c>
    </row>
    <row r="28" ht="15" customHeight="1">
      <c r="K28" s="100" t="s">
        <v>0</v>
      </c>
    </row>
    <row r="29" spans="2:9" ht="15" customHeight="1">
      <c r="B29" s="100" t="s">
        <v>242</v>
      </c>
      <c r="I29" s="113" t="s">
        <v>0</v>
      </c>
    </row>
    <row r="30" spans="3:15" ht="15" customHeight="1">
      <c r="C30" s="114" t="s">
        <v>123</v>
      </c>
      <c r="D30" s="114"/>
      <c r="E30" s="114"/>
      <c r="F30" s="115" t="s">
        <v>91</v>
      </c>
      <c r="G30" s="181">
        <v>1000</v>
      </c>
      <c r="H30" s="181">
        <v>0.84</v>
      </c>
      <c r="I30" s="181">
        <f aca="true" t="shared" si="0" ref="I30:I44">G30*H30</f>
        <v>840</v>
      </c>
      <c r="J30" s="182">
        <f>I30*I19</f>
        <v>840</v>
      </c>
      <c r="K30" s="114"/>
      <c r="L30" s="114"/>
      <c r="M30" s="114"/>
      <c r="N30" s="114"/>
      <c r="O30" s="110"/>
    </row>
    <row r="31" spans="3:16" ht="15" customHeight="1">
      <c r="C31" s="114" t="s">
        <v>286</v>
      </c>
      <c r="D31" s="114"/>
      <c r="E31" s="114"/>
      <c r="F31" s="115" t="s">
        <v>91</v>
      </c>
      <c r="G31" s="181">
        <v>2</v>
      </c>
      <c r="H31" s="181">
        <v>20.1</v>
      </c>
      <c r="I31" s="181">
        <f t="shared" si="0"/>
        <v>40.2</v>
      </c>
      <c r="J31" s="182">
        <f>I31*I19</f>
        <v>40.2</v>
      </c>
      <c r="K31" s="115"/>
      <c r="L31" s="115"/>
      <c r="M31" s="115"/>
      <c r="N31" s="115"/>
      <c r="P31" s="111"/>
    </row>
    <row r="32" spans="3:16" ht="15" customHeight="1">
      <c r="C32" s="114" t="s">
        <v>287</v>
      </c>
      <c r="D32" s="114"/>
      <c r="E32" s="114"/>
      <c r="F32" s="115" t="s">
        <v>91</v>
      </c>
      <c r="G32" s="181">
        <v>2</v>
      </c>
      <c r="H32" s="181">
        <v>38.3</v>
      </c>
      <c r="I32" s="181">
        <f t="shared" si="0"/>
        <v>76.6</v>
      </c>
      <c r="J32" s="182">
        <f aca="true" t="shared" si="1" ref="J32:J37">I32*I$20</f>
        <v>76.6</v>
      </c>
      <c r="K32" s="115"/>
      <c r="L32" s="115"/>
      <c r="M32" s="115"/>
      <c r="N32" s="115"/>
      <c r="P32" s="111"/>
    </row>
    <row r="33" spans="3:16" ht="15" customHeight="1">
      <c r="C33" s="114" t="s">
        <v>288</v>
      </c>
      <c r="D33" s="114"/>
      <c r="E33" s="114"/>
      <c r="F33" s="115" t="s">
        <v>91</v>
      </c>
      <c r="G33" s="181">
        <v>5</v>
      </c>
      <c r="H33" s="181">
        <v>38.3</v>
      </c>
      <c r="I33" s="181">
        <f t="shared" si="0"/>
        <v>191.5</v>
      </c>
      <c r="J33" s="182">
        <f t="shared" si="1"/>
        <v>191.5</v>
      </c>
      <c r="K33" s="115"/>
      <c r="L33" s="115"/>
      <c r="M33" s="115"/>
      <c r="N33" s="115"/>
      <c r="P33" s="111"/>
    </row>
    <row r="34" spans="3:16" ht="15" customHeight="1">
      <c r="C34" s="114" t="s">
        <v>146</v>
      </c>
      <c r="D34" s="114"/>
      <c r="E34" s="114"/>
      <c r="F34" s="115" t="s">
        <v>91</v>
      </c>
      <c r="G34" s="181">
        <v>5</v>
      </c>
      <c r="H34" s="181">
        <v>14.79</v>
      </c>
      <c r="I34" s="181">
        <f t="shared" si="0"/>
        <v>73.94999999999999</v>
      </c>
      <c r="J34" s="182">
        <f t="shared" si="1"/>
        <v>73.94999999999999</v>
      </c>
      <c r="K34" s="115"/>
      <c r="L34" s="115"/>
      <c r="M34" s="115"/>
      <c r="N34" s="115"/>
      <c r="P34" s="111"/>
    </row>
    <row r="35" spans="3:16" ht="15" customHeight="1">
      <c r="C35" s="114" t="s">
        <v>133</v>
      </c>
      <c r="D35" s="114"/>
      <c r="E35" s="114"/>
      <c r="F35" s="115" t="s">
        <v>91</v>
      </c>
      <c r="G35" s="181">
        <v>6</v>
      </c>
      <c r="H35" s="181">
        <v>18</v>
      </c>
      <c r="I35" s="181">
        <f t="shared" si="0"/>
        <v>108</v>
      </c>
      <c r="J35" s="182">
        <f t="shared" si="1"/>
        <v>108</v>
      </c>
      <c r="K35" s="115"/>
      <c r="L35" s="115"/>
      <c r="M35" s="115"/>
      <c r="N35" s="115"/>
      <c r="P35" s="111"/>
    </row>
    <row r="36" spans="3:16" ht="15" customHeight="1">
      <c r="C36" s="114" t="s">
        <v>324</v>
      </c>
      <c r="D36" s="114"/>
      <c r="E36" s="114"/>
      <c r="F36" s="115" t="s">
        <v>233</v>
      </c>
      <c r="G36" s="181">
        <v>5</v>
      </c>
      <c r="H36" s="181">
        <v>15.75</v>
      </c>
      <c r="I36" s="181">
        <f t="shared" si="0"/>
        <v>78.75</v>
      </c>
      <c r="J36" s="182">
        <f t="shared" si="1"/>
        <v>78.75</v>
      </c>
      <c r="K36" s="115"/>
      <c r="L36" s="115"/>
      <c r="M36" s="115"/>
      <c r="N36" s="115"/>
      <c r="P36" s="111"/>
    </row>
    <row r="37" spans="3:16" ht="15" customHeight="1">
      <c r="C37" s="114" t="s">
        <v>289</v>
      </c>
      <c r="D37" s="114"/>
      <c r="E37" s="114"/>
      <c r="F37" s="115" t="s">
        <v>91</v>
      </c>
      <c r="G37" s="181">
        <v>1</v>
      </c>
      <c r="H37" s="181">
        <v>36.75</v>
      </c>
      <c r="I37" s="181">
        <f t="shared" si="0"/>
        <v>36.75</v>
      </c>
      <c r="J37" s="182">
        <f t="shared" si="1"/>
        <v>36.75</v>
      </c>
      <c r="K37" s="115"/>
      <c r="L37" s="115"/>
      <c r="M37" s="115"/>
      <c r="N37" s="115"/>
      <c r="P37" s="111"/>
    </row>
    <row r="38" spans="3:16" ht="15" customHeight="1">
      <c r="C38" s="114" t="s">
        <v>290</v>
      </c>
      <c r="D38" s="114"/>
      <c r="E38" s="114"/>
      <c r="F38" s="115" t="s">
        <v>91</v>
      </c>
      <c r="G38" s="181">
        <v>1</v>
      </c>
      <c r="H38" s="181">
        <v>7.14</v>
      </c>
      <c r="I38" s="181">
        <f t="shared" si="0"/>
        <v>7.14</v>
      </c>
      <c r="J38" s="182">
        <f>I38*I19</f>
        <v>7.14</v>
      </c>
      <c r="K38" s="115"/>
      <c r="L38" s="115"/>
      <c r="M38" s="115"/>
      <c r="N38" s="115"/>
      <c r="P38" s="111"/>
    </row>
    <row r="39" spans="3:16" ht="15" customHeight="1">
      <c r="C39" s="114" t="s">
        <v>282</v>
      </c>
      <c r="D39" s="114"/>
      <c r="E39" s="114"/>
      <c r="F39" s="115" t="s">
        <v>91</v>
      </c>
      <c r="G39" s="181">
        <v>1</v>
      </c>
      <c r="H39" s="181">
        <v>89.22</v>
      </c>
      <c r="I39" s="181">
        <f t="shared" si="0"/>
        <v>89.22</v>
      </c>
      <c r="J39" s="182">
        <f>I39*I$20</f>
        <v>89.22</v>
      </c>
      <c r="K39" s="115"/>
      <c r="L39" s="115"/>
      <c r="M39" s="115"/>
      <c r="N39" s="115"/>
      <c r="P39" s="168"/>
    </row>
    <row r="40" spans="3:16" ht="15" customHeight="1">
      <c r="C40" s="114" t="s">
        <v>158</v>
      </c>
      <c r="D40" s="114"/>
      <c r="E40" s="114"/>
      <c r="F40" s="115" t="s">
        <v>143</v>
      </c>
      <c r="G40" s="181">
        <v>200</v>
      </c>
      <c r="H40" s="181">
        <v>13.67</v>
      </c>
      <c r="I40" s="181">
        <f t="shared" si="0"/>
        <v>2734</v>
      </c>
      <c r="J40" s="182">
        <f>I40*I$20</f>
        <v>2734</v>
      </c>
      <c r="K40" s="115"/>
      <c r="L40" s="115"/>
      <c r="M40" s="115"/>
      <c r="N40" s="115"/>
      <c r="P40" s="168"/>
    </row>
    <row r="41" spans="3:14" ht="15" customHeight="1">
      <c r="C41" s="114" t="s">
        <v>56</v>
      </c>
      <c r="D41" s="114"/>
      <c r="E41" s="114"/>
      <c r="F41" s="115" t="s">
        <v>352</v>
      </c>
      <c r="G41" s="181">
        <v>20</v>
      </c>
      <c r="H41" s="181">
        <v>4.8</v>
      </c>
      <c r="I41" s="181">
        <f t="shared" si="0"/>
        <v>96</v>
      </c>
      <c r="J41" s="182">
        <f>I41*I$20</f>
        <v>96</v>
      </c>
      <c r="K41" s="115"/>
      <c r="L41" s="115"/>
      <c r="M41" s="115"/>
      <c r="N41" s="115"/>
    </row>
    <row r="42" spans="3:16" ht="15" customHeight="1">
      <c r="C42" s="114" t="s">
        <v>62</v>
      </c>
      <c r="D42" s="114"/>
      <c r="E42" s="114"/>
      <c r="F42" s="115" t="s">
        <v>91</v>
      </c>
      <c r="G42" s="181">
        <v>1</v>
      </c>
      <c r="H42" s="181">
        <v>40.08</v>
      </c>
      <c r="I42" s="181">
        <f t="shared" si="0"/>
        <v>40.08</v>
      </c>
      <c r="J42" s="182">
        <f>I42*I19</f>
        <v>40.08</v>
      </c>
      <c r="K42" s="115"/>
      <c r="L42" s="115"/>
      <c r="M42" s="115"/>
      <c r="N42" s="115"/>
      <c r="P42" s="167"/>
    </row>
    <row r="43" spans="3:16" ht="15" customHeight="1">
      <c r="C43" s="114" t="s">
        <v>293</v>
      </c>
      <c r="D43" s="114"/>
      <c r="E43" s="114"/>
      <c r="F43" s="115" t="s">
        <v>91</v>
      </c>
      <c r="G43" s="181">
        <v>1</v>
      </c>
      <c r="H43" s="181">
        <f>+Drip!I56</f>
        <v>1610.2233999999999</v>
      </c>
      <c r="I43" s="181">
        <f t="shared" si="0"/>
        <v>1610.2233999999999</v>
      </c>
      <c r="J43" s="182">
        <f>I43*I19</f>
        <v>1610.2233999999999</v>
      </c>
      <c r="K43" s="115"/>
      <c r="L43" s="115"/>
      <c r="M43" s="115"/>
      <c r="N43" s="115"/>
      <c r="P43" s="167"/>
    </row>
    <row r="44" spans="3:16" ht="15" customHeight="1">
      <c r="C44" s="114" t="s">
        <v>152</v>
      </c>
      <c r="D44" s="114"/>
      <c r="E44" s="114"/>
      <c r="F44" s="115"/>
      <c r="G44" s="181">
        <f>SUM(I26:I42)</f>
        <v>4412.1900000000005</v>
      </c>
      <c r="H44" s="115">
        <v>0.075</v>
      </c>
      <c r="I44" s="181">
        <f t="shared" si="0"/>
        <v>330.91425000000004</v>
      </c>
      <c r="J44" s="182">
        <f>I44*I19</f>
        <v>330.91425000000004</v>
      </c>
      <c r="K44" s="180"/>
      <c r="L44" s="180"/>
      <c r="M44" s="180"/>
      <c r="N44" s="180"/>
      <c r="P44" s="167"/>
    </row>
    <row r="45" spans="3:14" ht="15" customHeight="1" thickBot="1">
      <c r="C45" s="118" t="s">
        <v>300</v>
      </c>
      <c r="D45" s="118"/>
      <c r="E45" s="118"/>
      <c r="F45" s="119"/>
      <c r="G45" s="127"/>
      <c r="H45" s="183">
        <f>SUM(I30:I44)</f>
        <v>6353.32765</v>
      </c>
      <c r="I45" s="183">
        <f>SUM(I30:I44)</f>
        <v>6353.32765</v>
      </c>
      <c r="J45" s="184">
        <f>SUM(J30:J44)</f>
        <v>6353.32765</v>
      </c>
      <c r="K45" s="117"/>
      <c r="L45" s="117"/>
      <c r="M45" s="117"/>
      <c r="N45" s="117"/>
    </row>
    <row r="46" spans="6:14" ht="15" customHeight="1" thickTop="1">
      <c r="F46" s="110"/>
      <c r="G46" s="120"/>
      <c r="H46" s="120"/>
      <c r="I46" s="120"/>
      <c r="J46" s="116"/>
      <c r="K46" s="110" t="s">
        <v>0</v>
      </c>
      <c r="L46" s="110"/>
      <c r="M46" s="110"/>
      <c r="N46" s="110"/>
    </row>
    <row r="47" spans="2:14" ht="15" customHeight="1">
      <c r="B47" s="103"/>
      <c r="C47" s="118" t="s">
        <v>300</v>
      </c>
      <c r="F47" s="110"/>
      <c r="G47" s="121"/>
      <c r="H47" s="121"/>
      <c r="I47" s="122">
        <f>SUM(I29:I44)</f>
        <v>6353.32765</v>
      </c>
      <c r="J47" s="123">
        <f>I47*I19</f>
        <v>6353.32765</v>
      </c>
      <c r="K47" s="117" t="s">
        <v>0</v>
      </c>
      <c r="L47" s="117"/>
      <c r="M47" s="117"/>
      <c r="N47" s="117"/>
    </row>
    <row r="48" spans="11:14" ht="15" customHeight="1">
      <c r="K48" s="117" t="s">
        <v>0</v>
      </c>
      <c r="L48" s="117"/>
      <c r="M48" s="117"/>
      <c r="N48" s="117"/>
    </row>
    <row r="49" spans="2:14" ht="15" customHeight="1">
      <c r="B49" s="118" t="s">
        <v>138</v>
      </c>
      <c r="C49" s="114"/>
      <c r="D49" s="114"/>
      <c r="E49" s="114"/>
      <c r="F49" s="109" t="s">
        <v>236</v>
      </c>
      <c r="G49" s="119" t="s">
        <v>368</v>
      </c>
      <c r="H49" s="108" t="s">
        <v>192</v>
      </c>
      <c r="I49" s="105" t="s">
        <v>66</v>
      </c>
      <c r="J49" s="112" t="s">
        <v>218</v>
      </c>
      <c r="K49" s="117" t="s">
        <v>0</v>
      </c>
      <c r="L49" s="117"/>
      <c r="M49" s="117"/>
      <c r="N49" s="117"/>
    </row>
    <row r="50" spans="2:14" ht="15" customHeight="1">
      <c r="B50" s="114"/>
      <c r="C50" s="114" t="s">
        <v>340</v>
      </c>
      <c r="D50" s="114"/>
      <c r="E50" s="114"/>
      <c r="F50" s="115" t="s">
        <v>91</v>
      </c>
      <c r="G50" s="181">
        <f>MEDY*0.67</f>
        <v>22110</v>
      </c>
      <c r="H50" s="181">
        <v>0.157</v>
      </c>
      <c r="I50" s="181">
        <f>G50*H50</f>
        <v>3471.27</v>
      </c>
      <c r="J50" s="182">
        <f>I50*I19</f>
        <v>3471.27</v>
      </c>
      <c r="K50" s="117"/>
      <c r="L50" s="117"/>
      <c r="M50" s="117"/>
      <c r="N50" s="117"/>
    </row>
    <row r="51" spans="2:17" ht="15" customHeight="1">
      <c r="B51" s="114"/>
      <c r="C51" s="114" t="s">
        <v>294</v>
      </c>
      <c r="D51" s="114"/>
      <c r="E51" s="114"/>
      <c r="F51" s="115" t="s">
        <v>91</v>
      </c>
      <c r="G51" s="181">
        <f>MEDY*0.67</f>
        <v>22110</v>
      </c>
      <c r="H51" s="181">
        <v>0.01</v>
      </c>
      <c r="I51" s="181">
        <f>G51*H51</f>
        <v>221.1</v>
      </c>
      <c r="J51" s="182">
        <f>I51*I19</f>
        <v>221.1</v>
      </c>
      <c r="K51" s="110"/>
      <c r="L51" s="110"/>
      <c r="M51" s="110"/>
      <c r="N51" s="110"/>
      <c r="Q51" s="163"/>
    </row>
    <row r="52" spans="2:14" ht="15" customHeight="1" thickBot="1">
      <c r="B52" s="118" t="s">
        <v>227</v>
      </c>
      <c r="C52" s="114"/>
      <c r="D52" s="114"/>
      <c r="E52" s="114"/>
      <c r="F52" s="115" t="s">
        <v>65</v>
      </c>
      <c r="G52" s="115"/>
      <c r="H52" s="115"/>
      <c r="I52" s="183">
        <f>SUM(I50:I51)</f>
        <v>3692.37</v>
      </c>
      <c r="J52" s="184">
        <f>SUM(J50:J51)</f>
        <v>3692.37</v>
      </c>
      <c r="K52" s="117" t="s">
        <v>0</v>
      </c>
      <c r="L52" s="117"/>
      <c r="M52" s="117"/>
      <c r="N52" s="117"/>
    </row>
    <row r="53" spans="2:14" ht="15" customHeight="1" thickBot="1" thickTop="1">
      <c r="B53" s="103" t="s">
        <v>231</v>
      </c>
      <c r="F53" s="110"/>
      <c r="G53" s="110"/>
      <c r="H53" s="110"/>
      <c r="I53" s="185">
        <f>I47+I52</f>
        <v>10045.69765</v>
      </c>
      <c r="J53" s="186">
        <f>I53*I19</f>
        <v>10045.69765</v>
      </c>
      <c r="K53" s="110"/>
      <c r="L53" s="110"/>
      <c r="M53" s="110"/>
      <c r="N53" s="110"/>
    </row>
    <row r="54" spans="6:14" ht="13.5" thickTop="1">
      <c r="F54" s="110"/>
      <c r="G54" s="110"/>
      <c r="H54" s="110"/>
      <c r="I54" s="110"/>
      <c r="J54" s="110"/>
      <c r="K54" s="117" t="s">
        <v>0</v>
      </c>
      <c r="L54" s="117"/>
      <c r="M54" s="117"/>
      <c r="N54" s="117"/>
    </row>
    <row r="55" spans="6:43" ht="12.75">
      <c r="F55" s="110"/>
      <c r="G55" s="110"/>
      <c r="H55" s="110"/>
      <c r="I55" s="110"/>
      <c r="J55" s="110"/>
      <c r="K55" s="117"/>
      <c r="L55" s="117"/>
      <c r="M55" s="117"/>
      <c r="N55" s="117"/>
      <c r="AQ55" s="100" t="s">
        <v>110</v>
      </c>
    </row>
    <row r="56" spans="6:14" ht="12.75">
      <c r="F56" s="110"/>
      <c r="G56" s="110"/>
      <c r="H56" s="110"/>
      <c r="I56" s="110"/>
      <c r="J56" s="110"/>
      <c r="K56" s="117"/>
      <c r="L56" s="117"/>
      <c r="M56" s="117"/>
      <c r="N56" s="117"/>
    </row>
    <row r="57" spans="6:14" ht="12.75">
      <c r="F57" s="110"/>
      <c r="G57" s="110"/>
      <c r="H57" s="110"/>
      <c r="I57" s="110"/>
      <c r="J57" s="110"/>
      <c r="K57" s="117"/>
      <c r="L57" s="117"/>
      <c r="M57" s="117"/>
      <c r="N57" s="117"/>
    </row>
    <row r="58" spans="6:14" ht="12.75">
      <c r="F58" s="110"/>
      <c r="G58" s="110"/>
      <c r="H58" s="110"/>
      <c r="I58" s="110"/>
      <c r="J58" s="110"/>
      <c r="K58" s="117"/>
      <c r="L58" s="117"/>
      <c r="M58" s="117"/>
      <c r="N58" s="117"/>
    </row>
    <row r="59" spans="2:14" ht="15" customHeight="1">
      <c r="B59" s="103" t="s">
        <v>125</v>
      </c>
      <c r="C59" s="103"/>
      <c r="F59" s="109" t="s">
        <v>236</v>
      </c>
      <c r="G59" s="109" t="s">
        <v>196</v>
      </c>
      <c r="H59" s="108" t="s">
        <v>192</v>
      </c>
      <c r="I59" s="105" t="s">
        <v>66</v>
      </c>
      <c r="J59" s="112" t="s">
        <v>218</v>
      </c>
      <c r="K59" s="110"/>
      <c r="L59" s="110"/>
      <c r="M59" s="110"/>
      <c r="N59" s="110"/>
    </row>
    <row r="60" spans="3:14" ht="15" customHeight="1">
      <c r="C60" s="100" t="s">
        <v>232</v>
      </c>
      <c r="F60" s="115" t="s">
        <v>91</v>
      </c>
      <c r="G60" s="107">
        <v>1</v>
      </c>
      <c r="H60" s="120">
        <f>FxdCost!I33</f>
        <v>2403.0408783600005</v>
      </c>
      <c r="I60" s="120">
        <f>G60*H60</f>
        <v>2403.0408783600005</v>
      </c>
      <c r="J60" s="124">
        <f>I19*I60</f>
        <v>2403.0408783600005</v>
      </c>
      <c r="K60" s="117" t="s">
        <v>0</v>
      </c>
      <c r="L60" s="117"/>
      <c r="M60" s="117"/>
      <c r="N60" s="117"/>
    </row>
    <row r="61" spans="3:14" ht="15" customHeight="1">
      <c r="C61" s="100" t="s">
        <v>154</v>
      </c>
      <c r="F61" s="110" t="s">
        <v>91</v>
      </c>
      <c r="G61" s="107">
        <v>1</v>
      </c>
      <c r="H61" s="120">
        <f>+SSet!H56</f>
        <v>2701.1981666666666</v>
      </c>
      <c r="I61" s="120">
        <f>G61*H61</f>
        <v>2701.1981666666666</v>
      </c>
      <c r="J61" s="124">
        <f>I19*I61</f>
        <v>2701.1981666666666</v>
      </c>
      <c r="K61" s="110"/>
      <c r="L61" s="110"/>
      <c r="M61" s="110"/>
      <c r="N61" s="110"/>
    </row>
    <row r="62" spans="3:14" ht="15" customHeight="1">
      <c r="C62" s="100" t="s">
        <v>318</v>
      </c>
      <c r="F62" s="110" t="s">
        <v>91</v>
      </c>
      <c r="G62" s="107">
        <v>1</v>
      </c>
      <c r="H62" s="120">
        <f>+Yr3!H68</f>
        <v>2365.928307511459</v>
      </c>
      <c r="I62" s="120">
        <f>G62*H62</f>
        <v>2365.928307511459</v>
      </c>
      <c r="J62" s="124">
        <f>I20*I62</f>
        <v>2365.928307511459</v>
      </c>
      <c r="K62" s="110"/>
      <c r="L62" s="110"/>
      <c r="M62" s="110"/>
      <c r="N62" s="110"/>
    </row>
    <row r="63" spans="3:14" ht="15" customHeight="1">
      <c r="C63" s="100" t="s">
        <v>180</v>
      </c>
      <c r="F63" s="115" t="s">
        <v>91</v>
      </c>
      <c r="G63" s="104">
        <f>I47</f>
        <v>6353.32765</v>
      </c>
      <c r="H63" s="120">
        <v>0.15</v>
      </c>
      <c r="I63" s="120">
        <f>G63*H63</f>
        <v>952.9991474999999</v>
      </c>
      <c r="J63" s="124">
        <f>I19*I63</f>
        <v>952.9991474999999</v>
      </c>
      <c r="K63" s="110"/>
      <c r="L63" s="110"/>
      <c r="M63" s="110"/>
      <c r="N63" s="110"/>
    </row>
    <row r="64" spans="2:14" ht="15" customHeight="1" thickBot="1">
      <c r="B64" s="118" t="s">
        <v>303</v>
      </c>
      <c r="F64" s="115" t="s">
        <v>65</v>
      </c>
      <c r="G64" s="110"/>
      <c r="H64" s="121"/>
      <c r="I64" s="160">
        <f>SUM(I60:I63)</f>
        <v>8423.166500038125</v>
      </c>
      <c r="J64" s="162">
        <f>I19*I64</f>
        <v>8423.166500038125</v>
      </c>
      <c r="K64" s="110"/>
      <c r="L64" s="110"/>
      <c r="M64" s="110"/>
      <c r="N64" s="110"/>
    </row>
    <row r="65" spans="7:14" ht="15" customHeight="1" thickTop="1">
      <c r="G65" s="110"/>
      <c r="H65" s="121"/>
      <c r="I65" s="116" t="s">
        <v>0</v>
      </c>
      <c r="J65" s="121"/>
      <c r="K65" s="110"/>
      <c r="L65" s="110"/>
      <c r="M65" s="110"/>
      <c r="N65" s="110"/>
    </row>
    <row r="66" spans="2:20" ht="15" customHeight="1" thickBot="1">
      <c r="B66" s="118" t="s">
        <v>302</v>
      </c>
      <c r="G66" s="110"/>
      <c r="H66" s="121"/>
      <c r="I66" s="160">
        <f>I47+I52+I64</f>
        <v>18468.864150038127</v>
      </c>
      <c r="J66" s="161">
        <f>I19*I66</f>
        <v>18468.864150038127</v>
      </c>
      <c r="K66" s="110"/>
      <c r="L66" s="110"/>
      <c r="M66" s="110"/>
      <c r="N66" s="110"/>
      <c r="P66" s="100" t="s">
        <v>74</v>
      </c>
      <c r="T66" s="100" t="s">
        <v>74</v>
      </c>
    </row>
    <row r="67" spans="2:20" ht="15" customHeight="1" thickTop="1">
      <c r="B67" s="118"/>
      <c r="G67" s="110"/>
      <c r="H67" s="121"/>
      <c r="I67" s="122"/>
      <c r="J67" s="123"/>
      <c r="K67" s="110"/>
      <c r="L67" s="110"/>
      <c r="M67" s="110"/>
      <c r="N67" s="110"/>
      <c r="P67" s="100" t="s">
        <v>7</v>
      </c>
      <c r="T67" s="100" t="s">
        <v>74</v>
      </c>
    </row>
    <row r="68" spans="2:20" ht="15" customHeight="1">
      <c r="B68" s="118"/>
      <c r="G68" s="110"/>
      <c r="H68" s="121"/>
      <c r="I68" s="122"/>
      <c r="J68" s="123"/>
      <c r="K68" s="110"/>
      <c r="L68" s="110"/>
      <c r="M68" s="110"/>
      <c r="N68" s="110"/>
      <c r="P68" s="100" t="s">
        <v>1</v>
      </c>
      <c r="T68" s="100" t="s">
        <v>74</v>
      </c>
    </row>
    <row r="69" spans="2:20" ht="15" customHeight="1" thickBot="1">
      <c r="B69" s="142"/>
      <c r="C69" s="143"/>
      <c r="D69" s="143"/>
      <c r="E69" s="143"/>
      <c r="F69" s="143"/>
      <c r="G69" s="144"/>
      <c r="H69" s="145"/>
      <c r="I69" s="146"/>
      <c r="J69" s="147"/>
      <c r="K69" s="144"/>
      <c r="L69" s="110"/>
      <c r="M69" s="110"/>
      <c r="N69" s="110"/>
      <c r="P69" s="113">
        <f>I19</f>
        <v>1</v>
      </c>
      <c r="Q69" s="100" t="s">
        <v>10</v>
      </c>
      <c r="T69" s="100" t="s">
        <v>74</v>
      </c>
    </row>
    <row r="70" spans="2:20" ht="15" customHeight="1">
      <c r="B70" s="118"/>
      <c r="G70" s="110"/>
      <c r="H70" s="121"/>
      <c r="I70" s="122"/>
      <c r="J70" s="123"/>
      <c r="K70" s="110"/>
      <c r="L70" s="110"/>
      <c r="M70" s="110"/>
      <c r="N70" s="110"/>
      <c r="P70" s="113">
        <f>E24</f>
        <v>39600</v>
      </c>
      <c r="Q70" s="100" t="s">
        <v>12</v>
      </c>
      <c r="R70" s="98">
        <f>E25</f>
        <v>0.72</v>
      </c>
      <c r="S70" s="100" t="s">
        <v>11</v>
      </c>
      <c r="T70" s="100" t="s">
        <v>74</v>
      </c>
    </row>
    <row r="71" spans="7:20" ht="15" customHeight="1">
      <c r="G71" s="110"/>
      <c r="H71" s="110"/>
      <c r="I71" s="110"/>
      <c r="J71" s="110"/>
      <c r="K71" s="110"/>
      <c r="L71" s="110"/>
      <c r="M71" s="110"/>
      <c r="N71" s="110"/>
      <c r="P71" s="113">
        <f>F24</f>
        <v>36300</v>
      </c>
      <c r="Q71" s="100" t="s">
        <v>29</v>
      </c>
      <c r="R71" s="98">
        <f>F25</f>
        <v>0.66</v>
      </c>
      <c r="S71" s="100" t="s">
        <v>28</v>
      </c>
      <c r="T71" s="100" t="s">
        <v>74</v>
      </c>
    </row>
    <row r="72" spans="3:18" ht="15" customHeight="1">
      <c r="C72" s="103" t="s">
        <v>103</v>
      </c>
      <c r="G72" s="110"/>
      <c r="H72" s="110"/>
      <c r="I72" s="110"/>
      <c r="J72" s="110"/>
      <c r="K72" s="110"/>
      <c r="L72" s="110"/>
      <c r="M72" s="110"/>
      <c r="N72" s="110"/>
      <c r="P72" s="113"/>
      <c r="R72" s="98"/>
    </row>
    <row r="73" spans="3:20" ht="15" customHeight="1">
      <c r="C73" s="114" t="s">
        <v>320</v>
      </c>
      <c r="G73" s="110"/>
      <c r="H73" s="110"/>
      <c r="I73" s="107">
        <f>I47/G50</f>
        <v>0.28735086612392585</v>
      </c>
      <c r="J73" s="110"/>
      <c r="K73" s="110"/>
      <c r="L73" s="110"/>
      <c r="M73" s="110"/>
      <c r="N73" s="110"/>
      <c r="P73" s="113">
        <f>G24</f>
        <v>33000</v>
      </c>
      <c r="Q73" s="100" t="s">
        <v>22</v>
      </c>
      <c r="R73" s="98">
        <f>G25</f>
        <v>0.6</v>
      </c>
      <c r="S73" s="100" t="s">
        <v>21</v>
      </c>
      <c r="T73" s="100" t="s">
        <v>74</v>
      </c>
    </row>
    <row r="74" spans="3:20" ht="15" customHeight="1">
      <c r="C74" s="114" t="s">
        <v>321</v>
      </c>
      <c r="G74" s="110"/>
      <c r="H74" s="110"/>
      <c r="I74" s="107">
        <f>I52/G50</f>
        <v>0.16699999999999998</v>
      </c>
      <c r="J74" s="110"/>
      <c r="K74" s="110"/>
      <c r="L74" s="110"/>
      <c r="M74" s="110"/>
      <c r="N74" s="110"/>
      <c r="P74" s="113">
        <f>H24</f>
        <v>29700</v>
      </c>
      <c r="Q74" s="100" t="s">
        <v>32</v>
      </c>
      <c r="R74" s="98">
        <f>H25</f>
        <v>0.54</v>
      </c>
      <c r="S74" s="100" t="s">
        <v>31</v>
      </c>
      <c r="T74" s="100" t="s">
        <v>74</v>
      </c>
    </row>
    <row r="75" spans="3:20" ht="15" customHeight="1">
      <c r="C75" s="114" t="s">
        <v>322</v>
      </c>
      <c r="D75" s="100" t="s">
        <v>60</v>
      </c>
      <c r="G75" s="110"/>
      <c r="H75" s="110"/>
      <c r="I75" s="107">
        <f>I64/G50</f>
        <v>0.38096637268376865</v>
      </c>
      <c r="J75" s="110"/>
      <c r="K75" s="110"/>
      <c r="L75" s="110"/>
      <c r="M75" s="110"/>
      <c r="N75" s="110"/>
      <c r="P75" s="113">
        <f>I24</f>
        <v>26400</v>
      </c>
      <c r="Q75" s="100" t="s">
        <v>55</v>
      </c>
      <c r="R75" s="98">
        <f>I25</f>
        <v>0.48</v>
      </c>
      <c r="S75" s="100" t="s">
        <v>54</v>
      </c>
      <c r="T75" s="100" t="s">
        <v>74</v>
      </c>
    </row>
    <row r="76" spans="2:20" ht="15" customHeight="1">
      <c r="B76" s="103"/>
      <c r="C76" s="114" t="s">
        <v>323</v>
      </c>
      <c r="G76" s="110"/>
      <c r="H76" s="110"/>
      <c r="I76" s="105">
        <f>UNITCOST/MEDP</f>
        <v>30781.440250063548</v>
      </c>
      <c r="J76" s="110"/>
      <c r="K76" s="110"/>
      <c r="L76" s="110"/>
      <c r="M76" s="110"/>
      <c r="N76" s="110"/>
      <c r="P76" s="98">
        <f>I74</f>
        <v>0.16699999999999998</v>
      </c>
      <c r="Q76" s="100" t="s">
        <v>20</v>
      </c>
      <c r="T76" s="100" t="s">
        <v>74</v>
      </c>
    </row>
    <row r="77" spans="3:20" ht="15" customHeight="1">
      <c r="C77" s="100" t="s">
        <v>345</v>
      </c>
      <c r="G77" s="110"/>
      <c r="H77" s="110"/>
      <c r="I77" s="107">
        <f>UNITCOST/MEDY</f>
        <v>0.5596625500011554</v>
      </c>
      <c r="J77" s="110"/>
      <c r="K77" s="110"/>
      <c r="L77" s="110"/>
      <c r="M77" s="110"/>
      <c r="N77" s="110"/>
      <c r="P77" s="98">
        <f>I47+I64</f>
        <v>14776.494150038125</v>
      </c>
      <c r="Q77" s="100" t="s">
        <v>45</v>
      </c>
      <c r="T77" s="100" t="s">
        <v>74</v>
      </c>
    </row>
    <row r="78" spans="7:20" ht="15" customHeight="1">
      <c r="G78" s="110"/>
      <c r="H78" s="110"/>
      <c r="I78" s="110"/>
      <c r="J78" s="110"/>
      <c r="K78" s="110"/>
      <c r="L78" s="110"/>
      <c r="M78" s="110"/>
      <c r="N78" s="110"/>
      <c r="P78" s="100" t="s">
        <v>74</v>
      </c>
      <c r="T78" s="100" t="s">
        <v>74</v>
      </c>
    </row>
    <row r="79" spans="7:20" ht="15" customHeight="1">
      <c r="G79" s="110"/>
      <c r="H79" s="110"/>
      <c r="I79" s="110"/>
      <c r="J79" s="110"/>
      <c r="K79" s="110"/>
      <c r="L79" s="110"/>
      <c r="M79" s="110"/>
      <c r="N79" s="110"/>
      <c r="P79" s="100" t="s">
        <v>1</v>
      </c>
      <c r="T79" s="100" t="s">
        <v>80</v>
      </c>
    </row>
    <row r="80" spans="7:20" ht="15" customHeight="1">
      <c r="G80" s="121"/>
      <c r="H80" s="110"/>
      <c r="I80" s="110"/>
      <c r="J80" s="110"/>
      <c r="K80" s="110"/>
      <c r="L80" s="110"/>
      <c r="M80" s="110"/>
      <c r="N80" s="110"/>
      <c r="Q80" s="100" t="s">
        <v>106</v>
      </c>
      <c r="T80" s="100" t="s">
        <v>80</v>
      </c>
    </row>
    <row r="81" spans="1:20" ht="15" customHeight="1">
      <c r="A81" s="196" t="s">
        <v>121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19"/>
      <c r="M81" s="119"/>
      <c r="N81" s="119"/>
      <c r="P81" s="100" t="s">
        <v>1</v>
      </c>
      <c r="T81" s="100" t="s">
        <v>80</v>
      </c>
    </row>
    <row r="82" spans="7:20" ht="15" customHeight="1">
      <c r="G82" s="109" t="s">
        <v>0</v>
      </c>
      <c r="H82" s="109"/>
      <c r="I82" s="110"/>
      <c r="J82" s="110"/>
      <c r="K82" s="110"/>
      <c r="L82" s="110"/>
      <c r="M82" s="110"/>
      <c r="N82" s="110"/>
      <c r="P82" s="113">
        <f>0.04*P70+0.25*P71+0.42*P73+0.25*P74+0.04*P75</f>
        <v>33000</v>
      </c>
      <c r="Q82" s="100" t="s">
        <v>18</v>
      </c>
      <c r="R82" s="100">
        <f>0.04*R70+0.25*R71+0.42*R73+0.25*R74+0.04*R75</f>
        <v>0.6</v>
      </c>
      <c r="S82" s="100" t="s">
        <v>17</v>
      </c>
      <c r="T82" s="100" t="s">
        <v>80</v>
      </c>
    </row>
    <row r="83" spans="7:20" ht="15" customHeight="1">
      <c r="G83" s="110"/>
      <c r="H83" s="110"/>
      <c r="I83" s="110"/>
      <c r="J83" s="110"/>
      <c r="K83" s="110"/>
      <c r="L83" s="110"/>
      <c r="M83" s="110"/>
      <c r="N83" s="110"/>
      <c r="P83" s="100">
        <f>0.25*(P70-P82)+0.5*(P71-P82)</f>
        <v>3300</v>
      </c>
      <c r="Q83" s="100" t="s">
        <v>43</v>
      </c>
      <c r="R83" s="100">
        <f>0.25*(R70-R82)+0.5*(R71-R82)</f>
        <v>0.060000000000000026</v>
      </c>
      <c r="S83" s="100" t="s">
        <v>35</v>
      </c>
      <c r="T83" s="100" t="s">
        <v>80</v>
      </c>
    </row>
    <row r="84" spans="3:20" ht="15" customHeight="1">
      <c r="C84" s="100" t="s">
        <v>0</v>
      </c>
      <c r="D84" s="100" t="s">
        <v>120</v>
      </c>
      <c r="F84" s="100" t="s">
        <v>243</v>
      </c>
      <c r="G84" s="110"/>
      <c r="H84" s="107" t="s">
        <v>120</v>
      </c>
      <c r="I84" s="107" t="s">
        <v>0</v>
      </c>
      <c r="J84" s="125" t="s">
        <v>219</v>
      </c>
      <c r="K84" s="110"/>
      <c r="L84" s="110"/>
      <c r="M84" s="110"/>
      <c r="N84" s="110"/>
      <c r="P84" s="100">
        <f>0.25*(P82-P75)+0.5*(P82-P74)</f>
        <v>3300</v>
      </c>
      <c r="Q84" s="100" t="s">
        <v>44</v>
      </c>
      <c r="R84" s="100">
        <f>0.25*(R82-R75)+0.5*(R82-R74)</f>
        <v>0.05999999999999997</v>
      </c>
      <c r="S84" s="100" t="s">
        <v>36</v>
      </c>
      <c r="T84" s="100" t="s">
        <v>80</v>
      </c>
    </row>
    <row r="85" spans="3:20" ht="15" customHeight="1">
      <c r="C85" s="100" t="s">
        <v>93</v>
      </c>
      <c r="D85" s="100" t="s">
        <v>248</v>
      </c>
      <c r="F85" s="100" t="s">
        <v>169</v>
      </c>
      <c r="G85" s="110"/>
      <c r="H85" s="107" t="s">
        <v>193</v>
      </c>
      <c r="I85" s="107" t="s">
        <v>0</v>
      </c>
      <c r="J85" s="125" t="s">
        <v>203</v>
      </c>
      <c r="K85" s="110" t="s">
        <v>2</v>
      </c>
      <c r="L85" s="110"/>
      <c r="M85" s="110"/>
      <c r="N85" s="110"/>
      <c r="P85" s="113">
        <f>P83^2</f>
        <v>10890000</v>
      </c>
      <c r="Q85" s="100" t="s">
        <v>52</v>
      </c>
      <c r="R85" s="100">
        <f>R83^2</f>
        <v>0.003600000000000003</v>
      </c>
      <c r="S85" s="100" t="s">
        <v>46</v>
      </c>
      <c r="T85" s="100" t="s">
        <v>80</v>
      </c>
    </row>
    <row r="86" spans="7:20" ht="15" customHeight="1">
      <c r="G86" s="110"/>
      <c r="H86" s="110"/>
      <c r="I86" s="110"/>
      <c r="J86" s="110"/>
      <c r="K86" s="110"/>
      <c r="L86" s="110"/>
      <c r="M86" s="110"/>
      <c r="N86" s="110"/>
      <c r="P86" s="113">
        <f>P84^2</f>
        <v>10890000</v>
      </c>
      <c r="Q86" s="100" t="s">
        <v>53</v>
      </c>
      <c r="R86" s="100">
        <f>R84^2</f>
        <v>0.0035999999999999964</v>
      </c>
      <c r="S86" s="100" t="s">
        <v>47</v>
      </c>
      <c r="T86" s="100" t="s">
        <v>80</v>
      </c>
    </row>
    <row r="87" spans="3:20" ht="15" customHeight="1" thickBot="1">
      <c r="C87" s="113">
        <f>I19</f>
        <v>1</v>
      </c>
      <c r="D87" s="113">
        <f>MEDY</f>
        <v>33000</v>
      </c>
      <c r="F87" s="113">
        <f>G50</f>
        <v>22110</v>
      </c>
      <c r="G87" s="110"/>
      <c r="H87" s="107">
        <f>MEDP</f>
        <v>0.6</v>
      </c>
      <c r="I87" s="110"/>
      <c r="J87" s="158">
        <f>F87*R82</f>
        <v>13266</v>
      </c>
      <c r="K87" s="110"/>
      <c r="L87" s="110"/>
      <c r="M87" s="110"/>
      <c r="N87" s="110"/>
      <c r="P87" s="100" t="s">
        <v>1</v>
      </c>
      <c r="T87" s="100" t="s">
        <v>80</v>
      </c>
    </row>
    <row r="88" spans="7:20" ht="15" customHeight="1" thickTop="1">
      <c r="G88" s="110"/>
      <c r="H88" s="110"/>
      <c r="I88" s="110"/>
      <c r="J88" s="110"/>
      <c r="K88" s="110"/>
      <c r="L88" s="110"/>
      <c r="M88" s="110"/>
      <c r="N88" s="110"/>
      <c r="P88" s="113">
        <f>(P82^2*R85)+(R82-P76)^2*P85</f>
        <v>5962155.210000003</v>
      </c>
      <c r="Q88" s="113" t="s">
        <v>48</v>
      </c>
      <c r="R88" s="113">
        <f>(P82^2*R86)+(R82-P76)^2*P86</f>
        <v>5962155.209999996</v>
      </c>
      <c r="S88" s="100" t="s">
        <v>51</v>
      </c>
      <c r="T88" s="100" t="s">
        <v>80</v>
      </c>
    </row>
    <row r="89" spans="7:20" ht="15" customHeight="1">
      <c r="G89" s="110"/>
      <c r="H89" s="110"/>
      <c r="I89" s="110"/>
      <c r="J89" s="110"/>
      <c r="K89" s="110"/>
      <c r="L89" s="110"/>
      <c r="M89" s="110"/>
      <c r="N89" s="110"/>
      <c r="P89" s="113">
        <f>(P82^2*R85)+(R82-P76)^2*P86</f>
        <v>5962155.210000003</v>
      </c>
      <c r="Q89" s="113" t="s">
        <v>49</v>
      </c>
      <c r="R89" s="113">
        <f>P82^2*R86+(R82-P76)^2*P85</f>
        <v>5962155.209999996</v>
      </c>
      <c r="S89" s="100" t="s">
        <v>50</v>
      </c>
      <c r="T89" s="100" t="s">
        <v>80</v>
      </c>
    </row>
    <row r="90" spans="2:21" ht="15" customHeight="1" thickBot="1">
      <c r="B90" s="143"/>
      <c r="C90" s="143"/>
      <c r="D90" s="143"/>
      <c r="E90" s="143"/>
      <c r="F90" s="143"/>
      <c r="G90" s="144"/>
      <c r="H90" s="144"/>
      <c r="I90" s="144"/>
      <c r="J90" s="144"/>
      <c r="K90" s="144"/>
      <c r="L90" s="110"/>
      <c r="M90" s="110"/>
      <c r="N90" s="110"/>
      <c r="P90" s="113">
        <f>SQRT(P88)</f>
        <v>2441.7524874564997</v>
      </c>
      <c r="Q90" s="113" t="s">
        <v>37</v>
      </c>
      <c r="R90" s="113">
        <f>SQRT(R88)</f>
        <v>2441.7524874564983</v>
      </c>
      <c r="S90" s="100" t="s">
        <v>40</v>
      </c>
      <c r="T90" s="100" t="s">
        <v>80</v>
      </c>
      <c r="U90" s="100" t="s">
        <v>0</v>
      </c>
    </row>
    <row r="91" spans="7:20" ht="15" customHeight="1">
      <c r="G91" s="110"/>
      <c r="H91" s="110"/>
      <c r="I91" s="110"/>
      <c r="J91" s="110"/>
      <c r="K91" s="110"/>
      <c r="L91" s="110"/>
      <c r="M91" s="110"/>
      <c r="N91" s="110"/>
      <c r="P91" s="113">
        <f>SQRT(P89)</f>
        <v>2441.7524874564997</v>
      </c>
      <c r="Q91" s="113" t="s">
        <v>38</v>
      </c>
      <c r="R91" s="113">
        <f>SQRT(R89)</f>
        <v>2441.7524874564983</v>
      </c>
      <c r="S91" s="100" t="s">
        <v>39</v>
      </c>
      <c r="T91" s="100" t="s">
        <v>80</v>
      </c>
    </row>
    <row r="92" spans="7:46" ht="15" customHeight="1">
      <c r="G92" s="110"/>
      <c r="H92" s="110"/>
      <c r="I92" s="110"/>
      <c r="J92" s="110"/>
      <c r="K92" s="110"/>
      <c r="L92" s="110"/>
      <c r="M92" s="110"/>
      <c r="N92" s="110"/>
      <c r="P92" s="113">
        <f>0.66*P90+0.17*P91+0.17*R91</f>
        <v>2441.7524874564997</v>
      </c>
      <c r="Q92" s="113" t="s">
        <v>41</v>
      </c>
      <c r="R92" s="113">
        <f>0.66*R90+0.17*P91+0.17*R91</f>
        <v>2441.752487456499</v>
      </c>
      <c r="S92" s="100" t="s">
        <v>42</v>
      </c>
      <c r="T92" s="100" t="s">
        <v>80</v>
      </c>
      <c r="AT92" s="100" t="s">
        <v>205</v>
      </c>
    </row>
    <row r="93" spans="1:20" ht="15" customHeight="1">
      <c r="A93" s="196" t="s">
        <v>4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19"/>
      <c r="M93" s="119"/>
      <c r="N93" s="119"/>
      <c r="P93" s="100" t="s">
        <v>1</v>
      </c>
      <c r="T93" s="100" t="s">
        <v>80</v>
      </c>
    </row>
    <row r="94" spans="7:20" ht="15" customHeight="1">
      <c r="G94" s="110"/>
      <c r="H94" s="110"/>
      <c r="I94" s="110"/>
      <c r="J94" s="110"/>
      <c r="K94" s="110"/>
      <c r="L94" s="110"/>
      <c r="M94" s="110"/>
      <c r="N94" s="110"/>
      <c r="P94" s="100" t="s">
        <v>105</v>
      </c>
      <c r="T94" s="100" t="s">
        <v>80</v>
      </c>
    </row>
    <row r="95" spans="3:20" ht="15" customHeight="1">
      <c r="C95" s="126"/>
      <c r="D95" s="148" t="s">
        <v>172</v>
      </c>
      <c r="E95" s="149"/>
      <c r="F95" s="149"/>
      <c r="G95" s="149"/>
      <c r="H95" s="150"/>
      <c r="I95" s="151"/>
      <c r="J95" s="110"/>
      <c r="K95" s="110"/>
      <c r="L95" s="110"/>
      <c r="M95" s="110"/>
      <c r="N95" s="110"/>
      <c r="P95" s="100" t="s">
        <v>1</v>
      </c>
      <c r="T95" s="100" t="s">
        <v>80</v>
      </c>
    </row>
    <row r="96" spans="3:20" ht="15" customHeight="1">
      <c r="C96" s="126"/>
      <c r="D96" s="152" t="s">
        <v>213</v>
      </c>
      <c r="E96" s="126"/>
      <c r="F96" s="126"/>
      <c r="G96" s="126"/>
      <c r="H96" s="110"/>
      <c r="I96" s="153"/>
      <c r="J96" s="110"/>
      <c r="K96" s="110"/>
      <c r="L96" s="110"/>
      <c r="M96" s="110"/>
      <c r="N96" s="110"/>
      <c r="P96" s="113">
        <f>P90*P69</f>
        <v>2441.7524874564997</v>
      </c>
      <c r="Q96" s="100" t="s">
        <v>37</v>
      </c>
      <c r="R96" s="113">
        <f>R90*P69</f>
        <v>2441.7524874564983</v>
      </c>
      <c r="S96" s="100" t="s">
        <v>40</v>
      </c>
      <c r="T96" s="100" t="s">
        <v>80</v>
      </c>
    </row>
    <row r="97" spans="3:20" ht="15" customHeight="1">
      <c r="C97" s="126"/>
      <c r="D97" s="154" t="s">
        <v>212</v>
      </c>
      <c r="E97" s="155"/>
      <c r="F97" s="155"/>
      <c r="G97" s="155"/>
      <c r="H97" s="156"/>
      <c r="I97" s="157"/>
      <c r="J97" s="110"/>
      <c r="K97" s="110"/>
      <c r="L97" s="110"/>
      <c r="M97" s="110"/>
      <c r="N97" s="110"/>
      <c r="P97" s="113">
        <f>P91*P69</f>
        <v>2441.7524874564997</v>
      </c>
      <c r="Q97" s="100" t="s">
        <v>38</v>
      </c>
      <c r="R97" s="113">
        <f>R91*P69</f>
        <v>2441.7524874564983</v>
      </c>
      <c r="S97" s="100" t="s">
        <v>39</v>
      </c>
      <c r="T97" s="100" t="s">
        <v>80</v>
      </c>
    </row>
    <row r="98" spans="7:20" ht="15" customHeight="1">
      <c r="G98" s="110"/>
      <c r="H98" s="110"/>
      <c r="I98" s="110"/>
      <c r="J98" s="110"/>
      <c r="K98" s="110" t="s">
        <v>0</v>
      </c>
      <c r="L98" s="110"/>
      <c r="M98" s="110"/>
      <c r="N98" s="110"/>
      <c r="P98" s="113">
        <f>P69*P92</f>
        <v>2441.7524874564997</v>
      </c>
      <c r="Q98" s="100" t="s">
        <v>41</v>
      </c>
      <c r="R98" s="113">
        <f>P69*R92</f>
        <v>2441.752487456499</v>
      </c>
      <c r="S98" s="100" t="s">
        <v>42</v>
      </c>
      <c r="T98" s="100" t="s">
        <v>80</v>
      </c>
    </row>
    <row r="99" spans="4:20" ht="15" customHeight="1">
      <c r="D99" s="119" t="s">
        <v>102</v>
      </c>
      <c r="E99" s="119" t="s">
        <v>335</v>
      </c>
      <c r="F99" s="119" t="s">
        <v>177</v>
      </c>
      <c r="G99" s="119" t="s">
        <v>19</v>
      </c>
      <c r="H99" s="119" t="s">
        <v>184</v>
      </c>
      <c r="I99" s="127" t="s">
        <v>336</v>
      </c>
      <c r="J99" s="119" t="s">
        <v>245</v>
      </c>
      <c r="K99" s="110"/>
      <c r="L99" s="110"/>
      <c r="M99" s="110"/>
      <c r="N99" s="110"/>
      <c r="P99" s="98">
        <f>R73</f>
        <v>0.6</v>
      </c>
      <c r="Q99" s="100" t="s">
        <v>24</v>
      </c>
      <c r="R99" s="100">
        <f>P73</f>
        <v>33000</v>
      </c>
      <c r="S99" s="100" t="s">
        <v>27</v>
      </c>
      <c r="T99" s="100" t="s">
        <v>80</v>
      </c>
    </row>
    <row r="100" spans="4:20" ht="15" customHeight="1">
      <c r="D100" s="110"/>
      <c r="J100" s="110"/>
      <c r="K100" s="110"/>
      <c r="L100" s="110"/>
      <c r="M100" s="110"/>
      <c r="N100" s="110"/>
      <c r="P100" s="113">
        <f>I19*P82*R82</f>
        <v>19800</v>
      </c>
      <c r="Q100" s="100" t="s">
        <v>16</v>
      </c>
      <c r="R100" s="113">
        <f>(P77+P73*P76)*P69</f>
        <v>20287.494150038125</v>
      </c>
      <c r="S100" s="100" t="s">
        <v>25</v>
      </c>
      <c r="T100" s="100" t="s">
        <v>80</v>
      </c>
    </row>
    <row r="101" spans="2:20" ht="15" customHeight="1">
      <c r="B101" s="100" t="s">
        <v>78</v>
      </c>
      <c r="D101" s="125">
        <f>R$101+1.5*P$98</f>
        <v>3175.134581146625</v>
      </c>
      <c r="E101" s="125">
        <f>(R101+P98)</f>
        <v>1954.258337418375</v>
      </c>
      <c r="F101" s="125">
        <f>R101+0.5*P98</f>
        <v>733.3820936901252</v>
      </c>
      <c r="G101" s="169">
        <f>R101</f>
        <v>-487.49415003812464</v>
      </c>
      <c r="H101" s="166">
        <f>R101-0.5*R98</f>
        <v>-1708.370393766374</v>
      </c>
      <c r="I101" s="166">
        <f>R101-R98</f>
        <v>-2929.2466374946234</v>
      </c>
      <c r="J101" s="166">
        <f>R101-1.5*R98</f>
        <v>-4150.122881222873</v>
      </c>
      <c r="K101" s="110"/>
      <c r="L101" s="110"/>
      <c r="M101" s="110"/>
      <c r="N101" s="110"/>
      <c r="P101" s="113">
        <f>P100+(0.7857*(R98-P98))</f>
        <v>19800</v>
      </c>
      <c r="Q101" s="100" t="s">
        <v>26</v>
      </c>
      <c r="R101" s="113">
        <f>P100-R100</f>
        <v>-487.49415003812464</v>
      </c>
      <c r="S101" s="100" t="s">
        <v>14</v>
      </c>
      <c r="T101" s="100" t="s">
        <v>80</v>
      </c>
    </row>
    <row r="102" spans="2:20" ht="15" customHeight="1">
      <c r="B102" s="100" t="s">
        <v>107</v>
      </c>
      <c r="D102" s="129">
        <f>IF(Q105&lt;1,IF(P105,U105,1-U105),IF(P105,U106,1-U106))</f>
        <v>0.0668072793758486</v>
      </c>
      <c r="E102" s="129">
        <f>IF(W105&lt;1,IF(V105,AA105,1-AA105),IF(V105,AA106,1-AA106))</f>
        <v>0.15865531316113046</v>
      </c>
      <c r="F102" s="129">
        <f>IF(AC105&lt;1,IF(AB105,AG105,1-AG105),IF(AB105,AG106,1-AG106))</f>
        <v>0.30853755861792775</v>
      </c>
      <c r="G102" s="129">
        <f>IF(Q107&lt;1,IF(P107,U107,1-U107),IF(P107,U108,1-U108))</f>
        <v>0.5000000002253843</v>
      </c>
      <c r="H102" s="130">
        <f>IF(W107&lt;1,IF(V107,AA107,1-AA107),IF(V107,AA108,1-AA108))</f>
        <v>0.6914624413820722</v>
      </c>
      <c r="I102" s="130">
        <f>IF(AC107&lt;1,IF(AB107,AG107,1-AG107),IF(AB107,AG108,1-AG108))</f>
        <v>0.8413446868388694</v>
      </c>
      <c r="J102" s="131">
        <f>IF(Q109&lt;1,IF(P109,U109,1-U109),IF(P109,U110,1-U110))</f>
        <v>0.9331927206241514</v>
      </c>
      <c r="K102" s="110" t="s">
        <v>0</v>
      </c>
      <c r="L102" s="110"/>
      <c r="M102" s="110"/>
      <c r="N102" s="110"/>
      <c r="P102" s="113">
        <f>P101-R100</f>
        <v>-487.49415003812464</v>
      </c>
      <c r="Q102" s="100" t="s">
        <v>23</v>
      </c>
      <c r="R102" s="100">
        <f>R101-P102</f>
        <v>0</v>
      </c>
      <c r="S102" s="100" t="s">
        <v>15</v>
      </c>
      <c r="T102" s="100" t="s">
        <v>80</v>
      </c>
    </row>
    <row r="103" spans="2:20" ht="15" customHeight="1">
      <c r="B103" s="100" t="s">
        <v>107</v>
      </c>
      <c r="D103" s="132">
        <f>IF(Q105&lt;1,IF(P105,1-U105,U105),IF(P105,1-U106,U106))</f>
        <v>0.9331927206241514</v>
      </c>
      <c r="E103" s="132">
        <f>IF(W105&lt;1,IF(V105,1-AA105,AA105),IF(V105,1-AA106,AA106))</f>
        <v>0.8413446868388695</v>
      </c>
      <c r="F103" s="132">
        <f>IF(AC105&lt;1,IF(AB105,1-AG105,AG105),IF(AB105,1-AG106,AG106))</f>
        <v>0.6914624413820722</v>
      </c>
      <c r="G103" s="129">
        <f>IF(Q107&lt;1,IF(P107,1-U107,U107),IF(P107,1-U108,U108))</f>
        <v>0.49999999977461573</v>
      </c>
      <c r="H103" s="129">
        <f>IF(W107&lt;1,IF(V107,1-AA107,AA107),IF(V107,1-AA108,AA108))</f>
        <v>0.30853755861792775</v>
      </c>
      <c r="I103" s="129">
        <f>IF(AC107&lt;1,IF(AB107,1-AG107,AG107),IF(AB107,1-AG108,AG108))</f>
        <v>0.15865531316113052</v>
      </c>
      <c r="J103" s="129">
        <f>IF(Q109&lt;1,IF(P109,1-U109,U109),IF(P109,1-U110,U110))</f>
        <v>0.0668072793758486</v>
      </c>
      <c r="K103" s="110"/>
      <c r="L103" s="110"/>
      <c r="M103" s="110"/>
      <c r="N103" s="110"/>
      <c r="P103" s="100" t="s">
        <v>1</v>
      </c>
      <c r="T103" s="100" t="s">
        <v>80</v>
      </c>
    </row>
    <row r="104" spans="4:14" ht="15" customHeight="1"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</row>
    <row r="105" spans="2:33" ht="15" customHeight="1" thickBot="1">
      <c r="B105" s="118" t="s">
        <v>334</v>
      </c>
      <c r="D105" s="110"/>
      <c r="E105" s="164">
        <f>IF(W109&lt;1,IF(V109,AA109,1-AA109),IF(V109,AA110,1-AA110))</f>
        <v>0.42087746569983325</v>
      </c>
      <c r="F105" s="115" t="s">
        <v>333</v>
      </c>
      <c r="G105" s="110"/>
      <c r="H105" s="110"/>
      <c r="I105" s="110"/>
      <c r="J105" s="159">
        <f>P69*(G24*G25-I66)</f>
        <v>1331.1358499618727</v>
      </c>
      <c r="K105" s="110"/>
      <c r="L105" s="110"/>
      <c r="M105" s="110"/>
      <c r="N105" s="110"/>
      <c r="P105" s="98" t="b">
        <f>+D101&gt;=P102</f>
        <v>1</v>
      </c>
      <c r="Q105" s="98">
        <f>ABS((D101-R101)/IF(P105,P98,R98))</f>
        <v>1.5</v>
      </c>
      <c r="R105" s="98">
        <f>MIN(2.5,ABS((D101-(P102+R102*ABS(D101-P102)/ABS(IF(P105,P98+R102,R98-R102))*MIN(1,Q105)))/(MIN(1.52,Q105)/1.52*IF(P105,P96,R96)+(1.52-MIN(1.52,Q105))/3.04*P97+(1.52-MIN(1.52,Q105))/3.04*R97)))</f>
        <v>1.5</v>
      </c>
      <c r="S105" s="98">
        <f aca="true" t="shared" si="2" ref="S105:S110">1/(1+(0.2316419*R105))</f>
        <v>0.7421354881880418</v>
      </c>
      <c r="T105" s="98">
        <f aca="true" t="shared" si="3" ref="T105:T110">0.398942281*((2.71828)^((-(R105^2)/2)))</f>
        <v>0.12951769387066342</v>
      </c>
      <c r="U105" s="98">
        <f aca="true" t="shared" si="4" ref="U105:U110">T105*(0.31938153*S105-0.356563782*S105^2+1.781477937*S105^3-1.821255978*S105^4+1.330274429*S105^5)</f>
        <v>0.0668072793758486</v>
      </c>
      <c r="V105" s="98" t="b">
        <f>+E101&gt;=P102</f>
        <v>1</v>
      </c>
      <c r="W105" s="98">
        <f>ABS((E101-R101)/IF(V105,P98,R98))</f>
        <v>1</v>
      </c>
      <c r="X105" s="98">
        <f>MIN(2.5,ABS((E101-(P102+R102*ABS(E101-P102)/ABS(IF(V105,P98+R102,R98-R102))*MIN(1,W105)))/(MIN(1.52,W105)/1.52*IF(V105,P96,R96)+(1.52-MIN(1.52,W105))/3.04*P97+(1.52-MIN(1.52,W105))/3.04*R97)))</f>
        <v>1.0000000000000002</v>
      </c>
      <c r="Y105" s="98">
        <f aca="true" t="shared" si="5" ref="Y105:Y110">1/(1+(0.2316419*X105))</f>
        <v>0.8119243101424204</v>
      </c>
      <c r="Z105" s="98">
        <f aca="true" t="shared" si="6" ref="Z105:Z110">0.398942281*((2.71828)^((-(X105^2)/2)))</f>
        <v>0.24197080626333928</v>
      </c>
      <c r="AA105" s="98">
        <f aca="true" t="shared" si="7" ref="AA105:AA110">Z105*(0.31938153*Y105-0.356563782*Y105^2+1.781477937*Y105^3-1.821255978*Y105^4+1.330274429*Y105^5)</f>
        <v>0.15865531316113046</v>
      </c>
      <c r="AB105" s="98" t="b">
        <f>+F101&gt;=P102</f>
        <v>1</v>
      </c>
      <c r="AC105" s="98">
        <f>ABS((F101-R101)/IF(AB105,P98,R98))</f>
        <v>0.5</v>
      </c>
      <c r="AD105" s="98">
        <f>MIN(2.5,ABS((F101-(P102+R102*ABS(F101-P102)/ABS(IF(AB105,P98+R102,R98-R102))*MIN(1,AC105)))/(MIN(1.52,AC105)/1.52*IF(AB105,P96,R96)+(1.52-MIN(1.52,AC105))/3.04*P97+(1.52-MIN(1.52,AC105))/3.04*R97)))</f>
        <v>0.5000000000000001</v>
      </c>
      <c r="AE105" s="98">
        <f>1/(1+(0.2316419*AD105))</f>
        <v>0.8962011333449152</v>
      </c>
      <c r="AF105" s="98">
        <f>0.398942281*((2.71828)^((-(AD105^2)/2)))</f>
        <v>0.35206535689474694</v>
      </c>
      <c r="AG105" s="98">
        <f>AF105*(0.31938153*AE105-0.356563782*AE105^2+1.781477937*AE105^3-1.821255978*AE105^4+1.330274429*AE105^5)</f>
        <v>0.30853755861792775</v>
      </c>
    </row>
    <row r="106" spans="7:33" ht="15" customHeight="1" thickTop="1">
      <c r="G106" s="110"/>
      <c r="H106" s="110"/>
      <c r="I106" s="110"/>
      <c r="J106" s="110"/>
      <c r="K106" s="110"/>
      <c r="L106" s="110"/>
      <c r="M106" s="110"/>
      <c r="N106" s="110"/>
      <c r="R106" s="98">
        <f>MIN(2.5,ABS((D101-R101)/(MIN(1.52,Q105)/1.52*IF(P105,P96,R96)+(1.52-MIN(1.52,Q105))/3.04*P97+(1.52-MIN(1.52,Q105))/3.04*R97)))</f>
        <v>1.5</v>
      </c>
      <c r="S106" s="98">
        <f t="shared" si="2"/>
        <v>0.7421354881880418</v>
      </c>
      <c r="T106" s="98">
        <f t="shared" si="3"/>
        <v>0.12951769387066342</v>
      </c>
      <c r="U106" s="98">
        <f t="shared" si="4"/>
        <v>0.0668072793758486</v>
      </c>
      <c r="X106" s="98">
        <f>MIN(2.5,ABS((E101-R101)/(MIN(1.52,W105)/1.52*IF(V105,P96,R96)+(1.52-MIN(1.52,W105))/3.04*P97+(1.52-MIN(1.52,W105))/3.04*R97)))</f>
        <v>1.0000000000000002</v>
      </c>
      <c r="Y106" s="98">
        <f t="shared" si="5"/>
        <v>0.8119243101424204</v>
      </c>
      <c r="Z106" s="98">
        <f t="shared" si="6"/>
        <v>0.24197080626333928</v>
      </c>
      <c r="AA106" s="98">
        <f t="shared" si="7"/>
        <v>0.15865531316113046</v>
      </c>
      <c r="AD106" s="98">
        <f>MIN(2.5,ABS((F101-R101)/(MIN(1.52,AC105)/1.52*IF(AB105,P96,R96)+(1.52-MIN(1.52,AC105))/3.04*P97+(1.52-MIN(1.52,AC105))/3.04*R97)))</f>
        <v>0.5000000000000001</v>
      </c>
      <c r="AE106" s="98">
        <f>1/(1+(0.2316419*AD106))</f>
        <v>0.8962011333449152</v>
      </c>
      <c r="AF106" s="98">
        <f>0.398942281*((2.71828)^((-(AD106^2)/2)))</f>
        <v>0.35206535689474694</v>
      </c>
      <c r="AG106" s="98">
        <f>AF106*(0.31938153*AE106-0.356563782*AE106^2+1.781477937*AE106^3-1.821255978*AE106^4+1.330274429*AE106^5)</f>
        <v>0.30853755861792775</v>
      </c>
    </row>
    <row r="107" spans="7:33" ht="15" customHeight="1">
      <c r="G107" s="110"/>
      <c r="H107" s="110"/>
      <c r="I107" s="110"/>
      <c r="J107" s="110"/>
      <c r="K107" s="110"/>
      <c r="L107" s="110"/>
      <c r="M107" s="110"/>
      <c r="N107" s="110"/>
      <c r="P107" s="98" t="b">
        <f>+G101&gt;=P102</f>
        <v>1</v>
      </c>
      <c r="Q107" s="98">
        <f>ABS((G101-R101)/IF(P107,P98,R98))</f>
        <v>0</v>
      </c>
      <c r="R107" s="98">
        <f>MIN(2.5,ABS((G101-(P102+R102*ABS(G101-P102)/ABS(IF(P107,P98+R102,R98-R102))*MIN(1,Q107)))/(MIN(1.52,Q107)/1.52*IF(P107,P96,R96)+(1.52-MIN(1.52,Q107))/3.04*P97+(1.52-MIN(1.52,Q107))/3.04*R97)))</f>
        <v>0</v>
      </c>
      <c r="S107" s="98">
        <f t="shared" si="2"/>
        <v>1</v>
      </c>
      <c r="T107" s="98">
        <f t="shared" si="3"/>
        <v>0.398942281</v>
      </c>
      <c r="U107" s="98">
        <f t="shared" si="4"/>
        <v>0.5000000002253843</v>
      </c>
      <c r="V107" s="98" t="b">
        <f>+H101&gt;=P102</f>
        <v>0</v>
      </c>
      <c r="W107" s="98">
        <f>ABS((H101-R101)/IF(V107,P98,R98))</f>
        <v>0.5</v>
      </c>
      <c r="X107" s="98">
        <f>MIN(2.5,ABS((H101-(P102+R102*ABS(H101-P102)/ABS(IF(V107,P98+R102,R98-R102))*MIN(1,W107)))/(MIN(1.52,W107)/1.52*IF(V107,P96,R96)+(1.52-MIN(1.52,W107))/3.04*P97+(1.52-MIN(1.52,W107))/3.04*R97)))</f>
        <v>0.5</v>
      </c>
      <c r="Y107" s="98">
        <f t="shared" si="5"/>
        <v>0.8962011333449152</v>
      </c>
      <c r="Z107" s="98">
        <f t="shared" si="6"/>
        <v>0.35206535689474694</v>
      </c>
      <c r="AA107" s="98">
        <f t="shared" si="7"/>
        <v>0.30853755861792775</v>
      </c>
      <c r="AB107" s="98" t="b">
        <f>+I101&gt;=P102</f>
        <v>0</v>
      </c>
      <c r="AC107" s="98">
        <f>ABS((I101-R101)/IF(AB107,P98,R98))</f>
        <v>1</v>
      </c>
      <c r="AD107" s="98">
        <f>MIN(2.5,ABS((I101-(P102+R102*ABS(I101-P102)/ABS(IF(AB107,P98+R102,R98-R102))*MIN(1,AC107)))/(MIN(1.52,AC107)/1.52*IF(AB107,P96,R96)+(1.52-MIN(1.52,AC107))/3.04*P97+(1.52-MIN(1.52,AC107))/3.04*R97)))</f>
        <v>1</v>
      </c>
      <c r="AE107" s="98">
        <f>1/(1+(0.2316419*AD107))</f>
        <v>0.8119243101424204</v>
      </c>
      <c r="AF107" s="98">
        <f>0.398942281*((2.71828)^((-(AD107^2)/2)))</f>
        <v>0.24197080626333936</v>
      </c>
      <c r="AG107" s="98">
        <f>AF107*(0.31938153*AE107-0.356563782*AE107^2+1.781477937*AE107^3-1.821255978*AE107^4+1.330274429*AE107^5)</f>
        <v>0.15865531316113052</v>
      </c>
    </row>
    <row r="108" spans="1:33" ht="15" customHeight="1">
      <c r="A108" s="196" t="s">
        <v>306</v>
      </c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R108" s="98">
        <f>MIN(2.5,ABS((G101-R101)/(MIN(1.52,Q107)/1.52*IF(P107,P96,R96)+(1.52-MIN(1.52,Q107))/3.04*P97+(1.52-MIN(1.52,Q107))/3.04*R97)))</f>
        <v>0</v>
      </c>
      <c r="S108" s="98">
        <f t="shared" si="2"/>
        <v>1</v>
      </c>
      <c r="T108" s="98">
        <f t="shared" si="3"/>
        <v>0.398942281</v>
      </c>
      <c r="U108" s="98">
        <f t="shared" si="4"/>
        <v>0.5000000002253843</v>
      </c>
      <c r="X108" s="98">
        <f>MIN(2.5,ABS((H101-R101)/(MIN(1.52,W107)/1.52*IF(V107,P96,R96)+(1.52-MIN(1.52,W107))/3.04*P97+(1.52-MIN(1.52,W107))/3.04*R97)))</f>
        <v>0.5</v>
      </c>
      <c r="Y108" s="98">
        <f t="shared" si="5"/>
        <v>0.8962011333449152</v>
      </c>
      <c r="Z108" s="98">
        <f t="shared" si="6"/>
        <v>0.35206535689474694</v>
      </c>
      <c r="AA108" s="98">
        <f t="shared" si="7"/>
        <v>0.30853755861792775</v>
      </c>
      <c r="AD108" s="98">
        <f>MIN(2.5,ABS((I101-R101)/(MIN(1.52,AC107)/1.52*IF(AB107,P96,R96)+(1.52-MIN(1.52,AC107))/3.04*P97+(1.52-MIN(1.52,AC107))/3.04*R97)))</f>
        <v>1</v>
      </c>
      <c r="AE108" s="98">
        <f>1/(1+(0.2316419*AD108))</f>
        <v>0.8119243101424204</v>
      </c>
      <c r="AF108" s="98">
        <f>0.398942281*((2.71828)^((-(AD108^2)/2)))</f>
        <v>0.24197080626333936</v>
      </c>
      <c r="AG108" s="98">
        <f>AF108*(0.31938153*AE108-0.356563782*AE108^2+1.781477937*AE108^3-1.821255978*AE108^4+1.330274429*AE108^5)</f>
        <v>0.15865531316113052</v>
      </c>
    </row>
    <row r="109" spans="16:27" ht="12.75">
      <c r="P109" s="98" t="b">
        <f>+J101&gt;=P102</f>
        <v>0</v>
      </c>
      <c r="Q109" s="98">
        <f>ABS((J101-R101)/IF(P109,P98,R98))</f>
        <v>1.5</v>
      </c>
      <c r="R109" s="98">
        <f>MIN(2.5,ABS((J101-(P102+R102*ABS(J101-P102)/ABS(IF(P109,P98+R102,R98-R102))*MIN(1,Q109)))/(MIN(1.52,Q109)/1.52*IF(P109,P96,R96)+(1.52-MIN(1.52,Q109))/3.04*P97+(1.52-MIN(1.52,Q109))/3.04*R97)))</f>
        <v>1.5</v>
      </c>
      <c r="S109" s="98">
        <f t="shared" si="2"/>
        <v>0.7421354881880418</v>
      </c>
      <c r="T109" s="98">
        <f t="shared" si="3"/>
        <v>0.12951769387066342</v>
      </c>
      <c r="U109" s="98">
        <f t="shared" si="4"/>
        <v>0.0668072793758486</v>
      </c>
      <c r="V109" s="98" t="b">
        <f>0&gt;=P102</f>
        <v>1</v>
      </c>
      <c r="W109" s="98">
        <f>ABS((0-R101)/IF(V109,P98,R98))</f>
        <v>0.199649289820498</v>
      </c>
      <c r="X109" s="98">
        <f>MIN(2.5,ABS((0-(P102+R102*ABS(0-P102)/ABS(IF(V109,P98+R102,R98-R102))*MIN(1,W109)))/(MIN(1.52,W109)/1.52*IF(V109,P96,R96)+(1.52-MIN(1.52,W109))/3.04*P97+(1.52-MIN(1.52,W109))/3.04*R97)))</f>
        <v>0.19964928982049804</v>
      </c>
      <c r="Y109" s="98">
        <f t="shared" si="5"/>
        <v>0.9557971161659898</v>
      </c>
      <c r="Z109" s="98">
        <f t="shared" si="6"/>
        <v>0.39107010524716423</v>
      </c>
      <c r="AA109" s="98">
        <f t="shared" si="7"/>
        <v>0.42087746569983325</v>
      </c>
    </row>
    <row r="110" spans="2:27" ht="12.75">
      <c r="B110" s="119"/>
      <c r="C110" s="119" t="s">
        <v>102</v>
      </c>
      <c r="D110" s="119" t="s">
        <v>304</v>
      </c>
      <c r="E110" s="119" t="s">
        <v>177</v>
      </c>
      <c r="F110" s="119" t="s">
        <v>119</v>
      </c>
      <c r="G110" s="119" t="s">
        <v>184</v>
      </c>
      <c r="H110" s="119" t="s">
        <v>184</v>
      </c>
      <c r="I110" s="119" t="s">
        <v>245</v>
      </c>
      <c r="J110" s="119" t="s">
        <v>342</v>
      </c>
      <c r="K110" s="118" t="s">
        <v>107</v>
      </c>
      <c r="L110" s="118"/>
      <c r="M110" s="118"/>
      <c r="N110" s="118"/>
      <c r="R110" s="98">
        <f>MIN(2.5,ABS((J101-R101)/(MIN(1.52,Q109)/1.52*IF(P109,P96,R96)+(1.52-MIN(1.52,Q109))/3.04*P97+(1.52-MIN(1.52,Q109))/3.04*R97)))</f>
        <v>1.5</v>
      </c>
      <c r="S110" s="98">
        <f t="shared" si="2"/>
        <v>0.7421354881880418</v>
      </c>
      <c r="T110" s="98">
        <f t="shared" si="3"/>
        <v>0.12951769387066342</v>
      </c>
      <c r="U110" s="98">
        <f t="shared" si="4"/>
        <v>0.0668072793758486</v>
      </c>
      <c r="X110" s="98">
        <f>MIN(2.5,ABS((0-R101)/(MIN(1.52,W109)/1.52*IF(V109,P96,R96)+(1.52-MIN(1.52,W109))/3.04*P97+(1.52-MIN(1.52,W109))/3.04*R97)))</f>
        <v>0.19964928982049804</v>
      </c>
      <c r="Y110" s="98">
        <f t="shared" si="5"/>
        <v>0.9557971161659898</v>
      </c>
      <c r="Z110" s="98">
        <f t="shared" si="6"/>
        <v>0.39107010524716423</v>
      </c>
      <c r="AA110" s="98">
        <f t="shared" si="7"/>
        <v>0.42087746569983325</v>
      </c>
    </row>
    <row r="111" spans="2:14" ht="12.75">
      <c r="B111" s="119" t="s">
        <v>344</v>
      </c>
      <c r="C111" s="119" t="s">
        <v>65</v>
      </c>
      <c r="D111" s="119" t="s">
        <v>65</v>
      </c>
      <c r="E111" s="119" t="s">
        <v>65</v>
      </c>
      <c r="F111" s="119">
        <f>MEDY*0.67</f>
        <v>22110</v>
      </c>
      <c r="G111" s="119" t="s">
        <v>65</v>
      </c>
      <c r="H111" s="119" t="s">
        <v>65</v>
      </c>
      <c r="I111" s="119" t="s">
        <v>65</v>
      </c>
      <c r="J111" s="119" t="s">
        <v>343</v>
      </c>
      <c r="K111" s="118" t="s">
        <v>305</v>
      </c>
      <c r="L111" s="118"/>
      <c r="M111" s="118"/>
      <c r="N111" s="118"/>
    </row>
    <row r="112" spans="2:14" ht="12.75">
      <c r="B112" s="107">
        <v>0.48</v>
      </c>
      <c r="C112" s="166">
        <v>-1098</v>
      </c>
      <c r="D112" s="166">
        <v>-2214</v>
      </c>
      <c r="E112" s="166">
        <v>-3331</v>
      </c>
      <c r="F112" s="166">
        <v>-4447</v>
      </c>
      <c r="G112" s="166">
        <v>-5564</v>
      </c>
      <c r="H112" s="166">
        <v>-6681</v>
      </c>
      <c r="I112" s="166">
        <v>-7797</v>
      </c>
      <c r="J112" s="166">
        <v>-2629</v>
      </c>
      <c r="K112" s="129">
        <v>0.02</v>
      </c>
      <c r="L112" s="133"/>
      <c r="M112" s="133"/>
      <c r="N112" s="133"/>
    </row>
    <row r="113" spans="2:15" ht="12.75">
      <c r="B113" s="107">
        <v>0.54</v>
      </c>
      <c r="C113" s="128">
        <v>1030</v>
      </c>
      <c r="D113" s="166">
        <v>-136</v>
      </c>
      <c r="E113" s="166">
        <v>-1302</v>
      </c>
      <c r="F113" s="166">
        <v>-2467</v>
      </c>
      <c r="G113" s="166">
        <v>-3633</v>
      </c>
      <c r="H113" s="166">
        <v>-4799</v>
      </c>
      <c r="I113" s="166">
        <v>-5965</v>
      </c>
      <c r="J113" s="166">
        <v>-649</v>
      </c>
      <c r="K113" s="129">
        <v>0.14</v>
      </c>
      <c r="L113" s="133"/>
      <c r="M113" s="133"/>
      <c r="N113" s="133"/>
      <c r="O113" s="100" t="s">
        <v>0</v>
      </c>
    </row>
    <row r="114" spans="2:14" ht="12.75">
      <c r="B114" s="127">
        <v>0.6</v>
      </c>
      <c r="C114" s="179">
        <v>3175</v>
      </c>
      <c r="D114" s="179">
        <v>1954</v>
      </c>
      <c r="E114" s="179">
        <v>733</v>
      </c>
      <c r="F114" s="169">
        <v>-487</v>
      </c>
      <c r="G114" s="169">
        <v>-1708</v>
      </c>
      <c r="H114" s="169">
        <v>-2929</v>
      </c>
      <c r="I114" s="169">
        <v>-4150</v>
      </c>
      <c r="J114" s="179">
        <v>1331</v>
      </c>
      <c r="K114" s="222">
        <v>0.42</v>
      </c>
      <c r="L114" s="134"/>
      <c r="M114" s="134"/>
      <c r="N114" s="134"/>
    </row>
    <row r="115" spans="2:21" ht="12.75">
      <c r="B115" s="107">
        <v>0.66</v>
      </c>
      <c r="C115" s="128">
        <v>5336</v>
      </c>
      <c r="D115" s="125">
        <v>4055</v>
      </c>
      <c r="E115" s="125">
        <v>2774</v>
      </c>
      <c r="F115" s="128">
        <v>1493</v>
      </c>
      <c r="G115" s="128">
        <v>211</v>
      </c>
      <c r="H115" s="166">
        <v>-1070</v>
      </c>
      <c r="I115" s="166">
        <v>-2351</v>
      </c>
      <c r="J115" s="128">
        <v>3311</v>
      </c>
      <c r="K115" s="129">
        <v>0.72</v>
      </c>
      <c r="L115" s="133"/>
      <c r="M115" s="133"/>
      <c r="N115" s="133"/>
      <c r="Q115" s="107"/>
      <c r="R115" s="107"/>
      <c r="S115" s="108"/>
      <c r="T115" s="107"/>
      <c r="U115" s="107"/>
    </row>
    <row r="116" spans="1:14" ht="12.75">
      <c r="A116" s="100" t="s">
        <v>81</v>
      </c>
      <c r="B116" s="107">
        <v>0.72</v>
      </c>
      <c r="C116" s="128">
        <v>7512</v>
      </c>
      <c r="D116" s="125">
        <v>6165</v>
      </c>
      <c r="E116" s="125">
        <v>4819</v>
      </c>
      <c r="F116" s="128">
        <v>3473</v>
      </c>
      <c r="G116" s="125">
        <v>2126</v>
      </c>
      <c r="H116" s="128">
        <v>780</v>
      </c>
      <c r="I116" s="166">
        <v>-567</v>
      </c>
      <c r="J116" s="125">
        <v>5291</v>
      </c>
      <c r="K116" s="129">
        <v>0.9</v>
      </c>
      <c r="L116" s="133"/>
      <c r="M116" s="133"/>
      <c r="N116" s="133"/>
    </row>
    <row r="117" spans="17:23" ht="12.75">
      <c r="Q117" s="107"/>
      <c r="R117" s="107"/>
      <c r="S117" s="127"/>
      <c r="T117" s="107"/>
      <c r="U117" s="107"/>
      <c r="V117" s="111"/>
      <c r="W117" s="111"/>
    </row>
    <row r="118" spans="10:19" ht="12.75">
      <c r="J118" s="107"/>
      <c r="K118" s="107"/>
      <c r="L118" s="107"/>
      <c r="M118" s="107"/>
      <c r="N118" s="107"/>
      <c r="O118" s="127"/>
      <c r="P118" s="107"/>
      <c r="Q118" s="107"/>
      <c r="R118" s="111"/>
      <c r="S118" s="111"/>
    </row>
    <row r="119" spans="2:24" ht="12.75">
      <c r="B119" s="174" t="s">
        <v>329</v>
      </c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R119" s="107"/>
      <c r="S119" s="107"/>
      <c r="T119" s="108"/>
      <c r="U119" s="107"/>
      <c r="V119" s="107"/>
      <c r="W119" s="111"/>
      <c r="X119" s="111"/>
    </row>
    <row r="120" spans="2:14" ht="12.75">
      <c r="B120" s="175" t="s">
        <v>330</v>
      </c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</row>
    <row r="121" spans="2:14" ht="12.75">
      <c r="B121" s="175" t="s">
        <v>331</v>
      </c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</row>
    <row r="122" spans="2:14" ht="12.75">
      <c r="B122" s="175" t="s">
        <v>332</v>
      </c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</row>
    <row r="123" ht="12.75">
      <c r="A123" s="100" t="s">
        <v>2</v>
      </c>
    </row>
    <row r="124" ht="12.75">
      <c r="A124" s="100" t="s">
        <v>2</v>
      </c>
    </row>
    <row r="125" ht="12.75">
      <c r="A125" s="100" t="s">
        <v>2</v>
      </c>
    </row>
    <row r="126" ht="12.75">
      <c r="A126" s="100" t="s">
        <v>2</v>
      </c>
    </row>
    <row r="127" spans="2:10" ht="12.75">
      <c r="B127" s="135"/>
      <c r="C127" s="135"/>
      <c r="D127" s="135"/>
      <c r="E127" s="135"/>
      <c r="F127" s="135"/>
      <c r="G127" s="135"/>
      <c r="H127" s="135"/>
      <c r="I127" s="135"/>
      <c r="J127" s="136"/>
    </row>
    <row r="128" spans="2:10" ht="12.75">
      <c r="B128" s="195"/>
      <c r="C128" s="195"/>
      <c r="D128" s="195"/>
      <c r="E128" s="195"/>
      <c r="F128" s="195"/>
      <c r="G128" s="195"/>
      <c r="H128" s="195"/>
      <c r="I128" s="195"/>
      <c r="J128" s="195"/>
    </row>
    <row r="129" spans="2:10" ht="12.75">
      <c r="B129" s="195"/>
      <c r="C129" s="195"/>
      <c r="D129" s="195"/>
      <c r="E129" s="195"/>
      <c r="F129" s="195"/>
      <c r="G129" s="195"/>
      <c r="H129" s="195"/>
      <c r="I129" s="195"/>
      <c r="J129" s="195"/>
    </row>
    <row r="140" spans="2:9" ht="12.75">
      <c r="B140" s="103"/>
      <c r="C140" s="103"/>
      <c r="D140" s="103"/>
      <c r="E140" s="109"/>
      <c r="F140" s="109"/>
      <c r="G140" s="109"/>
      <c r="H140" s="108"/>
      <c r="I140" s="108"/>
    </row>
    <row r="141" spans="5:9" ht="12.75">
      <c r="E141" s="110"/>
      <c r="F141" s="110"/>
      <c r="G141" s="110"/>
      <c r="H141" s="110"/>
      <c r="I141" s="110"/>
    </row>
    <row r="142" spans="5:9" ht="12.75">
      <c r="E142" s="104"/>
      <c r="F142" s="104"/>
      <c r="G142" s="105"/>
      <c r="H142" s="104"/>
      <c r="I142" s="104"/>
    </row>
    <row r="143" spans="5:9" ht="12.75">
      <c r="E143" s="107"/>
      <c r="F143" s="107"/>
      <c r="G143" s="108"/>
      <c r="H143" s="107"/>
      <c r="I143" s="107"/>
    </row>
  </sheetData>
  <sheetProtection/>
  <mergeCells count="10">
    <mergeCell ref="B2:O2"/>
    <mergeCell ref="B3:O3"/>
    <mergeCell ref="B5:O5"/>
    <mergeCell ref="B128:J128"/>
    <mergeCell ref="B129:J129"/>
    <mergeCell ref="A81:K81"/>
    <mergeCell ref="A93:K93"/>
    <mergeCell ref="A16:K16"/>
    <mergeCell ref="A108:O108"/>
    <mergeCell ref="B8:P8"/>
  </mergeCells>
  <printOptions/>
  <pageMargins left="0.26" right="0.19" top="0.49" bottom="0.49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L56"/>
  <sheetViews>
    <sheetView zoomScalePageLayoutView="0" workbookViewId="0" topLeftCell="A26">
      <selection activeCell="L14" sqref="L14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1:12" ht="21">
      <c r="A2" s="207" t="s">
        <v>353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1">
      <c r="A3" s="198" t="s">
        <v>348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5" spans="2:11" ht="12.75">
      <c r="B5" s="171" t="s">
        <v>329</v>
      </c>
      <c r="C5" s="172"/>
      <c r="D5" s="172"/>
      <c r="E5" s="172"/>
      <c r="F5" s="172"/>
      <c r="G5" s="172"/>
      <c r="H5" s="172"/>
      <c r="I5" s="172"/>
      <c r="J5" s="173"/>
      <c r="K5" s="173"/>
    </row>
    <row r="6" spans="2:11" ht="12.75">
      <c r="B6" s="172" t="s">
        <v>330</v>
      </c>
      <c r="C6" s="172"/>
      <c r="D6" s="172"/>
      <c r="E6" s="172"/>
      <c r="F6" s="172"/>
      <c r="G6" s="172"/>
      <c r="H6" s="172"/>
      <c r="I6" s="172"/>
      <c r="J6" s="173"/>
      <c r="K6" s="173"/>
    </row>
    <row r="7" spans="2:11" ht="12.75">
      <c r="B7" s="172" t="s">
        <v>331</v>
      </c>
      <c r="C7" s="172"/>
      <c r="D7" s="172"/>
      <c r="E7" s="172"/>
      <c r="F7" s="172"/>
      <c r="G7" s="172"/>
      <c r="H7" s="172"/>
      <c r="I7" s="172"/>
      <c r="J7" s="173"/>
      <c r="K7" s="173"/>
    </row>
    <row r="8" spans="2:11" ht="12.75">
      <c r="B8" s="173" t="s">
        <v>349</v>
      </c>
      <c r="C8" s="173"/>
      <c r="D8" s="173"/>
      <c r="E8" s="173"/>
      <c r="F8" s="173"/>
      <c r="G8" s="173"/>
      <c r="H8" s="173"/>
      <c r="I8" s="173"/>
      <c r="J8" s="173"/>
      <c r="K8" s="173"/>
    </row>
    <row r="10" spans="2:4" ht="15">
      <c r="B10" s="89"/>
      <c r="D10" s="59"/>
    </row>
    <row r="12" spans="1:9" ht="15">
      <c r="A12" s="190" t="s">
        <v>269</v>
      </c>
      <c r="B12" s="192"/>
      <c r="C12" s="192"/>
      <c r="D12" s="192"/>
      <c r="E12" s="192"/>
      <c r="F12" s="192"/>
      <c r="G12" s="192"/>
      <c r="H12" s="192"/>
      <c r="I12" s="192"/>
    </row>
    <row r="13" spans="2:8" ht="15">
      <c r="B13" s="199" t="s">
        <v>354</v>
      </c>
      <c r="C13" s="200"/>
      <c r="D13" s="200"/>
      <c r="E13" s="200"/>
      <c r="F13" s="200"/>
      <c r="G13" s="200"/>
      <c r="H13" s="200"/>
    </row>
    <row r="16" spans="2:8" ht="12.75">
      <c r="B16" s="19" t="s">
        <v>157</v>
      </c>
      <c r="C16" s="19"/>
      <c r="D16" s="19"/>
      <c r="E16" s="19" t="s">
        <v>237</v>
      </c>
      <c r="F16" s="19" t="s">
        <v>197</v>
      </c>
      <c r="G16" s="10" t="s">
        <v>193</v>
      </c>
      <c r="H16" s="9" t="s">
        <v>94</v>
      </c>
    </row>
    <row r="18" spans="2:8" ht="12.75">
      <c r="B18" s="36" t="s">
        <v>176</v>
      </c>
      <c r="C18" s="36"/>
      <c r="D18" s="40"/>
      <c r="E18" s="40"/>
      <c r="F18" s="40"/>
      <c r="G18" s="40"/>
      <c r="H18" s="40"/>
    </row>
    <row r="19" spans="2:8" ht="12.75">
      <c r="B19" s="40" t="s">
        <v>258</v>
      </c>
      <c r="C19" s="40"/>
      <c r="D19" s="40"/>
      <c r="E19" s="41" t="s">
        <v>91</v>
      </c>
      <c r="F19" s="42">
        <v>1</v>
      </c>
      <c r="G19" s="42">
        <v>594.83</v>
      </c>
      <c r="H19" s="42">
        <f aca="true" t="shared" si="0" ref="H19:H34">F19*G19</f>
        <v>594.83</v>
      </c>
    </row>
    <row r="20" spans="2:8" ht="12.75">
      <c r="B20" s="40" t="s">
        <v>164</v>
      </c>
      <c r="C20" s="40"/>
      <c r="D20" s="40"/>
      <c r="E20" s="41" t="s">
        <v>217</v>
      </c>
      <c r="F20" s="42">
        <v>1</v>
      </c>
      <c r="G20" s="42">
        <v>60.17</v>
      </c>
      <c r="H20" s="42">
        <f t="shared" si="0"/>
        <v>60.17</v>
      </c>
    </row>
    <row r="21" spans="2:8" ht="12.75">
      <c r="B21" s="40" t="s">
        <v>123</v>
      </c>
      <c r="C21" s="40"/>
      <c r="D21" s="40"/>
      <c r="E21" s="41" t="s">
        <v>91</v>
      </c>
      <c r="F21" s="42">
        <v>730</v>
      </c>
      <c r="G21" s="42">
        <v>0.84</v>
      </c>
      <c r="H21" s="42">
        <f t="shared" si="0"/>
        <v>613.1999999999999</v>
      </c>
    </row>
    <row r="22" spans="2:8" ht="12.75">
      <c r="B22" s="40" t="s">
        <v>284</v>
      </c>
      <c r="C22" s="40"/>
      <c r="D22" s="40"/>
      <c r="E22" s="41" t="s">
        <v>91</v>
      </c>
      <c r="F22" s="42">
        <v>2</v>
      </c>
      <c r="G22" s="42">
        <f>Bud!H32</f>
        <v>38.3</v>
      </c>
      <c r="H22" s="42">
        <f t="shared" si="0"/>
        <v>76.6</v>
      </c>
    </row>
    <row r="23" spans="2:8" ht="12.75">
      <c r="B23" s="40" t="s">
        <v>285</v>
      </c>
      <c r="C23" s="40"/>
      <c r="D23" s="40"/>
      <c r="E23" s="41" t="s">
        <v>91</v>
      </c>
      <c r="F23" s="42">
        <v>2</v>
      </c>
      <c r="G23" s="42">
        <f>Bud!H33</f>
        <v>38.3</v>
      </c>
      <c r="H23" s="42">
        <f t="shared" si="0"/>
        <v>76.6</v>
      </c>
    </row>
    <row r="24" spans="2:8" ht="12.75">
      <c r="B24" s="40" t="s">
        <v>146</v>
      </c>
      <c r="C24" s="40"/>
      <c r="D24" s="40"/>
      <c r="E24" s="41" t="s">
        <v>91</v>
      </c>
      <c r="F24" s="42">
        <v>5</v>
      </c>
      <c r="G24" s="42">
        <f>Bud!H34</f>
        <v>14.79</v>
      </c>
      <c r="H24" s="42">
        <f t="shared" si="0"/>
        <v>73.94999999999999</v>
      </c>
    </row>
    <row r="25" spans="2:8" ht="12.75">
      <c r="B25" s="40" t="s">
        <v>133</v>
      </c>
      <c r="C25" s="40"/>
      <c r="D25" s="40"/>
      <c r="E25" s="41" t="s">
        <v>91</v>
      </c>
      <c r="F25" s="42">
        <v>5</v>
      </c>
      <c r="G25" s="42">
        <f>Bud!H35</f>
        <v>18</v>
      </c>
      <c r="H25" s="42">
        <f t="shared" si="0"/>
        <v>90</v>
      </c>
    </row>
    <row r="26" spans="2:8" ht="12.75">
      <c r="B26" s="40" t="s">
        <v>326</v>
      </c>
      <c r="C26" s="40"/>
      <c r="D26" s="40"/>
      <c r="E26" s="41" t="s">
        <v>233</v>
      </c>
      <c r="F26" s="42">
        <v>145</v>
      </c>
      <c r="G26" s="42">
        <f>Bud!H36</f>
        <v>15.75</v>
      </c>
      <c r="H26" s="42">
        <f t="shared" si="0"/>
        <v>2283.75</v>
      </c>
    </row>
    <row r="27" spans="2:8" ht="12.75">
      <c r="B27" s="40" t="s">
        <v>282</v>
      </c>
      <c r="C27" s="40"/>
      <c r="D27" s="40"/>
      <c r="E27" s="41" t="s">
        <v>91</v>
      </c>
      <c r="F27" s="42">
        <v>1</v>
      </c>
      <c r="G27" s="42">
        <f>Bud!H39</f>
        <v>89.22</v>
      </c>
      <c r="H27" s="42">
        <f t="shared" si="0"/>
        <v>89.22</v>
      </c>
    </row>
    <row r="28" spans="2:8" ht="12.75">
      <c r="B28" s="40" t="s">
        <v>291</v>
      </c>
      <c r="C28" s="40"/>
      <c r="D28" s="40"/>
      <c r="E28" s="41" t="s">
        <v>91</v>
      </c>
      <c r="F28" s="42">
        <v>1</v>
      </c>
      <c r="G28" s="42">
        <f>Bud!H37</f>
        <v>36.75</v>
      </c>
      <c r="H28" s="42">
        <f t="shared" si="0"/>
        <v>36.75</v>
      </c>
    </row>
    <row r="29" spans="2:8" ht="12.75">
      <c r="B29" s="40" t="s">
        <v>292</v>
      </c>
      <c r="C29" s="40"/>
      <c r="D29" s="40"/>
      <c r="E29" s="41" t="s">
        <v>91</v>
      </c>
      <c r="F29" s="42">
        <v>1</v>
      </c>
      <c r="G29" s="42">
        <f>Bud!H38</f>
        <v>7.14</v>
      </c>
      <c r="H29" s="42">
        <f t="shared" si="0"/>
        <v>7.14</v>
      </c>
    </row>
    <row r="30" spans="2:8" ht="12.75">
      <c r="B30" s="40" t="s">
        <v>158</v>
      </c>
      <c r="C30" s="40"/>
      <c r="D30" s="40"/>
      <c r="E30" s="41" t="s">
        <v>143</v>
      </c>
      <c r="F30" s="42">
        <v>70</v>
      </c>
      <c r="G30" s="42">
        <f>Bud!H40</f>
        <v>13.67</v>
      </c>
      <c r="H30" s="42">
        <f t="shared" si="0"/>
        <v>956.9</v>
      </c>
    </row>
    <row r="31" spans="2:8" ht="12.75">
      <c r="B31" s="40" t="s">
        <v>56</v>
      </c>
      <c r="C31" s="40"/>
      <c r="D31" s="40"/>
      <c r="E31" s="41" t="s">
        <v>352</v>
      </c>
      <c r="F31" s="42">
        <v>20</v>
      </c>
      <c r="G31" s="42">
        <f>Bud!H41</f>
        <v>4.8</v>
      </c>
      <c r="H31" s="42">
        <f t="shared" si="0"/>
        <v>96</v>
      </c>
    </row>
    <row r="32" spans="2:8" ht="12.75">
      <c r="B32" s="40" t="s">
        <v>62</v>
      </c>
      <c r="C32" s="40"/>
      <c r="D32" s="40"/>
      <c r="E32" s="41" t="s">
        <v>91</v>
      </c>
      <c r="F32" s="42">
        <v>1</v>
      </c>
      <c r="G32" s="42">
        <f>Bud!H42</f>
        <v>40.08</v>
      </c>
      <c r="H32" s="42">
        <f t="shared" si="0"/>
        <v>40.08</v>
      </c>
    </row>
    <row r="33" spans="2:8" ht="12.75">
      <c r="B33" s="40" t="s">
        <v>293</v>
      </c>
      <c r="C33" s="40"/>
      <c r="D33" s="40"/>
      <c r="E33" s="41" t="s">
        <v>91</v>
      </c>
      <c r="F33" s="42">
        <v>1</v>
      </c>
      <c r="G33" s="42">
        <f>Bud!H43</f>
        <v>1610.2233999999999</v>
      </c>
      <c r="H33" s="42">
        <f t="shared" si="0"/>
        <v>1610.2233999999999</v>
      </c>
    </row>
    <row r="34" spans="2:8" ht="12.75">
      <c r="B34" s="40" t="s">
        <v>152</v>
      </c>
      <c r="C34" s="40"/>
      <c r="D34" s="40"/>
      <c r="E34" s="41" t="s">
        <v>91</v>
      </c>
      <c r="F34" s="42">
        <f>SUM(H15:H32)</f>
        <v>5095.189999999999</v>
      </c>
      <c r="G34" s="41">
        <v>0.075</v>
      </c>
      <c r="H34" s="42">
        <f t="shared" si="0"/>
        <v>382.1392499999999</v>
      </c>
    </row>
    <row r="35" spans="2:8" ht="13.5" thickBot="1">
      <c r="B35" s="36" t="s">
        <v>229</v>
      </c>
      <c r="C35" s="40"/>
      <c r="D35" s="40"/>
      <c r="E35" s="41" t="s">
        <v>65</v>
      </c>
      <c r="F35" s="41"/>
      <c r="G35" s="41"/>
      <c r="H35" s="55">
        <f>SUM(H20:H34)</f>
        <v>6492.72265</v>
      </c>
    </row>
    <row r="36" spans="2:8" ht="13.5" thickTop="1">
      <c r="B36" s="40"/>
      <c r="C36" s="40"/>
      <c r="D36" s="40"/>
      <c r="E36" s="41"/>
      <c r="F36" s="41"/>
      <c r="G36" s="41"/>
      <c r="H36" s="62"/>
    </row>
    <row r="37" spans="3:8" ht="12.75">
      <c r="C37" s="36"/>
      <c r="D37" s="40"/>
      <c r="E37" s="41"/>
      <c r="F37" s="41"/>
      <c r="G37" s="41"/>
      <c r="H37" s="41"/>
    </row>
    <row r="38" spans="2:8" ht="12.75">
      <c r="B38" s="54" t="s">
        <v>126</v>
      </c>
      <c r="C38" s="40"/>
      <c r="D38" s="40"/>
      <c r="E38" s="19" t="s">
        <v>237</v>
      </c>
      <c r="F38" s="19" t="s">
        <v>197</v>
      </c>
      <c r="G38" s="10" t="s">
        <v>193</v>
      </c>
      <c r="H38" s="9" t="s">
        <v>94</v>
      </c>
    </row>
    <row r="39" spans="2:8" ht="12.75">
      <c r="B39" s="40" t="s">
        <v>232</v>
      </c>
      <c r="C39" s="40"/>
      <c r="D39" s="40"/>
      <c r="E39" s="41" t="s">
        <v>65</v>
      </c>
      <c r="F39" s="42">
        <f>FxdCost!I33</f>
        <v>2403.0408783600005</v>
      </c>
      <c r="G39" s="42">
        <v>1</v>
      </c>
      <c r="H39" s="42">
        <f>F39*G39</f>
        <v>2403.0408783600005</v>
      </c>
    </row>
    <row r="40" spans="2:8" ht="12.75">
      <c r="B40" s="40" t="s">
        <v>168</v>
      </c>
      <c r="C40" s="40"/>
      <c r="D40" s="40"/>
      <c r="E40" s="41" t="s">
        <v>65</v>
      </c>
      <c r="F40" s="42">
        <f>H35</f>
        <v>6492.72265</v>
      </c>
      <c r="G40" s="42">
        <v>0.15</v>
      </c>
      <c r="H40" s="42">
        <f>F40*G40</f>
        <v>973.9083974999999</v>
      </c>
    </row>
    <row r="41" spans="2:8" ht="12.75">
      <c r="B41" s="40" t="s">
        <v>154</v>
      </c>
      <c r="C41" s="40"/>
      <c r="D41" s="40"/>
      <c r="E41" s="41" t="s">
        <v>91</v>
      </c>
      <c r="F41" s="41">
        <v>1</v>
      </c>
      <c r="G41" s="42">
        <f>Drip!I40</f>
        <v>1383.426</v>
      </c>
      <c r="H41" s="42">
        <f>F41*G41</f>
        <v>1383.426</v>
      </c>
    </row>
    <row r="42" spans="2:8" ht="13.5" thickBot="1">
      <c r="B42" s="36" t="s">
        <v>224</v>
      </c>
      <c r="C42" s="40"/>
      <c r="D42" s="40"/>
      <c r="E42" s="41"/>
      <c r="F42" s="41"/>
      <c r="G42" s="41"/>
      <c r="H42" s="55">
        <f>SUM(H39:H41)</f>
        <v>4760.37527586</v>
      </c>
    </row>
    <row r="43" spans="2:8" ht="13.5" thickTop="1">
      <c r="B43" s="40"/>
      <c r="C43" s="40"/>
      <c r="D43" s="40"/>
      <c r="E43" s="41"/>
      <c r="F43" s="41"/>
      <c r="G43" s="41"/>
      <c r="H43" s="62"/>
    </row>
    <row r="44" spans="2:8" ht="13.5" thickBot="1">
      <c r="B44" s="15" t="s">
        <v>223</v>
      </c>
      <c r="E44" s="7"/>
      <c r="F44" s="7"/>
      <c r="G44" s="7"/>
      <c r="H44" s="64">
        <f>H35+H42</f>
        <v>11253.09792586</v>
      </c>
    </row>
    <row r="45" ht="13.5" thickTop="1">
      <c r="H45" s="63"/>
    </row>
    <row r="48" ht="12.75">
      <c r="B48" s="1" t="s">
        <v>259</v>
      </c>
    </row>
    <row r="50" ht="12.75">
      <c r="A50" s="1" t="s">
        <v>81</v>
      </c>
    </row>
    <row r="51" ht="12.75"/>
    <row r="52" ht="12.75"/>
    <row r="53" ht="12.75"/>
    <row r="54" spans="2:10" ht="12.75">
      <c r="B54" s="90"/>
      <c r="C54" s="90"/>
      <c r="D54" s="90"/>
      <c r="E54" s="90"/>
      <c r="F54" s="90"/>
      <c r="G54" s="90"/>
      <c r="H54" s="90"/>
      <c r="I54" s="90"/>
      <c r="J54" s="91"/>
    </row>
    <row r="55" spans="2:10" ht="12.75">
      <c r="B55" s="201"/>
      <c r="C55" s="202"/>
      <c r="D55" s="202"/>
      <c r="E55" s="202"/>
      <c r="F55" s="202"/>
      <c r="G55" s="202"/>
      <c r="H55" s="202"/>
      <c r="I55" s="202"/>
      <c r="J55" s="203"/>
    </row>
    <row r="56" spans="2:10" ht="12.75">
      <c r="B56" s="204"/>
      <c r="C56" s="205"/>
      <c r="D56" s="205"/>
      <c r="E56" s="205"/>
      <c r="F56" s="205"/>
      <c r="G56" s="205"/>
      <c r="H56" s="205"/>
      <c r="I56" s="205"/>
      <c r="J56" s="206"/>
    </row>
  </sheetData>
  <sheetProtection/>
  <mergeCells count="6">
    <mergeCell ref="A12:I12"/>
    <mergeCell ref="B13:H13"/>
    <mergeCell ref="B55:J55"/>
    <mergeCell ref="B56:J56"/>
    <mergeCell ref="A2:L2"/>
    <mergeCell ref="A3:L3"/>
  </mergeCells>
  <printOptions/>
  <pageMargins left="0.75" right="0.75" top="1" bottom="1" header="0.5" footer="0.5"/>
  <pageSetup horizontalDpi="600" verticalDpi="600" orientation="portrait" r:id="rId2"/>
  <rowBreaks count="1" manualBreakCount="1"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L48"/>
  <sheetViews>
    <sheetView zoomScalePageLayoutView="0" workbookViewId="0" topLeftCell="A19">
      <selection activeCell="L21" sqref="L21"/>
    </sheetView>
  </sheetViews>
  <sheetFormatPr defaultColWidth="9.140625" defaultRowHeight="12.75"/>
  <cols>
    <col min="1" max="1" width="9.140625" style="1" customWidth="1"/>
    <col min="2" max="2" width="33.140625" style="1" customWidth="1"/>
    <col min="3" max="3" width="2.57421875" style="1" customWidth="1"/>
    <col min="4" max="4" width="2.421875" style="1" customWidth="1"/>
    <col min="5" max="5" width="12.7109375" style="1" customWidth="1"/>
    <col min="6" max="6" width="13.421875" style="1" customWidth="1"/>
    <col min="7" max="7" width="12.57421875" style="1" customWidth="1"/>
    <col min="8" max="8" width="14.8515625" style="1" customWidth="1"/>
    <col min="9" max="16384" width="9.140625" style="1" customWidth="1"/>
  </cols>
  <sheetData>
    <row r="1" spans="1:12" ht="21">
      <c r="A1" s="207" t="s">
        <v>353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1">
      <c r="A2" s="198" t="s">
        <v>348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4" spans="2:9" ht="12.75">
      <c r="B4" s="171" t="s">
        <v>329</v>
      </c>
      <c r="C4" s="172"/>
      <c r="D4" s="172"/>
      <c r="E4" s="172"/>
      <c r="F4" s="172"/>
      <c r="G4" s="172"/>
      <c r="H4" s="172"/>
      <c r="I4" s="172"/>
    </row>
    <row r="5" spans="2:9" ht="12.75">
      <c r="B5" s="172" t="s">
        <v>330</v>
      </c>
      <c r="C5" s="172"/>
      <c r="D5" s="172"/>
      <c r="E5" s="172"/>
      <c r="F5" s="172"/>
      <c r="G5" s="172"/>
      <c r="H5" s="172"/>
      <c r="I5" s="172"/>
    </row>
    <row r="6" spans="2:9" ht="12.75">
      <c r="B6" s="172" t="s">
        <v>331</v>
      </c>
      <c r="C6" s="172"/>
      <c r="D6" s="172"/>
      <c r="E6" s="172"/>
      <c r="F6" s="172"/>
      <c r="G6" s="172"/>
      <c r="H6" s="172"/>
      <c r="I6" s="172"/>
    </row>
    <row r="7" spans="2:9" ht="12.75">
      <c r="B7" s="173" t="s">
        <v>349</v>
      </c>
      <c r="C7" s="173"/>
      <c r="D7" s="173"/>
      <c r="E7" s="173"/>
      <c r="F7" s="173"/>
      <c r="G7" s="173"/>
      <c r="H7" s="173"/>
      <c r="I7" s="173"/>
    </row>
    <row r="10" spans="2:8" ht="15">
      <c r="B10" s="190" t="s">
        <v>268</v>
      </c>
      <c r="C10" s="208"/>
      <c r="D10" s="208"/>
      <c r="E10" s="208"/>
      <c r="F10" s="208"/>
      <c r="G10" s="208"/>
      <c r="H10" s="208"/>
    </row>
    <row r="11" spans="2:8" ht="15">
      <c r="B11" s="190"/>
      <c r="C11" s="208"/>
      <c r="D11" s="208"/>
      <c r="E11" s="208"/>
      <c r="F11" s="208"/>
      <c r="G11" s="208"/>
      <c r="H11" s="208"/>
    </row>
    <row r="13" spans="2:8" ht="12.75">
      <c r="B13" s="15" t="s">
        <v>176</v>
      </c>
      <c r="E13" s="15" t="s">
        <v>237</v>
      </c>
      <c r="F13" s="15" t="s">
        <v>197</v>
      </c>
      <c r="G13" s="26" t="s">
        <v>193</v>
      </c>
      <c r="H13" s="27" t="s">
        <v>94</v>
      </c>
    </row>
    <row r="15" spans="2:8" ht="12.75">
      <c r="B15" s="40" t="s">
        <v>123</v>
      </c>
      <c r="C15" s="40"/>
      <c r="D15" s="40"/>
      <c r="E15" s="41" t="s">
        <v>91</v>
      </c>
      <c r="F15" s="42">
        <v>219</v>
      </c>
      <c r="G15" s="42">
        <f>Yr1!G21</f>
        <v>0.84</v>
      </c>
      <c r="H15" s="42">
        <f aca="true" t="shared" si="0" ref="H15:H29">F15*G15</f>
        <v>183.95999999999998</v>
      </c>
    </row>
    <row r="16" spans="2:8" ht="12.75">
      <c r="B16" s="40" t="s">
        <v>286</v>
      </c>
      <c r="C16" s="40"/>
      <c r="D16" s="40"/>
      <c r="E16" s="41" t="s">
        <v>91</v>
      </c>
      <c r="F16" s="42">
        <v>2</v>
      </c>
      <c r="G16" s="42">
        <f>Bud!H31</f>
        <v>20.1</v>
      </c>
      <c r="H16" s="42">
        <f t="shared" si="0"/>
        <v>40.2</v>
      </c>
    </row>
    <row r="17" spans="2:8" ht="12.75">
      <c r="B17" s="40" t="s">
        <v>287</v>
      </c>
      <c r="C17" s="40"/>
      <c r="D17" s="40"/>
      <c r="E17" s="41" t="s">
        <v>91</v>
      </c>
      <c r="F17" s="42">
        <v>3</v>
      </c>
      <c r="G17" s="42">
        <f>Yr1!G22</f>
        <v>38.3</v>
      </c>
      <c r="H17" s="42">
        <f t="shared" si="0"/>
        <v>114.89999999999999</v>
      </c>
    </row>
    <row r="18" spans="2:8" ht="12.75">
      <c r="B18" s="40" t="s">
        <v>288</v>
      </c>
      <c r="C18" s="40"/>
      <c r="D18" s="40"/>
      <c r="E18" s="41" t="s">
        <v>91</v>
      </c>
      <c r="F18" s="42">
        <v>5</v>
      </c>
      <c r="G18" s="42">
        <f>Yr1!G23</f>
        <v>38.3</v>
      </c>
      <c r="H18" s="42">
        <f t="shared" si="0"/>
        <v>191.5</v>
      </c>
    </row>
    <row r="19" spans="2:8" ht="12.75">
      <c r="B19" s="40" t="s">
        <v>146</v>
      </c>
      <c r="C19" s="40"/>
      <c r="D19" s="40"/>
      <c r="E19" s="41" t="s">
        <v>91</v>
      </c>
      <c r="F19" s="42">
        <v>4</v>
      </c>
      <c r="G19" s="42">
        <f>Yr1!G24</f>
        <v>14.79</v>
      </c>
      <c r="H19" s="42">
        <f t="shared" si="0"/>
        <v>59.16</v>
      </c>
    </row>
    <row r="20" spans="2:8" ht="12.75">
      <c r="B20" s="40" t="s">
        <v>133</v>
      </c>
      <c r="C20" s="40"/>
      <c r="D20" s="40"/>
      <c r="E20" s="41" t="s">
        <v>91</v>
      </c>
      <c r="F20" s="42">
        <v>5</v>
      </c>
      <c r="G20" s="42">
        <f>Yr1!G25</f>
        <v>18</v>
      </c>
      <c r="H20" s="42">
        <f t="shared" si="0"/>
        <v>90</v>
      </c>
    </row>
    <row r="21" spans="2:8" ht="12.75">
      <c r="B21" s="40" t="s">
        <v>324</v>
      </c>
      <c r="C21" s="40"/>
      <c r="D21" s="40"/>
      <c r="E21" s="41" t="s">
        <v>233</v>
      </c>
      <c r="F21" s="42">
        <v>5</v>
      </c>
      <c r="G21" s="42">
        <f>Yr1!G26</f>
        <v>15.75</v>
      </c>
      <c r="H21" s="42">
        <f t="shared" si="0"/>
        <v>78.75</v>
      </c>
    </row>
    <row r="22" spans="2:8" ht="12.75">
      <c r="B22" s="40" t="s">
        <v>289</v>
      </c>
      <c r="C22" s="40"/>
      <c r="D22" s="40"/>
      <c r="E22" s="41" t="s">
        <v>91</v>
      </c>
      <c r="F22" s="42">
        <v>1</v>
      </c>
      <c r="G22" s="42">
        <f>Yr1!G28</f>
        <v>36.75</v>
      </c>
      <c r="H22" s="42">
        <f t="shared" si="0"/>
        <v>36.75</v>
      </c>
    </row>
    <row r="23" spans="2:8" ht="12.75">
      <c r="B23" s="40" t="s">
        <v>290</v>
      </c>
      <c r="C23" s="40"/>
      <c r="D23" s="40"/>
      <c r="E23" s="41" t="s">
        <v>91</v>
      </c>
      <c r="F23" s="42">
        <v>1</v>
      </c>
      <c r="G23" s="42">
        <f>Yr1!G29</f>
        <v>7.14</v>
      </c>
      <c r="H23" s="42">
        <f t="shared" si="0"/>
        <v>7.14</v>
      </c>
    </row>
    <row r="24" spans="2:8" ht="12.75">
      <c r="B24" s="40" t="s">
        <v>282</v>
      </c>
      <c r="C24" s="40"/>
      <c r="D24" s="40"/>
      <c r="E24" s="41" t="s">
        <v>91</v>
      </c>
      <c r="F24" s="42">
        <v>1</v>
      </c>
      <c r="G24" s="42">
        <f>Yr1!G27</f>
        <v>89.22</v>
      </c>
      <c r="H24" s="42">
        <f t="shared" si="0"/>
        <v>89.22</v>
      </c>
    </row>
    <row r="25" spans="2:8" ht="12.75">
      <c r="B25" s="40" t="s">
        <v>158</v>
      </c>
      <c r="C25" s="40"/>
      <c r="D25" s="40"/>
      <c r="E25" s="41" t="s">
        <v>143</v>
      </c>
      <c r="F25" s="42">
        <v>104</v>
      </c>
      <c r="G25" s="42">
        <f>Yr1!G30</f>
        <v>13.67</v>
      </c>
      <c r="H25" s="42">
        <f t="shared" si="0"/>
        <v>1421.68</v>
      </c>
    </row>
    <row r="26" spans="2:8" ht="12.75">
      <c r="B26" s="40" t="s">
        <v>56</v>
      </c>
      <c r="C26" s="40"/>
      <c r="D26" s="40"/>
      <c r="E26" s="41" t="s">
        <v>91</v>
      </c>
      <c r="F26" s="42">
        <v>20</v>
      </c>
      <c r="G26" s="42">
        <f>Yr1!G31</f>
        <v>4.8</v>
      </c>
      <c r="H26" s="42">
        <f t="shared" si="0"/>
        <v>96</v>
      </c>
    </row>
    <row r="27" spans="2:8" ht="12.75">
      <c r="B27" s="40" t="s">
        <v>62</v>
      </c>
      <c r="C27" s="40"/>
      <c r="D27" s="40"/>
      <c r="E27" s="41" t="s">
        <v>91</v>
      </c>
      <c r="F27" s="42">
        <v>1</v>
      </c>
      <c r="G27" s="42">
        <f>Yr1!G32</f>
        <v>40.08</v>
      </c>
      <c r="H27" s="42">
        <f t="shared" si="0"/>
        <v>40.08</v>
      </c>
    </row>
    <row r="28" spans="2:8" ht="12.75">
      <c r="B28" s="40" t="s">
        <v>293</v>
      </c>
      <c r="C28" s="40"/>
      <c r="D28" s="40"/>
      <c r="E28" s="41" t="s">
        <v>91</v>
      </c>
      <c r="F28" s="42">
        <v>1</v>
      </c>
      <c r="G28" s="42">
        <f>Yr1!G33</f>
        <v>1610.2233999999999</v>
      </c>
      <c r="H28" s="42">
        <f t="shared" si="0"/>
        <v>1610.2233999999999</v>
      </c>
    </row>
    <row r="29" spans="2:8" ht="12.75">
      <c r="B29" s="40" t="s">
        <v>152</v>
      </c>
      <c r="C29" s="40"/>
      <c r="D29" s="40"/>
      <c r="E29" s="41" t="s">
        <v>91</v>
      </c>
      <c r="F29" s="42">
        <f>SUM(H12:H27)</f>
        <v>2449.34</v>
      </c>
      <c r="G29" s="41">
        <v>0.075</v>
      </c>
      <c r="H29" s="42">
        <f t="shared" si="0"/>
        <v>183.7005</v>
      </c>
    </row>
    <row r="30" spans="2:8" ht="13.5" thickBot="1">
      <c r="B30" s="36" t="s">
        <v>283</v>
      </c>
      <c r="C30" s="36"/>
      <c r="D30" s="36"/>
      <c r="E30" s="54" t="s">
        <v>65</v>
      </c>
      <c r="F30" s="55"/>
      <c r="G30" s="56"/>
      <c r="H30" s="55">
        <f>SUM(H15:H29)</f>
        <v>4243.2639</v>
      </c>
    </row>
    <row r="31" spans="3:8" ht="13.5" thickTop="1">
      <c r="C31" s="40"/>
      <c r="D31" s="40"/>
      <c r="E31" s="41"/>
      <c r="F31" s="52"/>
      <c r="G31" s="53"/>
      <c r="H31" s="52"/>
    </row>
    <row r="33" spans="2:8" ht="12.75">
      <c r="B33" s="15" t="s">
        <v>126</v>
      </c>
      <c r="E33" s="15" t="s">
        <v>237</v>
      </c>
      <c r="F33" s="15" t="s">
        <v>197</v>
      </c>
      <c r="G33" s="26" t="s">
        <v>193</v>
      </c>
      <c r="H33" s="27" t="s">
        <v>94</v>
      </c>
    </row>
    <row r="35" spans="2:8" ht="12.75">
      <c r="B35" s="1" t="s">
        <v>232</v>
      </c>
      <c r="E35" s="40" t="s">
        <v>91</v>
      </c>
      <c r="F35" s="17">
        <v>1</v>
      </c>
      <c r="G35" s="17">
        <f>FxdCost!I33</f>
        <v>2403.0408783600005</v>
      </c>
      <c r="H35" s="17">
        <f>F35*G35</f>
        <v>2403.0408783600005</v>
      </c>
    </row>
    <row r="36" spans="2:8" ht="12.75">
      <c r="B36" s="1" t="s">
        <v>135</v>
      </c>
      <c r="E36" s="40" t="s">
        <v>91</v>
      </c>
      <c r="F36" s="17">
        <f>H30</f>
        <v>4243.2639</v>
      </c>
      <c r="G36" s="17">
        <v>0.15</v>
      </c>
      <c r="H36" s="17">
        <f>F36*G36</f>
        <v>636.4895849999999</v>
      </c>
    </row>
    <row r="37" spans="2:8" ht="12.75">
      <c r="B37" s="1" t="s">
        <v>154</v>
      </c>
      <c r="E37" s="1" t="s">
        <v>91</v>
      </c>
      <c r="F37" s="17">
        <v>1</v>
      </c>
      <c r="G37" s="17">
        <f>Drip!I40</f>
        <v>1383.426</v>
      </c>
      <c r="H37" s="17">
        <f>F37*G37</f>
        <v>1383.426</v>
      </c>
    </row>
    <row r="38" spans="2:8" ht="13.5" thickBot="1">
      <c r="B38" s="36" t="s">
        <v>297</v>
      </c>
      <c r="H38" s="65">
        <f>SUM(H35:H37)</f>
        <v>4422.95646336</v>
      </c>
    </row>
    <row r="39" ht="13.5" thickTop="1">
      <c r="H39" s="63"/>
    </row>
    <row r="40" spans="2:8" ht="13.5" thickBot="1">
      <c r="B40" s="36" t="s">
        <v>296</v>
      </c>
      <c r="C40" s="36"/>
      <c r="D40" s="36"/>
      <c r="E40" s="36"/>
      <c r="F40" s="36"/>
      <c r="G40" s="36"/>
      <c r="H40" s="66">
        <f>H30+H38</f>
        <v>8666.22036336</v>
      </c>
    </row>
    <row r="41" ht="13.5" thickTop="1">
      <c r="H41" s="63"/>
    </row>
    <row r="44" ht="12.75">
      <c r="A44" s="1" t="s">
        <v>81</v>
      </c>
    </row>
    <row r="45" ht="12.75"/>
    <row r="46" spans="2:10" ht="12.75">
      <c r="B46" s="92"/>
      <c r="C46" s="92"/>
      <c r="D46" s="92"/>
      <c r="E46" s="92"/>
      <c r="F46" s="92"/>
      <c r="G46" s="92"/>
      <c r="H46" s="92"/>
      <c r="I46" s="92"/>
      <c r="J46" s="93"/>
    </row>
    <row r="47" spans="2:10" ht="12.75">
      <c r="B47" s="209"/>
      <c r="C47" s="209"/>
      <c r="D47" s="209"/>
      <c r="E47" s="209"/>
      <c r="F47" s="209"/>
      <c r="G47" s="209"/>
      <c r="H47" s="209"/>
      <c r="I47" s="209"/>
      <c r="J47" s="209"/>
    </row>
    <row r="48" spans="2:10" ht="12.75">
      <c r="B48" s="209"/>
      <c r="C48" s="209"/>
      <c r="D48" s="209"/>
      <c r="E48" s="209"/>
      <c r="F48" s="209"/>
      <c r="G48" s="209"/>
      <c r="H48" s="209"/>
      <c r="I48" s="209"/>
      <c r="J48" s="209"/>
    </row>
  </sheetData>
  <sheetProtection/>
  <mergeCells count="6">
    <mergeCell ref="A1:L1"/>
    <mergeCell ref="A2:L2"/>
    <mergeCell ref="B10:H10"/>
    <mergeCell ref="B11:H11"/>
    <mergeCell ref="B47:J47"/>
    <mergeCell ref="B48:J48"/>
  </mergeCells>
  <printOptions/>
  <pageMargins left="0.75" right="0.75" top="1" bottom="1" header="0.5" footer="0.5"/>
  <pageSetup horizontalDpi="600" verticalDpi="600" orientation="portrait" r:id="rId2"/>
  <rowBreaks count="1" manualBreakCount="1">
    <brk id="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L69"/>
  <sheetViews>
    <sheetView zoomScalePageLayoutView="0" workbookViewId="0" topLeftCell="A23">
      <selection activeCell="J14" sqref="J14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5" width="16.8515625" style="1" customWidth="1"/>
    <col min="6" max="6" width="15.421875" style="1" customWidth="1"/>
    <col min="7" max="7" width="16.140625" style="1" customWidth="1"/>
    <col min="8" max="8" width="16.00390625" style="1" customWidth="1"/>
    <col min="9" max="16384" width="10.57421875" style="1" customWidth="1"/>
  </cols>
  <sheetData>
    <row r="2" spans="1:12" ht="21">
      <c r="A2" s="198" t="s">
        <v>353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ht="21">
      <c r="A3" s="198" t="s">
        <v>348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5" spans="2:11" ht="12.75">
      <c r="B5" s="171" t="s">
        <v>329</v>
      </c>
      <c r="C5" s="172"/>
      <c r="D5" s="172"/>
      <c r="E5" s="172"/>
      <c r="F5" s="172"/>
      <c r="G5" s="172"/>
      <c r="H5" s="172"/>
      <c r="I5" s="172"/>
      <c r="J5" s="173"/>
      <c r="K5" s="173"/>
    </row>
    <row r="6" spans="2:11" ht="12.75">
      <c r="B6" s="172" t="s">
        <v>330</v>
      </c>
      <c r="C6" s="172"/>
      <c r="D6" s="172"/>
      <c r="E6" s="172"/>
      <c r="F6" s="172"/>
      <c r="G6" s="172"/>
      <c r="H6" s="172"/>
      <c r="I6" s="172"/>
      <c r="J6" s="173"/>
      <c r="K6" s="173"/>
    </row>
    <row r="7" spans="2:11" ht="12.75">
      <c r="B7" s="172" t="s">
        <v>331</v>
      </c>
      <c r="C7" s="172"/>
      <c r="D7" s="172"/>
      <c r="E7" s="172"/>
      <c r="F7" s="172"/>
      <c r="G7" s="172"/>
      <c r="H7" s="172"/>
      <c r="I7" s="172"/>
      <c r="J7" s="173"/>
      <c r="K7" s="173"/>
    </row>
    <row r="8" spans="2:11" ht="12.75">
      <c r="B8" s="173" t="s">
        <v>349</v>
      </c>
      <c r="C8" s="173"/>
      <c r="D8" s="173"/>
      <c r="E8" s="173"/>
      <c r="F8" s="173"/>
      <c r="G8" s="173"/>
      <c r="H8" s="173"/>
      <c r="I8" s="173"/>
      <c r="J8" s="173"/>
      <c r="K8" s="173"/>
    </row>
    <row r="11" spans="2:5" ht="15">
      <c r="B11" s="89"/>
      <c r="E11" s="59"/>
    </row>
    <row r="13" spans="2:8" ht="15">
      <c r="B13" s="199" t="s">
        <v>356</v>
      </c>
      <c r="C13" s="208"/>
      <c r="D13" s="208"/>
      <c r="E13" s="208"/>
      <c r="F13" s="208"/>
      <c r="G13" s="208"/>
      <c r="H13" s="208"/>
    </row>
    <row r="14" spans="2:8" ht="15">
      <c r="B14" s="190"/>
      <c r="C14" s="208"/>
      <c r="D14" s="208"/>
      <c r="E14" s="208"/>
      <c r="F14" s="208"/>
      <c r="G14" s="208"/>
      <c r="H14" s="208"/>
    </row>
    <row r="16" spans="2:8" ht="12.75">
      <c r="B16" s="54" t="s">
        <v>355</v>
      </c>
      <c r="C16" s="7"/>
      <c r="D16" s="7"/>
      <c r="E16" s="19" t="s">
        <v>237</v>
      </c>
      <c r="F16" s="19" t="s">
        <v>197</v>
      </c>
      <c r="G16" s="10" t="s">
        <v>193</v>
      </c>
      <c r="H16" s="9" t="s">
        <v>94</v>
      </c>
    </row>
    <row r="18" spans="2:8" ht="12.75">
      <c r="B18" s="40" t="s">
        <v>123</v>
      </c>
      <c r="C18" s="40"/>
      <c r="D18" s="40"/>
      <c r="E18" s="41" t="s">
        <v>91</v>
      </c>
      <c r="F18" s="78">
        <v>438</v>
      </c>
      <c r="G18" s="78">
        <f>Yr2!G15</f>
        <v>0.84</v>
      </c>
      <c r="H18" s="78">
        <f aca="true" t="shared" si="0" ref="H18:H32">F18*G18</f>
        <v>367.91999999999996</v>
      </c>
    </row>
    <row r="19" spans="2:8" ht="12.75">
      <c r="B19" s="40" t="s">
        <v>286</v>
      </c>
      <c r="C19" s="40"/>
      <c r="D19" s="40"/>
      <c r="E19" s="41" t="s">
        <v>91</v>
      </c>
      <c r="F19" s="78">
        <v>3</v>
      </c>
      <c r="G19" s="78">
        <f>Yr2!G16</f>
        <v>20.1</v>
      </c>
      <c r="H19" s="78">
        <f t="shared" si="0"/>
        <v>60.300000000000004</v>
      </c>
    </row>
    <row r="20" spans="2:8" ht="12.75">
      <c r="B20" s="40" t="s">
        <v>287</v>
      </c>
      <c r="C20" s="40"/>
      <c r="D20" s="40"/>
      <c r="E20" s="41" t="s">
        <v>91</v>
      </c>
      <c r="F20" s="78">
        <v>4</v>
      </c>
      <c r="G20" s="78">
        <f>Yr2!G17</f>
        <v>38.3</v>
      </c>
      <c r="H20" s="78">
        <f t="shared" si="0"/>
        <v>153.2</v>
      </c>
    </row>
    <row r="21" spans="2:8" ht="12.75">
      <c r="B21" s="40" t="s">
        <v>288</v>
      </c>
      <c r="C21" s="40"/>
      <c r="D21" s="40"/>
      <c r="E21" s="41" t="s">
        <v>91</v>
      </c>
      <c r="F21" s="78">
        <v>5</v>
      </c>
      <c r="G21" s="78">
        <f>Yr2!G18</f>
        <v>38.3</v>
      </c>
      <c r="H21" s="78">
        <f t="shared" si="0"/>
        <v>191.5</v>
      </c>
    </row>
    <row r="22" spans="2:8" ht="12.75">
      <c r="B22" s="40" t="s">
        <v>146</v>
      </c>
      <c r="C22" s="40"/>
      <c r="D22" s="40"/>
      <c r="E22" s="41" t="s">
        <v>91</v>
      </c>
      <c r="F22" s="78">
        <v>6</v>
      </c>
      <c r="G22" s="78">
        <f>Yr2!G19</f>
        <v>14.79</v>
      </c>
      <c r="H22" s="78">
        <f t="shared" si="0"/>
        <v>88.74</v>
      </c>
    </row>
    <row r="23" spans="2:8" ht="12.75">
      <c r="B23" s="40" t="s">
        <v>133</v>
      </c>
      <c r="C23" s="40"/>
      <c r="D23" s="40"/>
      <c r="E23" s="41" t="s">
        <v>91</v>
      </c>
      <c r="F23" s="78">
        <v>7</v>
      </c>
      <c r="G23" s="78">
        <f>Yr2!G20</f>
        <v>18</v>
      </c>
      <c r="H23" s="78">
        <f t="shared" si="0"/>
        <v>126</v>
      </c>
    </row>
    <row r="24" spans="2:8" ht="12.75">
      <c r="B24" s="40" t="s">
        <v>327</v>
      </c>
      <c r="C24" s="40"/>
      <c r="D24" s="40"/>
      <c r="E24" s="41" t="s">
        <v>233</v>
      </c>
      <c r="F24" s="78">
        <v>5</v>
      </c>
      <c r="G24" s="78">
        <f>Yr2!G21</f>
        <v>15.75</v>
      </c>
      <c r="H24" s="78">
        <f t="shared" si="0"/>
        <v>78.75</v>
      </c>
    </row>
    <row r="25" spans="2:8" ht="12.75">
      <c r="B25" s="40" t="s">
        <v>289</v>
      </c>
      <c r="C25" s="40"/>
      <c r="D25" s="40"/>
      <c r="E25" s="41" t="s">
        <v>91</v>
      </c>
      <c r="F25" s="78">
        <v>1</v>
      </c>
      <c r="G25" s="78">
        <f>Yr2!G22</f>
        <v>36.75</v>
      </c>
      <c r="H25" s="78">
        <f t="shared" si="0"/>
        <v>36.75</v>
      </c>
    </row>
    <row r="26" spans="2:8" ht="12.75">
      <c r="B26" s="40" t="s">
        <v>290</v>
      </c>
      <c r="C26" s="40"/>
      <c r="D26" s="40"/>
      <c r="E26" s="41" t="s">
        <v>91</v>
      </c>
      <c r="F26" s="78">
        <v>1</v>
      </c>
      <c r="G26" s="78">
        <f>Yr2!G23</f>
        <v>7.14</v>
      </c>
      <c r="H26" s="78">
        <f t="shared" si="0"/>
        <v>7.14</v>
      </c>
    </row>
    <row r="27" spans="2:8" ht="12.75">
      <c r="B27" s="40" t="s">
        <v>282</v>
      </c>
      <c r="C27" s="40"/>
      <c r="D27" s="40"/>
      <c r="E27" s="41" t="s">
        <v>91</v>
      </c>
      <c r="F27" s="78">
        <v>1</v>
      </c>
      <c r="G27" s="78">
        <f>Yr2!G24</f>
        <v>89.22</v>
      </c>
      <c r="H27" s="78">
        <f t="shared" si="0"/>
        <v>89.22</v>
      </c>
    </row>
    <row r="28" spans="2:8" ht="12.75">
      <c r="B28" s="40" t="s">
        <v>158</v>
      </c>
      <c r="C28" s="40"/>
      <c r="D28" s="40"/>
      <c r="E28" s="41" t="s">
        <v>143</v>
      </c>
      <c r="F28" s="78">
        <v>200</v>
      </c>
      <c r="G28" s="78">
        <f>Yr2!G25</f>
        <v>13.67</v>
      </c>
      <c r="H28" s="78">
        <f t="shared" si="0"/>
        <v>2734</v>
      </c>
    </row>
    <row r="29" spans="2:8" ht="12.75">
      <c r="B29" s="40" t="s">
        <v>56</v>
      </c>
      <c r="C29" s="40"/>
      <c r="D29" s="40"/>
      <c r="E29" s="41" t="s">
        <v>352</v>
      </c>
      <c r="F29" s="78">
        <v>30</v>
      </c>
      <c r="G29" s="78">
        <f>Yr2!G26</f>
        <v>4.8</v>
      </c>
      <c r="H29" s="78">
        <f t="shared" si="0"/>
        <v>144</v>
      </c>
    </row>
    <row r="30" spans="2:8" ht="12.75">
      <c r="B30" s="40" t="s">
        <v>62</v>
      </c>
      <c r="C30" s="40"/>
      <c r="D30" s="40"/>
      <c r="E30" s="41" t="s">
        <v>91</v>
      </c>
      <c r="F30" s="78">
        <v>2</v>
      </c>
      <c r="G30" s="78">
        <f>Yr2!G27</f>
        <v>40.08</v>
      </c>
      <c r="H30" s="78">
        <f t="shared" si="0"/>
        <v>80.16</v>
      </c>
    </row>
    <row r="31" spans="2:8" ht="12.75">
      <c r="B31" s="40" t="s">
        <v>293</v>
      </c>
      <c r="C31" s="40"/>
      <c r="D31" s="40"/>
      <c r="E31" s="41" t="s">
        <v>91</v>
      </c>
      <c r="F31" s="78">
        <v>1</v>
      </c>
      <c r="G31" s="78">
        <f>Yr2!G28</f>
        <v>1610.2233999999999</v>
      </c>
      <c r="H31" s="78">
        <f t="shared" si="0"/>
        <v>1610.2233999999999</v>
      </c>
    </row>
    <row r="32" spans="2:8" ht="12.75">
      <c r="B32" s="40" t="s">
        <v>152</v>
      </c>
      <c r="C32" s="40"/>
      <c r="D32" s="40"/>
      <c r="E32" s="41"/>
      <c r="F32" s="78">
        <f>SUM(H16:H30)</f>
        <v>4157.68</v>
      </c>
      <c r="G32" s="79">
        <v>0.075</v>
      </c>
      <c r="H32" s="78">
        <f t="shared" si="0"/>
        <v>311.826</v>
      </c>
    </row>
    <row r="33" spans="2:8" ht="13.5" thickBot="1">
      <c r="B33" s="36" t="s">
        <v>283</v>
      </c>
      <c r="C33" s="36"/>
      <c r="D33" s="36"/>
      <c r="E33" s="54"/>
      <c r="F33" s="57"/>
      <c r="G33" s="80"/>
      <c r="H33" s="57">
        <f>SUM(H18:H32)</f>
        <v>6079.7294</v>
      </c>
    </row>
    <row r="34" spans="3:8" ht="13.5" thickTop="1">
      <c r="C34" s="40"/>
      <c r="D34" s="40"/>
      <c r="E34" s="41"/>
      <c r="F34" s="52"/>
      <c r="G34" s="53"/>
      <c r="H34" s="52"/>
    </row>
    <row r="36" spans="2:8" ht="12.75">
      <c r="B36" s="19" t="s">
        <v>126</v>
      </c>
      <c r="C36" s="7"/>
      <c r="D36" s="7"/>
      <c r="E36" s="19" t="s">
        <v>237</v>
      </c>
      <c r="F36" s="19" t="s">
        <v>197</v>
      </c>
      <c r="G36" s="10" t="s">
        <v>193</v>
      </c>
      <c r="H36" s="9" t="s">
        <v>94</v>
      </c>
    </row>
    <row r="37" spans="5:7" ht="12.75">
      <c r="E37" s="7"/>
      <c r="F37" s="18"/>
      <c r="G37" s="18"/>
    </row>
    <row r="38" spans="2:8" ht="12.75">
      <c r="B38" s="1" t="s">
        <v>232</v>
      </c>
      <c r="E38" s="41" t="s">
        <v>91</v>
      </c>
      <c r="F38" s="32">
        <v>1</v>
      </c>
      <c r="G38" s="32">
        <f>+FxdCost!I33</f>
        <v>2403.0408783600005</v>
      </c>
      <c r="H38" s="17">
        <f>F38*G38</f>
        <v>2403.0408783600005</v>
      </c>
    </row>
    <row r="39" spans="2:8" ht="12.75">
      <c r="B39" s="1" t="s">
        <v>135</v>
      </c>
      <c r="E39" s="41" t="s">
        <v>91</v>
      </c>
      <c r="F39" s="32">
        <f>H33</f>
        <v>6079.7294</v>
      </c>
      <c r="G39" s="32">
        <v>0.15</v>
      </c>
      <c r="H39" s="17">
        <f>F39*G39</f>
        <v>911.95941</v>
      </c>
    </row>
    <row r="40" spans="2:8" ht="12.75">
      <c r="B40" s="1" t="s">
        <v>154</v>
      </c>
      <c r="E40" s="7" t="s">
        <v>91</v>
      </c>
      <c r="F40" s="32">
        <v>1</v>
      </c>
      <c r="G40" s="32">
        <f>+Drip!I40</f>
        <v>1383.426</v>
      </c>
      <c r="H40" s="17">
        <f>F40*G40</f>
        <v>1383.426</v>
      </c>
    </row>
    <row r="41" spans="2:8" ht="13.5" thickBot="1">
      <c r="B41" s="36" t="s">
        <v>295</v>
      </c>
      <c r="E41" s="41" t="s">
        <v>65</v>
      </c>
      <c r="H41" s="65">
        <f>SUM(H38:H40)</f>
        <v>4698.42628836</v>
      </c>
    </row>
    <row r="42" spans="5:8" ht="13.5" thickTop="1">
      <c r="E42" s="7"/>
      <c r="H42" s="63"/>
    </row>
    <row r="43" spans="2:8" ht="13.5" thickBot="1">
      <c r="B43" s="36" t="s">
        <v>301</v>
      </c>
      <c r="C43" s="36"/>
      <c r="D43" s="36"/>
      <c r="E43" s="54" t="s">
        <v>65</v>
      </c>
      <c r="F43" s="36"/>
      <c r="G43" s="36"/>
      <c r="H43" s="66">
        <f>H33+H41</f>
        <v>10778.15568836</v>
      </c>
    </row>
    <row r="44" ht="13.5" thickTop="1">
      <c r="H44" s="63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1" spans="6:8" ht="12.75">
      <c r="F51" s="17"/>
      <c r="G51" s="12"/>
      <c r="H51" s="12"/>
    </row>
    <row r="53" spans="2:8" ht="15">
      <c r="B53" s="190" t="s">
        <v>308</v>
      </c>
      <c r="C53" s="208"/>
      <c r="D53" s="208"/>
      <c r="E53" s="208"/>
      <c r="F53" s="208"/>
      <c r="G53" s="208"/>
      <c r="H53" s="208"/>
    </row>
    <row r="55" ht="12.75">
      <c r="E55" s="1" t="s">
        <v>309</v>
      </c>
    </row>
    <row r="56" ht="12.75">
      <c r="E56" s="1" t="s">
        <v>310</v>
      </c>
    </row>
    <row r="57" spans="2:8" ht="12.75">
      <c r="B57" s="1" t="s">
        <v>311</v>
      </c>
      <c r="E57" s="1">
        <v>7</v>
      </c>
      <c r="F57" s="17">
        <f>(1+D57)^E57</f>
        <v>1</v>
      </c>
      <c r="G57" s="12">
        <f>'[1]Yr1'!H67</f>
        <v>0</v>
      </c>
      <c r="H57" s="12">
        <f aca="true" t="shared" si="1" ref="H57:H63">F57*G57</f>
        <v>0</v>
      </c>
    </row>
    <row r="58" spans="1:8" ht="12.75">
      <c r="A58" s="1" t="s">
        <v>81</v>
      </c>
      <c r="E58" s="1">
        <v>6</v>
      </c>
      <c r="F58" s="17">
        <f>(1+D57)^E58</f>
        <v>1</v>
      </c>
      <c r="G58" s="12">
        <f>'[1]Yr2'!H48</f>
        <v>0</v>
      </c>
      <c r="H58" s="12">
        <f t="shared" si="1"/>
        <v>0</v>
      </c>
    </row>
    <row r="59" spans="5:8" ht="12.75">
      <c r="E59" s="1">
        <v>5</v>
      </c>
      <c r="F59" s="17">
        <f>(1+D57)^E59</f>
        <v>1</v>
      </c>
      <c r="G59" s="12">
        <f>'[1]Yr2'!H48</f>
        <v>0</v>
      </c>
      <c r="H59" s="12">
        <f t="shared" si="1"/>
        <v>0</v>
      </c>
    </row>
    <row r="60" spans="5:8" ht="12.75">
      <c r="E60" s="1">
        <v>4</v>
      </c>
      <c r="F60" s="17">
        <f>(1+D57)^E60</f>
        <v>1</v>
      </c>
      <c r="G60" s="12">
        <v>0</v>
      </c>
      <c r="H60" s="12">
        <f t="shared" si="1"/>
        <v>0</v>
      </c>
    </row>
    <row r="61" spans="5:8" ht="12.75">
      <c r="E61" s="1">
        <v>3</v>
      </c>
      <c r="F61" s="17">
        <f>(1+D57)^E61</f>
        <v>1</v>
      </c>
      <c r="G61" s="12">
        <f>+H43</f>
        <v>10778.15568836</v>
      </c>
      <c r="H61" s="12">
        <f t="shared" si="1"/>
        <v>10778.15568836</v>
      </c>
    </row>
    <row r="62" spans="5:8" ht="12.75">
      <c r="E62" s="1">
        <v>2</v>
      </c>
      <c r="F62" s="17">
        <f>(1+D57)^E62</f>
        <v>1</v>
      </c>
      <c r="G62" s="12">
        <f>+Yr2!H40</f>
        <v>8666.22036336</v>
      </c>
      <c r="H62" s="12">
        <f t="shared" si="1"/>
        <v>8666.22036336</v>
      </c>
    </row>
    <row r="63" spans="5:8" ht="12.75">
      <c r="E63" s="1">
        <v>1</v>
      </c>
      <c r="F63" s="17">
        <f>(1+D57)^E63</f>
        <v>1</v>
      </c>
      <c r="G63" s="12">
        <f>+Yr1!H44</f>
        <v>11253.09792586</v>
      </c>
      <c r="H63" s="12">
        <f t="shared" si="1"/>
        <v>11253.09792586</v>
      </c>
    </row>
    <row r="64" spans="2:8" ht="13.5" thickBot="1">
      <c r="B64" s="15" t="s">
        <v>312</v>
      </c>
      <c r="H64" s="99">
        <f>SUM(H57:H63)</f>
        <v>30697.473977579997</v>
      </c>
    </row>
    <row r="65" spans="2:8" ht="13.5" thickTop="1">
      <c r="B65" s="1" t="s">
        <v>313</v>
      </c>
      <c r="H65" s="63"/>
    </row>
    <row r="66" spans="2:6" ht="12.75">
      <c r="B66" s="1" t="s">
        <v>314</v>
      </c>
      <c r="F66" s="1">
        <v>50</v>
      </c>
    </row>
    <row r="67" spans="2:6" ht="12.75">
      <c r="B67" s="1" t="s">
        <v>315</v>
      </c>
      <c r="F67" s="1">
        <v>0.075</v>
      </c>
    </row>
    <row r="68" spans="2:8" ht="13.5" thickBot="1">
      <c r="B68" s="15" t="s">
        <v>316</v>
      </c>
      <c r="E68" s="1" t="s">
        <v>317</v>
      </c>
      <c r="H68" s="99">
        <f>PMT(F67,F66,-H64)</f>
        <v>2365.928307511459</v>
      </c>
    </row>
    <row r="69" ht="13.5" thickTop="1">
      <c r="H69" s="63"/>
    </row>
    <row r="74" ht="12.75"/>
    <row r="75" ht="12.75"/>
  </sheetData>
  <sheetProtection/>
  <mergeCells count="5">
    <mergeCell ref="B13:H13"/>
    <mergeCell ref="B14:H14"/>
    <mergeCell ref="B53:H53"/>
    <mergeCell ref="A2:L2"/>
    <mergeCell ref="A3:L3"/>
  </mergeCells>
  <printOptions/>
  <pageMargins left="0.75" right="0.75" top="1" bottom="1" header="0.5" footer="0.5"/>
  <pageSetup horizontalDpi="600" verticalDpi="600" orientation="portrait" r:id="rId2"/>
  <rowBreaks count="1" manualBreakCount="1">
    <brk id="5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L64"/>
  <sheetViews>
    <sheetView zoomScalePageLayoutView="0" workbookViewId="0" topLeftCell="A19">
      <selection activeCell="N18" sqref="N18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3" width="9.140625" style="1" customWidth="1"/>
    <col min="4" max="4" width="12.28125" style="1" customWidth="1"/>
    <col min="5" max="5" width="14.7109375" style="1" customWidth="1"/>
    <col min="6" max="6" width="13.421875" style="1" customWidth="1"/>
    <col min="7" max="7" width="16.00390625" style="1" customWidth="1"/>
    <col min="8" max="8" width="16.8515625" style="1" customWidth="1"/>
    <col min="9" max="9" width="20.57421875" style="1" customWidth="1"/>
    <col min="10" max="16384" width="9.140625" style="1" customWidth="1"/>
  </cols>
  <sheetData>
    <row r="1" spans="1:12" ht="21">
      <c r="A1" s="207" t="s">
        <v>353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1">
      <c r="A2" s="207" t="s">
        <v>348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4" spans="2:8" ht="12.75">
      <c r="B4" s="171" t="s">
        <v>329</v>
      </c>
      <c r="C4" s="172"/>
      <c r="D4" s="172"/>
      <c r="E4" s="172"/>
      <c r="F4" s="172"/>
      <c r="G4" s="172"/>
      <c r="H4" s="172"/>
    </row>
    <row r="5" spans="2:8" ht="12.75">
      <c r="B5" s="172" t="s">
        <v>330</v>
      </c>
      <c r="C5" s="172"/>
      <c r="D5" s="172"/>
      <c r="E5" s="172"/>
      <c r="F5" s="172"/>
      <c r="G5" s="172"/>
      <c r="H5" s="172"/>
    </row>
    <row r="6" spans="2:8" ht="12.75">
      <c r="B6" s="172" t="s">
        <v>331</v>
      </c>
      <c r="C6" s="172"/>
      <c r="D6" s="172"/>
      <c r="E6" s="172"/>
      <c r="F6" s="172"/>
      <c r="G6" s="172"/>
      <c r="H6" s="172"/>
    </row>
    <row r="7" spans="2:8" ht="12.75">
      <c r="B7" s="173" t="s">
        <v>349</v>
      </c>
      <c r="C7" s="173"/>
      <c r="D7" s="173"/>
      <c r="E7" s="173"/>
      <c r="F7" s="173"/>
      <c r="G7" s="173"/>
      <c r="H7" s="173"/>
    </row>
    <row r="8" ht="12.75">
      <c r="B8" s="76"/>
    </row>
    <row r="10" spans="3:8" ht="15">
      <c r="C10" s="210" t="s">
        <v>299</v>
      </c>
      <c r="D10" s="192"/>
      <c r="E10" s="192"/>
      <c r="F10" s="192"/>
      <c r="G10" s="192"/>
      <c r="H10" s="192"/>
    </row>
    <row r="13" spans="2:9" ht="12.75">
      <c r="B13" s="10" t="s">
        <v>156</v>
      </c>
      <c r="D13" s="26" t="s">
        <v>236</v>
      </c>
      <c r="E13" s="28" t="s">
        <v>198</v>
      </c>
      <c r="G13" s="28" t="s">
        <v>192</v>
      </c>
      <c r="I13" s="28" t="s">
        <v>95</v>
      </c>
    </row>
    <row r="14" spans="7:9" ht="12.75">
      <c r="G14" s="18"/>
      <c r="I14" s="18"/>
    </row>
    <row r="15" spans="2:9" ht="12.75">
      <c r="B15" s="36" t="s">
        <v>139</v>
      </c>
      <c r="D15" s="1" t="s">
        <v>100</v>
      </c>
      <c r="E15" s="1">
        <v>1</v>
      </c>
      <c r="G15" s="29">
        <v>0</v>
      </c>
      <c r="I15" s="29">
        <f>E15*G15</f>
        <v>0</v>
      </c>
    </row>
    <row r="16" spans="2:9" ht="12.75">
      <c r="B16" s="40" t="s">
        <v>260</v>
      </c>
      <c r="D16" s="40" t="s">
        <v>91</v>
      </c>
      <c r="E16" s="1">
        <v>1</v>
      </c>
      <c r="G16" s="29">
        <v>0</v>
      </c>
      <c r="I16" s="29">
        <f>E16*G16</f>
        <v>0</v>
      </c>
    </row>
    <row r="17" spans="2:9" ht="12.75">
      <c r="B17" s="40" t="s">
        <v>325</v>
      </c>
      <c r="D17" s="40" t="s">
        <v>91</v>
      </c>
      <c r="E17" s="1">
        <v>1</v>
      </c>
      <c r="G17" s="29">
        <v>0</v>
      </c>
      <c r="I17" s="29">
        <f>E17*G17</f>
        <v>0</v>
      </c>
    </row>
    <row r="18" spans="2:9" ht="13.5" thickBot="1">
      <c r="B18" s="36" t="s">
        <v>261</v>
      </c>
      <c r="C18" s="36"/>
      <c r="D18" s="36"/>
      <c r="E18" s="36"/>
      <c r="F18" s="36"/>
      <c r="G18" s="48">
        <v>0</v>
      </c>
      <c r="H18" s="36"/>
      <c r="I18" s="85">
        <f>SUM(I15:I17)</f>
        <v>0</v>
      </c>
    </row>
    <row r="19" spans="7:9" ht="13.5" thickTop="1">
      <c r="G19" s="29"/>
      <c r="I19" s="84"/>
    </row>
    <row r="20" spans="2:9" ht="12.75">
      <c r="B20" s="36" t="s">
        <v>146</v>
      </c>
      <c r="D20" s="1" t="s">
        <v>100</v>
      </c>
      <c r="E20" s="1">
        <v>1</v>
      </c>
      <c r="G20" s="29">
        <v>0</v>
      </c>
      <c r="I20" s="29">
        <v>0</v>
      </c>
    </row>
    <row r="21" spans="2:9" ht="12.75">
      <c r="B21" s="1" t="s">
        <v>145</v>
      </c>
      <c r="D21" s="1" t="s">
        <v>100</v>
      </c>
      <c r="E21" s="1">
        <v>1</v>
      </c>
      <c r="G21" s="29">
        <v>0</v>
      </c>
      <c r="I21" s="29"/>
    </row>
    <row r="22" spans="2:9" ht="12.75">
      <c r="B22" s="1" t="s">
        <v>145</v>
      </c>
      <c r="D22" s="1" t="s">
        <v>100</v>
      </c>
      <c r="E22" s="1">
        <v>1</v>
      </c>
      <c r="G22" s="29">
        <v>0</v>
      </c>
      <c r="I22" s="29">
        <f>E22*G22</f>
        <v>0</v>
      </c>
    </row>
    <row r="23" spans="2:9" ht="12.75">
      <c r="B23" s="1" t="s">
        <v>145</v>
      </c>
      <c r="D23" s="1" t="s">
        <v>100</v>
      </c>
      <c r="E23" s="1">
        <v>1</v>
      </c>
      <c r="G23" s="29">
        <v>0</v>
      </c>
      <c r="I23" s="29">
        <f>E23*G23</f>
        <v>0</v>
      </c>
    </row>
    <row r="24" spans="2:9" ht="12.75">
      <c r="B24" s="1" t="s">
        <v>145</v>
      </c>
      <c r="D24" s="1" t="s">
        <v>100</v>
      </c>
      <c r="E24" s="1">
        <v>1</v>
      </c>
      <c r="G24" s="29">
        <v>0</v>
      </c>
      <c r="I24" s="29">
        <f>E24*G24</f>
        <v>0</v>
      </c>
    </row>
    <row r="25" spans="2:9" ht="13.5" thickBot="1">
      <c r="B25" s="36" t="s">
        <v>218</v>
      </c>
      <c r="C25" s="36"/>
      <c r="D25" s="36"/>
      <c r="E25" s="36"/>
      <c r="F25" s="36"/>
      <c r="G25" s="48"/>
      <c r="H25" s="36"/>
      <c r="I25" s="85">
        <f>SUM(I20:I24)</f>
        <v>0</v>
      </c>
    </row>
    <row r="26" spans="7:9" ht="13.5" thickTop="1">
      <c r="G26" s="29"/>
      <c r="I26" s="84"/>
    </row>
    <row r="27" spans="2:9" ht="12.75">
      <c r="B27" s="36" t="s">
        <v>328</v>
      </c>
      <c r="D27" s="1" t="s">
        <v>100</v>
      </c>
      <c r="E27" s="1">
        <v>1</v>
      </c>
      <c r="G27" s="29">
        <v>0</v>
      </c>
      <c r="I27" s="29">
        <f aca="true" t="shared" si="0" ref="I27:I32">E27*G27</f>
        <v>0</v>
      </c>
    </row>
    <row r="28" spans="2:9" ht="12.75">
      <c r="B28" s="1" t="s">
        <v>132</v>
      </c>
      <c r="D28" s="1" t="s">
        <v>100</v>
      </c>
      <c r="E28" s="1">
        <v>1</v>
      </c>
      <c r="G28" s="29">
        <v>0</v>
      </c>
      <c r="I28" s="29">
        <f t="shared" si="0"/>
        <v>0</v>
      </c>
    </row>
    <row r="29" spans="2:9" ht="12.75">
      <c r="B29" s="1" t="s">
        <v>132</v>
      </c>
      <c r="D29" s="1" t="s">
        <v>100</v>
      </c>
      <c r="E29" s="1">
        <v>1</v>
      </c>
      <c r="G29" s="29">
        <v>0</v>
      </c>
      <c r="I29" s="29">
        <f t="shared" si="0"/>
        <v>0</v>
      </c>
    </row>
    <row r="30" spans="2:9" ht="12.75">
      <c r="B30" s="1" t="s">
        <v>132</v>
      </c>
      <c r="D30" s="1" t="s">
        <v>100</v>
      </c>
      <c r="E30" s="1">
        <v>1</v>
      </c>
      <c r="G30" s="29">
        <v>0</v>
      </c>
      <c r="I30" s="29">
        <f t="shared" si="0"/>
        <v>0</v>
      </c>
    </row>
    <row r="31" spans="2:9" ht="12.75">
      <c r="B31" s="1" t="s">
        <v>132</v>
      </c>
      <c r="D31" s="1" t="s">
        <v>100</v>
      </c>
      <c r="E31" s="1">
        <v>1</v>
      </c>
      <c r="G31" s="29">
        <v>0</v>
      </c>
      <c r="I31" s="29">
        <f t="shared" si="0"/>
        <v>0</v>
      </c>
    </row>
    <row r="32" spans="2:9" ht="12.75">
      <c r="B32" s="1" t="s">
        <v>132</v>
      </c>
      <c r="D32" s="1" t="s">
        <v>100</v>
      </c>
      <c r="E32" s="1">
        <v>1</v>
      </c>
      <c r="G32" s="29">
        <v>0</v>
      </c>
      <c r="I32" s="29">
        <f t="shared" si="0"/>
        <v>0</v>
      </c>
    </row>
    <row r="33" spans="2:9" ht="13.5" thickBot="1">
      <c r="B33" s="36" t="s">
        <v>218</v>
      </c>
      <c r="G33" s="29"/>
      <c r="I33" s="85">
        <f>SUM(I27:I32)</f>
        <v>0</v>
      </c>
    </row>
    <row r="34" spans="7:9" ht="13.5" thickTop="1">
      <c r="G34" s="29"/>
      <c r="I34" s="84"/>
    </row>
    <row r="35" spans="2:9" ht="12.75">
      <c r="B35" s="1" t="s">
        <v>178</v>
      </c>
      <c r="D35" s="1" t="s">
        <v>100</v>
      </c>
      <c r="E35" s="1">
        <v>1</v>
      </c>
      <c r="G35" s="29">
        <v>0</v>
      </c>
      <c r="I35" s="29">
        <f>E35*G35</f>
        <v>0</v>
      </c>
    </row>
    <row r="36" spans="2:9" ht="12.75">
      <c r="B36" s="1" t="s">
        <v>178</v>
      </c>
      <c r="D36" s="1" t="s">
        <v>100</v>
      </c>
      <c r="E36" s="1">
        <v>1</v>
      </c>
      <c r="G36" s="29">
        <v>0</v>
      </c>
      <c r="I36" s="29">
        <f>E36*G36</f>
        <v>0</v>
      </c>
    </row>
    <row r="37" spans="2:9" ht="12.75">
      <c r="B37" s="1" t="s">
        <v>178</v>
      </c>
      <c r="D37" s="1" t="s">
        <v>100</v>
      </c>
      <c r="E37" s="1">
        <v>1</v>
      </c>
      <c r="G37" s="29">
        <v>0</v>
      </c>
      <c r="I37" s="29">
        <f>E37*G37</f>
        <v>0</v>
      </c>
    </row>
    <row r="38" spans="2:9" ht="12.75">
      <c r="B38" s="1" t="s">
        <v>178</v>
      </c>
      <c r="D38" s="1" t="s">
        <v>100</v>
      </c>
      <c r="E38" s="1">
        <v>1</v>
      </c>
      <c r="G38" s="29">
        <v>0</v>
      </c>
      <c r="I38" s="29">
        <f>E38*G38</f>
        <v>0</v>
      </c>
    </row>
    <row r="39" spans="2:9" ht="12.75">
      <c r="B39" s="36" t="s">
        <v>261</v>
      </c>
      <c r="C39" s="36"/>
      <c r="D39" s="36"/>
      <c r="E39" s="36"/>
      <c r="F39" s="36"/>
      <c r="G39" s="48"/>
      <c r="H39" s="36"/>
      <c r="I39" s="48">
        <v>0</v>
      </c>
    </row>
    <row r="40" spans="2:9" ht="13.5" thickBot="1">
      <c r="B40" s="37" t="s">
        <v>262</v>
      </c>
      <c r="G40" s="29"/>
      <c r="I40" s="83">
        <f>I18+I25+I33+I39</f>
        <v>0</v>
      </c>
    </row>
    <row r="41" ht="13.5" thickTop="1">
      <c r="I41" s="82"/>
    </row>
    <row r="42" spans="1:9" ht="12.75">
      <c r="A42" s="1" t="s">
        <v>81</v>
      </c>
      <c r="I42" s="30"/>
    </row>
    <row r="43" ht="12.75">
      <c r="I43" s="30"/>
    </row>
    <row r="44" ht="12.75">
      <c r="I44" s="30"/>
    </row>
    <row r="45" spans="1:10" ht="12.75">
      <c r="A45" s="95"/>
      <c r="B45" s="95"/>
      <c r="C45" s="95"/>
      <c r="D45" s="95"/>
      <c r="E45" s="95"/>
      <c r="F45" s="95"/>
      <c r="G45" s="95"/>
      <c r="H45" s="95"/>
      <c r="I45" s="96"/>
      <c r="J45" s="95"/>
    </row>
    <row r="46" spans="9:11" ht="12.75">
      <c r="I46" s="30"/>
      <c r="K46" s="94"/>
    </row>
    <row r="47" spans="2:11" ht="12.75">
      <c r="B47" s="92"/>
      <c r="C47" s="92"/>
      <c r="D47" s="92"/>
      <c r="E47" s="92"/>
      <c r="F47" s="92"/>
      <c r="G47" s="92"/>
      <c r="H47" s="92"/>
      <c r="I47" s="92"/>
      <c r="J47" s="93"/>
      <c r="K47" s="94"/>
    </row>
    <row r="48" spans="2:11" ht="12.75">
      <c r="B48" s="209"/>
      <c r="C48" s="209"/>
      <c r="D48" s="209"/>
      <c r="E48" s="209"/>
      <c r="F48" s="209"/>
      <c r="G48" s="209"/>
      <c r="H48" s="209"/>
      <c r="I48" s="209"/>
      <c r="J48" s="209"/>
      <c r="K48" s="94"/>
    </row>
    <row r="49" spans="2:11" ht="12.75">
      <c r="B49" s="209"/>
      <c r="C49" s="209"/>
      <c r="D49" s="209"/>
      <c r="E49" s="209"/>
      <c r="F49" s="209"/>
      <c r="G49" s="209"/>
      <c r="H49" s="209"/>
      <c r="I49" s="209"/>
      <c r="J49" s="209"/>
      <c r="K49" s="94"/>
    </row>
    <row r="50" spans="9:11" ht="12.75">
      <c r="I50" s="30"/>
      <c r="K50" s="94"/>
    </row>
    <row r="51" spans="1:10" ht="12.75">
      <c r="A51" s="63"/>
      <c r="B51" s="63"/>
      <c r="C51" s="63"/>
      <c r="D51" s="63"/>
      <c r="E51" s="63"/>
      <c r="F51" s="63"/>
      <c r="G51" s="63"/>
      <c r="H51" s="63"/>
      <c r="I51" s="82"/>
      <c r="J51" s="63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</sheetData>
  <sheetProtection/>
  <mergeCells count="5">
    <mergeCell ref="C10:H10"/>
    <mergeCell ref="B48:J48"/>
    <mergeCell ref="B49:J49"/>
    <mergeCell ref="A1:L1"/>
    <mergeCell ref="A2:L2"/>
  </mergeCells>
  <printOptions/>
  <pageMargins left="0.75" right="0.75" top="1" bottom="1" header="0.5" footer="0.5"/>
  <pageSetup horizontalDpi="600" verticalDpi="600" orientation="portrait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M65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8.7109375" style="1" customWidth="1"/>
    <col min="6" max="6" width="8.00390625" style="1" customWidth="1"/>
    <col min="7" max="7" width="6.421875" style="1" customWidth="1"/>
    <col min="8" max="8" width="8.140625" style="1" customWidth="1"/>
    <col min="9" max="9" width="8.8515625" style="1" customWidth="1"/>
    <col min="10" max="10" width="8.421875" style="1" customWidth="1"/>
    <col min="11" max="11" width="7.57421875" style="1" customWidth="1"/>
    <col min="12" max="12" width="5.28125" style="1" customWidth="1"/>
    <col min="13" max="16384" width="9.140625" style="1" customWidth="1"/>
  </cols>
  <sheetData>
    <row r="1" spans="2:13" ht="21">
      <c r="B1" s="207" t="s">
        <v>353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2:13" ht="21">
      <c r="B2" s="207" t="s">
        <v>348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4" spans="2:8" ht="12.75">
      <c r="B4" s="171" t="s">
        <v>329</v>
      </c>
      <c r="C4" s="172"/>
      <c r="D4" s="172"/>
      <c r="E4" s="172"/>
      <c r="F4" s="172"/>
      <c r="G4" s="172"/>
      <c r="H4" s="172"/>
    </row>
    <row r="5" spans="2:8" ht="12.75">
      <c r="B5" s="172" t="s">
        <v>330</v>
      </c>
      <c r="C5" s="172"/>
      <c r="D5" s="172"/>
      <c r="E5" s="172"/>
      <c r="F5" s="172"/>
      <c r="G5" s="172"/>
      <c r="H5" s="172"/>
    </row>
    <row r="6" spans="2:8" ht="12.75">
      <c r="B6" s="172" t="s">
        <v>331</v>
      </c>
      <c r="C6" s="172"/>
      <c r="D6" s="172"/>
      <c r="E6" s="172"/>
      <c r="F6" s="172"/>
      <c r="G6" s="172"/>
      <c r="H6" s="172"/>
    </row>
    <row r="7" spans="2:8" ht="12.75">
      <c r="B7" s="173" t="s">
        <v>349</v>
      </c>
      <c r="C7" s="173"/>
      <c r="D7" s="173"/>
      <c r="E7" s="173"/>
      <c r="F7" s="173"/>
      <c r="G7" s="173"/>
      <c r="H7" s="173"/>
    </row>
    <row r="8" spans="2:11" ht="12.75">
      <c r="B8" s="76"/>
      <c r="D8" s="8"/>
      <c r="E8" s="8"/>
      <c r="F8" s="8"/>
      <c r="G8" s="8"/>
      <c r="H8" s="8"/>
      <c r="I8" s="8"/>
      <c r="J8" s="8"/>
      <c r="K8" s="8"/>
    </row>
    <row r="9" spans="2:11" ht="15">
      <c r="B9" s="176" t="s">
        <v>367</v>
      </c>
      <c r="D9" s="8"/>
      <c r="E9" s="8"/>
      <c r="F9" s="8"/>
      <c r="G9" s="8"/>
      <c r="H9" s="8"/>
      <c r="I9" s="8"/>
      <c r="J9" s="8"/>
      <c r="K9" s="8"/>
    </row>
    <row r="10" spans="3:11" ht="15">
      <c r="C10" s="77"/>
      <c r="E10" s="10"/>
      <c r="F10" s="10"/>
      <c r="G10" s="10"/>
      <c r="H10" s="10"/>
      <c r="I10" s="10"/>
      <c r="J10" s="10"/>
      <c r="K10" s="10"/>
    </row>
    <row r="11" spans="4:11" ht="12.75">
      <c r="D11" s="8"/>
      <c r="E11" s="8"/>
      <c r="F11" s="8"/>
      <c r="G11" s="8"/>
      <c r="H11" s="8"/>
      <c r="I11" s="8"/>
      <c r="J11" s="8"/>
      <c r="K11" s="8"/>
    </row>
    <row r="12" spans="4:11" ht="12.75">
      <c r="D12" s="8" t="s">
        <v>118</v>
      </c>
      <c r="E12" s="8" t="s">
        <v>124</v>
      </c>
      <c r="F12" s="6" t="s">
        <v>124</v>
      </c>
      <c r="G12" s="8" t="s">
        <v>92</v>
      </c>
      <c r="H12" s="8" t="s">
        <v>175</v>
      </c>
      <c r="I12" s="8" t="s">
        <v>131</v>
      </c>
      <c r="J12" s="8" t="s">
        <v>166</v>
      </c>
      <c r="K12" s="8" t="s">
        <v>158</v>
      </c>
    </row>
    <row r="13" spans="4:11" ht="12.75">
      <c r="D13" s="8" t="s">
        <v>244</v>
      </c>
      <c r="E13" s="8" t="s">
        <v>208</v>
      </c>
      <c r="F13" s="6" t="s">
        <v>116</v>
      </c>
      <c r="G13" s="8" t="s">
        <v>183</v>
      </c>
      <c r="H13" s="8" t="s">
        <v>216</v>
      </c>
      <c r="I13" s="8" t="s">
        <v>238</v>
      </c>
      <c r="J13" s="8" t="s">
        <v>200</v>
      </c>
      <c r="K13" s="8" t="s">
        <v>238</v>
      </c>
    </row>
    <row r="14" spans="2:11" ht="12.75">
      <c r="B14" s="1" t="s">
        <v>59</v>
      </c>
      <c r="D14" s="8" t="s">
        <v>70</v>
      </c>
      <c r="E14" s="8" t="s">
        <v>73</v>
      </c>
      <c r="F14" s="6" t="s">
        <v>67</v>
      </c>
      <c r="G14" s="8" t="s">
        <v>141</v>
      </c>
      <c r="H14" s="8" t="s">
        <v>179</v>
      </c>
      <c r="I14" s="8" t="s">
        <v>71</v>
      </c>
      <c r="J14" s="8" t="s">
        <v>68</v>
      </c>
      <c r="K14" s="8" t="s">
        <v>72</v>
      </c>
    </row>
    <row r="15" spans="4:11" ht="12.75">
      <c r="D15" s="8"/>
      <c r="E15" s="8"/>
      <c r="F15" s="8"/>
      <c r="G15" s="8"/>
      <c r="H15" s="8"/>
      <c r="I15" s="8"/>
      <c r="J15" s="8"/>
      <c r="K15" s="8"/>
    </row>
    <row r="16" spans="2:11" ht="12.75">
      <c r="B16" s="15" t="s">
        <v>188</v>
      </c>
      <c r="D16" s="8"/>
      <c r="E16" s="8"/>
      <c r="F16" s="8"/>
      <c r="G16" s="8"/>
      <c r="H16" s="8"/>
      <c r="I16" s="8"/>
      <c r="J16" s="8"/>
      <c r="K16" s="8"/>
    </row>
    <row r="17" spans="2:11" ht="12.75">
      <c r="B17" s="1" t="s">
        <v>64</v>
      </c>
      <c r="D17" s="8"/>
      <c r="E17" s="8"/>
      <c r="F17" s="8"/>
      <c r="G17" s="8" t="s">
        <v>0</v>
      </c>
      <c r="H17" s="6" t="s">
        <v>0</v>
      </c>
      <c r="I17" s="8"/>
      <c r="J17" s="8" t="s">
        <v>0</v>
      </c>
      <c r="K17" s="8" t="s">
        <v>0</v>
      </c>
    </row>
    <row r="18" spans="2:11" ht="12.75">
      <c r="B18" s="1" t="s">
        <v>9</v>
      </c>
      <c r="D18" s="8">
        <v>20</v>
      </c>
      <c r="E18" s="8">
        <v>3</v>
      </c>
      <c r="F18" s="6">
        <v>70</v>
      </c>
      <c r="G18" s="8">
        <f>(D18*E18*(F18/100))/8.25</f>
        <v>5.090909090909091</v>
      </c>
      <c r="H18" s="6">
        <v>4</v>
      </c>
      <c r="I18" s="8">
        <f>(H18*(1/G18))*0.05*75</f>
        <v>2.946428571428571</v>
      </c>
      <c r="J18" s="8">
        <f>(H61+H52)*(1/G18*H18)</f>
        <v>0</v>
      </c>
      <c r="K18" s="8">
        <f>H18*(1/G18)*1.2</f>
        <v>0.9428571428571428</v>
      </c>
    </row>
    <row r="19" spans="2:11" ht="12.75">
      <c r="B19" s="1" t="s">
        <v>8</v>
      </c>
      <c r="D19" s="8">
        <v>40</v>
      </c>
      <c r="E19" s="8">
        <v>2.5</v>
      </c>
      <c r="F19" s="6">
        <v>65</v>
      </c>
      <c r="G19" s="8">
        <f>(D19*E19*(F19/100))/8.25</f>
        <v>7.878787878787879</v>
      </c>
      <c r="H19" s="6">
        <v>12</v>
      </c>
      <c r="I19" s="8">
        <f>(H19*(1/G19))*0.05*325</f>
        <v>24.75</v>
      </c>
      <c r="J19" s="8">
        <f>(H62+H53)*(1/G19*H19)</f>
        <v>0</v>
      </c>
      <c r="K19" s="8">
        <f>H19*(1/G19)*1.2</f>
        <v>1.8276923076923075</v>
      </c>
    </row>
    <row r="20" spans="2:11" ht="12.75">
      <c r="B20" s="1" t="s">
        <v>63</v>
      </c>
      <c r="D20" s="8">
        <v>15</v>
      </c>
      <c r="E20" s="8">
        <v>6</v>
      </c>
      <c r="F20" s="6">
        <v>95</v>
      </c>
      <c r="G20" s="8">
        <f>(D20*E20*(F20/100))/8.25</f>
        <v>10.363636363636363</v>
      </c>
      <c r="H20" s="6">
        <v>5</v>
      </c>
      <c r="I20" s="8">
        <f>(H20*(1/G20))*0.05*125</f>
        <v>3.0153508771929833</v>
      </c>
      <c r="J20" s="8">
        <f>(H62+H54)*(1/G20*H20)</f>
        <v>0</v>
      </c>
      <c r="K20" s="8">
        <f>H20*(1/G20)*1.2</f>
        <v>0.5789473684210527</v>
      </c>
    </row>
    <row r="22" spans="2:12" ht="12.75">
      <c r="B22" s="26" t="s">
        <v>230</v>
      </c>
      <c r="D22" s="8"/>
      <c r="F22" s="8"/>
      <c r="G22" s="8"/>
      <c r="H22" s="8"/>
      <c r="I22" s="10">
        <f>SUM(I17:I20)</f>
        <v>30.711779448621552</v>
      </c>
      <c r="J22" s="10">
        <f>SUM(J17:J20)</f>
        <v>0</v>
      </c>
      <c r="K22" s="10">
        <f>SUM(K17:K20)</f>
        <v>3.3494968189705028</v>
      </c>
      <c r="L22" s="26">
        <f>SUM(I22:K22)</f>
        <v>34.061276267592056</v>
      </c>
    </row>
    <row r="23" spans="2:11" ht="12.75">
      <c r="B23" s="17"/>
      <c r="D23" s="8"/>
      <c r="E23" s="8"/>
      <c r="F23" s="8"/>
      <c r="G23" s="8"/>
      <c r="H23" s="8"/>
      <c r="I23" s="8"/>
      <c r="J23" s="8"/>
      <c r="K23" s="8"/>
    </row>
    <row r="24" spans="2:11" ht="12.75">
      <c r="B24" s="26" t="s">
        <v>136</v>
      </c>
      <c r="D24" s="8"/>
      <c r="E24" s="8"/>
      <c r="F24" s="8"/>
      <c r="G24" s="8"/>
      <c r="H24" s="8"/>
      <c r="I24" s="8"/>
      <c r="J24" s="8"/>
      <c r="K24" s="8"/>
    </row>
    <row r="25" spans="2:11" ht="12.75">
      <c r="B25" s="44" t="s">
        <v>298</v>
      </c>
      <c r="D25" s="6">
        <v>40</v>
      </c>
      <c r="E25" s="8">
        <v>1</v>
      </c>
      <c r="F25" s="6">
        <v>90</v>
      </c>
      <c r="G25" s="8">
        <f>(D25*E25*(F25/100))/8.25</f>
        <v>4.363636363636363</v>
      </c>
      <c r="H25" s="6">
        <v>4</v>
      </c>
      <c r="I25" s="8">
        <f>(H25*(1/G25))*0.05*90</f>
        <v>4.125</v>
      </c>
      <c r="J25" s="8">
        <f>(H67+H63)*(1/G25*H25)</f>
        <v>0</v>
      </c>
      <c r="K25" s="8">
        <f>H25*(1/G25)*1.2</f>
        <v>1.1</v>
      </c>
    </row>
    <row r="26" spans="2:11" ht="12.75">
      <c r="B26" s="40" t="s">
        <v>234</v>
      </c>
      <c r="D26" s="7">
        <v>10</v>
      </c>
      <c r="E26" s="8">
        <v>3</v>
      </c>
      <c r="F26" s="7">
        <v>90</v>
      </c>
      <c r="G26" s="8">
        <f>(D26*E26*(F26/100))/8.25</f>
        <v>3.272727272727273</v>
      </c>
      <c r="H26" s="6">
        <v>3</v>
      </c>
      <c r="I26" s="8">
        <f>(H26*(1/G26))*0.05*75</f>
        <v>3.4374999999999996</v>
      </c>
      <c r="J26" s="8">
        <f>(H57+H61)*(1/G26*H26)</f>
        <v>0</v>
      </c>
      <c r="K26" s="8">
        <f>H26*(1/G26)*1.2</f>
        <v>1.0999999999999999</v>
      </c>
    </row>
    <row r="27" spans="2:11" ht="12.75">
      <c r="B27" s="40" t="s">
        <v>298</v>
      </c>
      <c r="D27" s="7">
        <v>10</v>
      </c>
      <c r="E27" s="8">
        <v>2</v>
      </c>
      <c r="F27" s="7">
        <v>80</v>
      </c>
      <c r="G27" s="8">
        <v>7</v>
      </c>
      <c r="H27" s="6">
        <v>3</v>
      </c>
      <c r="I27" s="8">
        <f>(H27*(1/G27))*0.05*125</f>
        <v>2.6785714285714284</v>
      </c>
      <c r="J27" s="8">
        <f>(H58+H62)*(1/G27*H27)</f>
        <v>0</v>
      </c>
      <c r="K27" s="8">
        <f>H27*(1/G27)*1.2</f>
        <v>0.5142857142857142</v>
      </c>
    </row>
    <row r="28" spans="2:11" ht="12.75">
      <c r="B28" s="1" t="s">
        <v>57</v>
      </c>
      <c r="H28" s="6"/>
      <c r="I28" s="8">
        <v>5</v>
      </c>
      <c r="J28" s="8">
        <v>0.5</v>
      </c>
      <c r="K28" s="8">
        <v>1</v>
      </c>
    </row>
    <row r="29" spans="2:12" ht="12.75">
      <c r="B29" s="26" t="s">
        <v>226</v>
      </c>
      <c r="I29" s="10">
        <f>SUM(I25:I28)</f>
        <v>15.241071428571429</v>
      </c>
      <c r="J29" s="10">
        <f>SUM(J25:J28)</f>
        <v>0.5</v>
      </c>
      <c r="K29" s="10">
        <f>SUM(K25:K28)</f>
        <v>3.7142857142857144</v>
      </c>
      <c r="L29" s="26">
        <f>SUM(I29:K29)</f>
        <v>19.455357142857142</v>
      </c>
    </row>
    <row r="32" ht="12.75"/>
    <row r="33" ht="12.75"/>
    <row r="34" ht="12.75"/>
    <row r="35" spans="2:10" ht="12.75">
      <c r="B35" s="97"/>
      <c r="C35" s="97"/>
      <c r="D35" s="97"/>
      <c r="E35" s="97"/>
      <c r="F35" s="97"/>
      <c r="G35" s="97"/>
      <c r="H35" s="97"/>
      <c r="I35" s="97"/>
      <c r="J35" s="93"/>
    </row>
    <row r="36" spans="2:10" ht="12.75">
      <c r="B36" s="209"/>
      <c r="C36" s="209"/>
      <c r="D36" s="209"/>
      <c r="E36" s="209"/>
      <c r="F36" s="209"/>
      <c r="G36" s="209"/>
      <c r="H36" s="209"/>
      <c r="I36" s="209"/>
      <c r="J36" s="209"/>
    </row>
    <row r="37" spans="2:10" ht="12.75">
      <c r="B37" s="209"/>
      <c r="C37" s="209"/>
      <c r="D37" s="209"/>
      <c r="E37" s="209"/>
      <c r="F37" s="209"/>
      <c r="G37" s="209"/>
      <c r="H37" s="209"/>
      <c r="I37" s="209"/>
      <c r="J37" s="209"/>
    </row>
    <row r="42" ht="12.75">
      <c r="A42" s="1" t="s">
        <v>81</v>
      </c>
    </row>
    <row r="49" spans="4:9" ht="12.75">
      <c r="D49" s="8"/>
      <c r="E49" s="8"/>
      <c r="F49" s="8"/>
      <c r="G49" s="8"/>
      <c r="H49" s="8"/>
      <c r="I49" s="8"/>
    </row>
    <row r="50" spans="4:9" ht="12.75">
      <c r="D50" s="8"/>
      <c r="E50" s="8"/>
      <c r="F50" s="8"/>
      <c r="G50" s="8"/>
      <c r="H50" s="8"/>
      <c r="I50" s="8"/>
    </row>
    <row r="51" spans="4:9" ht="12.75">
      <c r="D51" s="8"/>
      <c r="E51" s="12"/>
      <c r="F51" s="6"/>
      <c r="G51" s="8"/>
      <c r="H51" s="8"/>
      <c r="I51" s="8"/>
    </row>
    <row r="52" spans="4:9" ht="12.75">
      <c r="D52" s="8"/>
      <c r="E52" s="12"/>
      <c r="F52" s="6"/>
      <c r="G52" s="8"/>
      <c r="H52" s="8"/>
      <c r="I52" s="8"/>
    </row>
    <row r="53" spans="4:9" ht="12.75">
      <c r="D53" s="8"/>
      <c r="E53" s="6"/>
      <c r="F53" s="6"/>
      <c r="G53" s="8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5:9" ht="12.75">
      <c r="E55" s="12"/>
      <c r="F55" s="6"/>
      <c r="G55" s="7"/>
      <c r="H55" s="8"/>
      <c r="I55" s="8"/>
    </row>
    <row r="56" spans="5:9" ht="12.75">
      <c r="E56" s="12"/>
      <c r="F56" s="7"/>
      <c r="G56" s="7"/>
      <c r="H56" s="8"/>
      <c r="I56" s="8"/>
    </row>
    <row r="57" spans="5:9" ht="12.75">
      <c r="E57" s="12"/>
      <c r="F57" s="7"/>
      <c r="G57" s="7"/>
      <c r="H57" s="8"/>
      <c r="I57" s="8"/>
    </row>
    <row r="58" spans="5:9" ht="12.75">
      <c r="E58" s="12"/>
      <c r="F58" s="7"/>
      <c r="G58" s="7"/>
      <c r="H58" s="8"/>
      <c r="I58" s="8"/>
    </row>
    <row r="59" spans="5:9" ht="12.75">
      <c r="E59" s="12"/>
      <c r="F59" s="7"/>
      <c r="G59" s="7"/>
      <c r="H59" s="8"/>
      <c r="I59" s="8"/>
    </row>
    <row r="60" spans="4:9" ht="12.75">
      <c r="D60" s="8"/>
      <c r="E60" s="6"/>
      <c r="F60" s="6"/>
      <c r="G60" s="8"/>
      <c r="H60" s="8"/>
      <c r="I60" s="8"/>
    </row>
    <row r="61" spans="4:9" ht="12.75">
      <c r="D61" s="8"/>
      <c r="E61" s="6"/>
      <c r="F61" s="6"/>
      <c r="G61" s="8"/>
      <c r="H61" s="8"/>
      <c r="I61" s="8"/>
    </row>
    <row r="62" spans="4:9" ht="12.75">
      <c r="D62" s="8"/>
      <c r="E62" s="6"/>
      <c r="F62" s="6"/>
      <c r="G62" s="8"/>
      <c r="H62" s="8"/>
      <c r="I62" s="8"/>
    </row>
    <row r="63" spans="5:9" ht="12.75">
      <c r="E63" s="6"/>
      <c r="F63" s="7"/>
      <c r="G63" s="8"/>
      <c r="H63" s="8"/>
      <c r="I63" s="8"/>
    </row>
    <row r="64" spans="5:6" ht="12.75">
      <c r="E64" s="12"/>
      <c r="F64" s="7"/>
    </row>
    <row r="65" ht="12.75">
      <c r="F65" s="7"/>
    </row>
  </sheetData>
  <sheetProtection/>
  <mergeCells count="4">
    <mergeCell ref="B36:J36"/>
    <mergeCell ref="B37:J37"/>
    <mergeCell ref="B1:M1"/>
    <mergeCell ref="B2:M2"/>
  </mergeCells>
  <printOptions/>
  <pageMargins left="0.75" right="0.75" top="1" bottom="1" header="0.5" footer="0.5"/>
  <pageSetup orientation="portrait" paperSize="9"/>
  <rowBreaks count="1" manualBreakCount="1">
    <brk id="4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L44"/>
  <sheetViews>
    <sheetView zoomScalePageLayoutView="0" workbookViewId="0" topLeftCell="A16">
      <selection activeCell="R15" sqref="R15"/>
    </sheetView>
  </sheetViews>
  <sheetFormatPr defaultColWidth="9.140625" defaultRowHeight="12.75"/>
  <cols>
    <col min="1" max="1" width="1.421875" style="1" customWidth="1"/>
    <col min="2" max="2" width="32.57421875" style="1" customWidth="1"/>
    <col min="3" max="3" width="6.7109375" style="1" customWidth="1"/>
    <col min="4" max="4" width="8.28125" style="1" customWidth="1"/>
    <col min="5" max="5" width="9.851562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1" spans="1:12" ht="21">
      <c r="A1" s="207" t="s">
        <v>353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1">
      <c r="A2" s="207" t="s">
        <v>348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4" spans="2:8" ht="12.75">
      <c r="B4" s="171" t="s">
        <v>329</v>
      </c>
      <c r="C4" s="172"/>
      <c r="D4" s="172"/>
      <c r="E4" s="172"/>
      <c r="F4" s="172"/>
      <c r="G4" s="172"/>
      <c r="H4" s="172"/>
    </row>
    <row r="5" spans="2:8" ht="12.75">
      <c r="B5" s="172" t="s">
        <v>330</v>
      </c>
      <c r="C5" s="172"/>
      <c r="D5" s="172"/>
      <c r="E5" s="172"/>
      <c r="F5" s="172"/>
      <c r="G5" s="172"/>
      <c r="H5" s="172"/>
    </row>
    <row r="6" spans="2:8" ht="12.75">
      <c r="B6" s="172" t="s">
        <v>331</v>
      </c>
      <c r="C6" s="172"/>
      <c r="D6" s="172"/>
      <c r="E6" s="172"/>
      <c r="F6" s="172"/>
      <c r="G6" s="172"/>
      <c r="H6" s="172"/>
    </row>
    <row r="7" spans="2:8" ht="12.75">
      <c r="B7" s="173" t="s">
        <v>349</v>
      </c>
      <c r="C7" s="173"/>
      <c r="D7" s="173"/>
      <c r="E7" s="173"/>
      <c r="F7" s="173"/>
      <c r="G7" s="173"/>
      <c r="H7" s="173"/>
    </row>
    <row r="9" spans="2:3" ht="13.5">
      <c r="B9" s="76"/>
      <c r="C9" s="60"/>
    </row>
    <row r="10" ht="15">
      <c r="D10" s="59"/>
    </row>
    <row r="11" spans="2:11" ht="15">
      <c r="B11" s="210" t="s">
        <v>341</v>
      </c>
      <c r="C11" s="200"/>
      <c r="D11" s="200"/>
      <c r="E11" s="200"/>
      <c r="F11" s="200"/>
      <c r="G11" s="200"/>
      <c r="H11" s="200"/>
      <c r="I11" s="200"/>
      <c r="J11" s="200"/>
      <c r="K11" s="200"/>
    </row>
    <row r="13" spans="2:5" ht="12.75">
      <c r="B13" s="1" t="s">
        <v>92</v>
      </c>
      <c r="C13" s="12">
        <v>5</v>
      </c>
      <c r="D13" s="37"/>
      <c r="E13" s="12" t="s">
        <v>0</v>
      </c>
    </row>
    <row r="14" spans="2:5" ht="12.75">
      <c r="B14" s="1" t="s">
        <v>148</v>
      </c>
      <c r="C14" s="31">
        <v>0.075</v>
      </c>
      <c r="D14" s="37"/>
      <c r="E14" s="12" t="s">
        <v>0</v>
      </c>
    </row>
    <row r="15" spans="4:11" ht="12.75">
      <c r="D15" s="37" t="s">
        <v>338</v>
      </c>
      <c r="E15" s="86" t="s">
        <v>194</v>
      </c>
      <c r="F15" s="37" t="s">
        <v>206</v>
      </c>
      <c r="G15" s="81" t="s">
        <v>249</v>
      </c>
      <c r="H15" s="87"/>
      <c r="I15" s="87"/>
      <c r="J15" s="87"/>
      <c r="K15" s="81"/>
    </row>
    <row r="16" spans="2:11" ht="12.75">
      <c r="B16" s="37" t="s">
        <v>58</v>
      </c>
      <c r="D16" s="37" t="s">
        <v>337</v>
      </c>
      <c r="E16" s="86" t="s">
        <v>192</v>
      </c>
      <c r="F16" s="37" t="s">
        <v>239</v>
      </c>
      <c r="G16" s="81" t="s">
        <v>163</v>
      </c>
      <c r="H16" s="81" t="s">
        <v>112</v>
      </c>
      <c r="I16" s="37" t="s">
        <v>147</v>
      </c>
      <c r="J16" s="81" t="s">
        <v>210</v>
      </c>
      <c r="K16" s="81" t="s">
        <v>122</v>
      </c>
    </row>
    <row r="17" spans="5:11" ht="12.75">
      <c r="E17" s="18"/>
      <c r="F17" s="18"/>
      <c r="G17" s="18"/>
      <c r="H17" s="18"/>
      <c r="I17" s="18"/>
      <c r="J17" s="18"/>
      <c r="K17" s="32"/>
    </row>
    <row r="18" spans="2:11" ht="12.75">
      <c r="B18" s="38" t="s">
        <v>265</v>
      </c>
      <c r="C18" s="40"/>
      <c r="D18" s="43">
        <v>0.5</v>
      </c>
      <c r="E18" s="46">
        <v>6800</v>
      </c>
      <c r="F18" s="46">
        <f aca="true" t="shared" si="0" ref="F18:F24">E18*0.2</f>
        <v>1360</v>
      </c>
      <c r="G18" s="46">
        <v>10</v>
      </c>
      <c r="H18" s="46">
        <f aca="true" t="shared" si="1" ref="H18:H23">(E18-F18)/G18*D18</f>
        <v>272</v>
      </c>
      <c r="I18" s="46">
        <f aca="true" t="shared" si="2" ref="I18:I23">(E18+F18)/2*C$14*D18</f>
        <v>153</v>
      </c>
      <c r="J18" s="46">
        <f aca="true" t="shared" si="3" ref="J18:J23">(E18+F18)/2*0.014*D18</f>
        <v>28.560000000000002</v>
      </c>
      <c r="K18" s="45">
        <f aca="true" t="shared" si="4" ref="K18:K23">(H18+I18+J18)/$C$13</f>
        <v>90.712</v>
      </c>
    </row>
    <row r="19" spans="2:11" ht="12.75">
      <c r="B19" s="38" t="s">
        <v>264</v>
      </c>
      <c r="C19" s="40"/>
      <c r="D19" s="43">
        <v>0.5</v>
      </c>
      <c r="E19" s="46">
        <f>17845*1.171+17845</f>
        <v>38741.494999999995</v>
      </c>
      <c r="F19" s="46">
        <f t="shared" si="0"/>
        <v>7748.298999999999</v>
      </c>
      <c r="G19" s="46">
        <v>10</v>
      </c>
      <c r="H19" s="46">
        <f t="shared" si="1"/>
        <v>1549.6598</v>
      </c>
      <c r="I19" s="46">
        <f t="shared" si="2"/>
        <v>871.6836374999999</v>
      </c>
      <c r="J19" s="46">
        <f t="shared" si="3"/>
        <v>162.71427899999998</v>
      </c>
      <c r="K19" s="45">
        <f t="shared" si="4"/>
        <v>516.8115432999999</v>
      </c>
    </row>
    <row r="20" spans="2:11" ht="12.75">
      <c r="B20" s="38" t="s">
        <v>263</v>
      </c>
      <c r="C20" s="40"/>
      <c r="D20" s="43">
        <v>0.5</v>
      </c>
      <c r="E20" s="46">
        <f>4760*1.171+4760</f>
        <v>10333.96</v>
      </c>
      <c r="F20" s="46">
        <f t="shared" si="0"/>
        <v>2066.792</v>
      </c>
      <c r="G20" s="46">
        <v>10</v>
      </c>
      <c r="H20" s="46">
        <f t="shared" si="1"/>
        <v>413.35839999999996</v>
      </c>
      <c r="I20" s="46">
        <f t="shared" si="2"/>
        <v>232.51409999999996</v>
      </c>
      <c r="J20" s="46">
        <f t="shared" si="3"/>
        <v>43.402632</v>
      </c>
      <c r="K20" s="45">
        <f t="shared" si="4"/>
        <v>137.85502639999999</v>
      </c>
    </row>
    <row r="21" spans="2:11" ht="12.75">
      <c r="B21" s="38" t="s">
        <v>115</v>
      </c>
      <c r="C21" s="40"/>
      <c r="D21" s="43">
        <v>0.5</v>
      </c>
      <c r="E21" s="46">
        <f>2379*1.171+2379</f>
        <v>5164.809</v>
      </c>
      <c r="F21" s="46">
        <f t="shared" si="0"/>
        <v>1032.9618</v>
      </c>
      <c r="G21" s="46">
        <v>10</v>
      </c>
      <c r="H21" s="46">
        <f t="shared" si="1"/>
        <v>206.59236</v>
      </c>
      <c r="I21" s="46">
        <f t="shared" si="2"/>
        <v>116.2082025</v>
      </c>
      <c r="J21" s="46">
        <f t="shared" si="3"/>
        <v>21.692197800000002</v>
      </c>
      <c r="K21" s="45">
        <f t="shared" si="4"/>
        <v>68.89855206</v>
      </c>
    </row>
    <row r="22" spans="2:11" ht="12.75">
      <c r="B22" s="39" t="s">
        <v>357</v>
      </c>
      <c r="C22" s="44"/>
      <c r="D22" s="43">
        <v>0.5</v>
      </c>
      <c r="E22" s="46">
        <v>95000</v>
      </c>
      <c r="F22" s="46">
        <f t="shared" si="0"/>
        <v>19000</v>
      </c>
      <c r="G22" s="46">
        <v>20</v>
      </c>
      <c r="H22" s="46">
        <f t="shared" si="1"/>
        <v>1900</v>
      </c>
      <c r="I22" s="46">
        <f t="shared" si="2"/>
        <v>2137.5</v>
      </c>
      <c r="J22" s="46">
        <f t="shared" si="3"/>
        <v>399</v>
      </c>
      <c r="K22" s="45">
        <f t="shared" si="4"/>
        <v>887.3</v>
      </c>
    </row>
    <row r="23" spans="2:11" ht="12.75">
      <c r="B23" s="39" t="s">
        <v>267</v>
      </c>
      <c r="C23" s="44"/>
      <c r="D23" s="43">
        <v>0.5</v>
      </c>
      <c r="E23" s="46">
        <v>50000</v>
      </c>
      <c r="F23" s="46">
        <f t="shared" si="0"/>
        <v>10000</v>
      </c>
      <c r="G23" s="46">
        <v>10</v>
      </c>
      <c r="H23" s="46">
        <f t="shared" si="1"/>
        <v>2000</v>
      </c>
      <c r="I23" s="46">
        <f t="shared" si="2"/>
        <v>1125</v>
      </c>
      <c r="J23" s="46">
        <f t="shared" si="3"/>
        <v>210</v>
      </c>
      <c r="K23" s="45">
        <f t="shared" si="4"/>
        <v>667</v>
      </c>
    </row>
    <row r="24" spans="2:11" ht="12.75">
      <c r="B24" s="44" t="s">
        <v>266</v>
      </c>
      <c r="C24" s="17"/>
      <c r="D24" s="88">
        <v>0.5</v>
      </c>
      <c r="E24" s="49">
        <f>1190*1.171+1190</f>
        <v>2583.49</v>
      </c>
      <c r="F24" s="49">
        <f t="shared" si="0"/>
        <v>516.698</v>
      </c>
      <c r="G24" s="50">
        <v>10</v>
      </c>
      <c r="H24" s="50">
        <f>(E24-F24)/G24*D24</f>
        <v>103.33959999999999</v>
      </c>
      <c r="I24" s="50">
        <f>(E24+F24)/2*C$14*D24</f>
        <v>58.12852499999999</v>
      </c>
      <c r="J24" s="50">
        <f>(E24+F24)/2*0.014*D24</f>
        <v>10.850658</v>
      </c>
      <c r="K24" s="50">
        <f>(H24+I24+J24)/$C$13</f>
        <v>34.463756599999996</v>
      </c>
    </row>
    <row r="25" spans="2:11" ht="12.75">
      <c r="B25" s="17"/>
      <c r="C25" s="17"/>
      <c r="D25" s="7"/>
      <c r="E25" s="49"/>
      <c r="F25" s="49"/>
      <c r="G25" s="50"/>
      <c r="H25" s="50"/>
      <c r="I25" s="50"/>
      <c r="J25" s="50"/>
      <c r="K25" s="50"/>
    </row>
    <row r="26" spans="2:11" ht="13.5" thickBot="1">
      <c r="B26" s="26" t="s">
        <v>228</v>
      </c>
      <c r="D26" s="7"/>
      <c r="E26" s="67">
        <f>SUM(E18:E25)</f>
        <v>208623.754</v>
      </c>
      <c r="F26" s="68">
        <f>SUM(F18:F25)</f>
        <v>41724.750799999994</v>
      </c>
      <c r="G26" s="51"/>
      <c r="H26" s="70">
        <f>SUM(H18:H25)</f>
        <v>6444.95016</v>
      </c>
      <c r="I26" s="70">
        <f>SUM(I18:I25)</f>
        <v>4694.034465</v>
      </c>
      <c r="J26" s="70">
        <f>SUM(J18:J25)</f>
        <v>876.2197667999999</v>
      </c>
      <c r="K26" s="70">
        <f>SUM(K18:K25)</f>
        <v>2403.04087836</v>
      </c>
    </row>
    <row r="27" spans="4:11" ht="13.5" thickTop="1">
      <c r="D27" s="7"/>
      <c r="E27" s="61"/>
      <c r="F27" s="61"/>
      <c r="G27" s="7"/>
      <c r="H27" s="61"/>
      <c r="I27" s="61"/>
      <c r="J27" s="61"/>
      <c r="K27" s="69"/>
    </row>
    <row r="28" spans="4:11" ht="12.75">
      <c r="D28" s="7"/>
      <c r="E28" s="7"/>
      <c r="F28" s="7"/>
      <c r="G28" s="7"/>
      <c r="H28" s="7"/>
      <c r="I28" s="6">
        <f>H26</f>
        <v>6444.95016</v>
      </c>
      <c r="J28" s="7"/>
      <c r="K28" s="8"/>
    </row>
    <row r="29" spans="4:11" ht="12.75">
      <c r="D29" s="7"/>
      <c r="E29" s="7"/>
      <c r="F29" s="7"/>
      <c r="G29" s="7"/>
      <c r="H29" s="7"/>
      <c r="I29" s="6">
        <f>I26</f>
        <v>4694.034465</v>
      </c>
      <c r="J29" s="7"/>
      <c r="K29" s="8"/>
    </row>
    <row r="30" spans="4:11" ht="12.75">
      <c r="D30" s="7"/>
      <c r="E30" s="7"/>
      <c r="F30" s="7"/>
      <c r="G30" s="7"/>
      <c r="H30" s="7"/>
      <c r="I30" s="6">
        <f>J26</f>
        <v>876.2197667999999</v>
      </c>
      <c r="J30" s="7"/>
      <c r="K30" s="8"/>
    </row>
    <row r="31" spans="4:11" ht="12.75">
      <c r="D31" s="7"/>
      <c r="E31" s="7"/>
      <c r="F31" s="7"/>
      <c r="G31" s="7"/>
      <c r="H31" s="7"/>
      <c r="I31" s="6"/>
      <c r="J31" s="7"/>
      <c r="K31" s="8"/>
    </row>
    <row r="32" spans="2:11" ht="12.75">
      <c r="B32" s="26" t="s">
        <v>225</v>
      </c>
      <c r="D32" s="7"/>
      <c r="E32" s="7"/>
      <c r="F32" s="7"/>
      <c r="G32" s="7"/>
      <c r="H32" s="7"/>
      <c r="I32" s="72">
        <f>SUM(I28:I31)</f>
        <v>12015.204391800002</v>
      </c>
      <c r="J32" s="7"/>
      <c r="K32" s="8"/>
    </row>
    <row r="33" spans="2:11" ht="13.5" thickBot="1">
      <c r="B33" s="26" t="s">
        <v>128</v>
      </c>
      <c r="D33" s="7"/>
      <c r="E33" s="7"/>
      <c r="F33" s="7"/>
      <c r="G33" s="7"/>
      <c r="H33" s="7"/>
      <c r="I33" s="73">
        <f>I32/C13</f>
        <v>2403.0408783600005</v>
      </c>
      <c r="J33" s="7"/>
      <c r="K33" s="8"/>
    </row>
    <row r="34" spans="4:11" ht="13.5" thickTop="1">
      <c r="D34" s="7"/>
      <c r="E34" s="7"/>
      <c r="F34" s="7"/>
      <c r="G34" s="7"/>
      <c r="H34" s="7"/>
      <c r="I34" s="61"/>
      <c r="J34" s="7"/>
      <c r="K34" s="8"/>
    </row>
    <row r="35" spans="4:11" ht="12.75">
      <c r="D35" s="7"/>
      <c r="E35" s="7"/>
      <c r="F35" s="7"/>
      <c r="G35" s="7"/>
      <c r="H35" s="7"/>
      <c r="I35" s="7"/>
      <c r="J35" s="7"/>
      <c r="K35" s="8"/>
    </row>
    <row r="36" spans="2:11" ht="12.75">
      <c r="B36" s="1" t="s">
        <v>75</v>
      </c>
      <c r="D36" s="7"/>
      <c r="E36" s="7"/>
      <c r="F36" s="7"/>
      <c r="G36" s="7"/>
      <c r="H36" s="7"/>
      <c r="I36" s="7"/>
      <c r="J36" s="7"/>
      <c r="K36" s="8"/>
    </row>
    <row r="37" spans="4:11" ht="12.75">
      <c r="D37" s="7"/>
      <c r="E37" s="7"/>
      <c r="F37" s="7"/>
      <c r="G37" s="7"/>
      <c r="H37" s="7"/>
      <c r="I37" s="7"/>
      <c r="J37" s="7"/>
      <c r="K37" s="8"/>
    </row>
    <row r="38" spans="1:11" ht="12.75">
      <c r="A38" s="1" t="s">
        <v>81</v>
      </c>
      <c r="D38" s="7"/>
      <c r="E38" s="7"/>
      <c r="F38" s="7"/>
      <c r="G38" s="7"/>
      <c r="H38" s="7"/>
      <c r="I38" s="7"/>
      <c r="J38" s="7"/>
      <c r="K38" s="8"/>
    </row>
    <row r="39" spans="4:11" ht="12.75">
      <c r="D39" s="7"/>
      <c r="E39" s="7"/>
      <c r="F39" s="7"/>
      <c r="G39" s="7"/>
      <c r="H39" s="7"/>
      <c r="I39" s="7"/>
      <c r="J39" s="7"/>
      <c r="K39" s="8"/>
    </row>
    <row r="40" spans="4:11" ht="12.75">
      <c r="D40" s="7"/>
      <c r="E40" s="7"/>
      <c r="F40" s="7"/>
      <c r="G40" s="7"/>
      <c r="H40" s="7"/>
      <c r="I40" s="7"/>
      <c r="J40" s="7"/>
      <c r="K40" s="8"/>
    </row>
    <row r="41" spans="4:11" ht="12.75">
      <c r="D41" s="7"/>
      <c r="E41" s="7"/>
      <c r="F41" s="7"/>
      <c r="G41" s="7"/>
      <c r="H41" s="7"/>
      <c r="I41" s="7"/>
      <c r="J41" s="7"/>
      <c r="K41" s="8"/>
    </row>
    <row r="42" spans="2:11" ht="12.75">
      <c r="B42" s="92"/>
      <c r="C42" s="92"/>
      <c r="D42" s="92"/>
      <c r="E42" s="92"/>
      <c r="F42" s="92"/>
      <c r="G42" s="92"/>
      <c r="H42" s="92"/>
      <c r="I42" s="92"/>
      <c r="J42" s="93"/>
      <c r="K42" s="8"/>
    </row>
    <row r="43" spans="2:11" ht="12.75">
      <c r="B43" s="209"/>
      <c r="C43" s="209"/>
      <c r="D43" s="209"/>
      <c r="E43" s="209"/>
      <c r="F43" s="209"/>
      <c r="G43" s="209"/>
      <c r="H43" s="209"/>
      <c r="I43" s="209"/>
      <c r="J43" s="209"/>
      <c r="K43" s="8"/>
    </row>
    <row r="44" spans="2:11" ht="12.75">
      <c r="B44" s="209"/>
      <c r="C44" s="209"/>
      <c r="D44" s="209"/>
      <c r="E44" s="209"/>
      <c r="F44" s="209"/>
      <c r="G44" s="209"/>
      <c r="H44" s="209"/>
      <c r="I44" s="209"/>
      <c r="J44" s="209"/>
      <c r="K44" s="8"/>
    </row>
  </sheetData>
  <sheetProtection/>
  <mergeCells count="5">
    <mergeCell ref="B11:K11"/>
    <mergeCell ref="B43:J43"/>
    <mergeCell ref="B44:J44"/>
    <mergeCell ref="A1:L1"/>
    <mergeCell ref="A2:L2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64"/>
  <sheetViews>
    <sheetView zoomScalePageLayoutView="0" workbookViewId="0" topLeftCell="A35">
      <selection activeCell="I11" sqref="I11"/>
    </sheetView>
  </sheetViews>
  <sheetFormatPr defaultColWidth="9.140625" defaultRowHeight="12.75"/>
  <cols>
    <col min="1" max="1" width="1.8515625" style="1" customWidth="1"/>
    <col min="2" max="2" width="9.140625" style="1" customWidth="1"/>
    <col min="3" max="3" width="30.57421875" style="1" customWidth="1"/>
    <col min="4" max="4" width="3.7109375" style="1" customWidth="1"/>
    <col min="5" max="5" width="15.421875" style="1" customWidth="1"/>
    <col min="6" max="6" width="11.8515625" style="1" customWidth="1"/>
    <col min="7" max="8" width="12.57421875" style="1" customWidth="1"/>
    <col min="9" max="9" width="12.7109375" style="1" customWidth="1"/>
    <col min="10" max="10" width="7.57421875" style="1" customWidth="1"/>
    <col min="11" max="16384" width="9.140625" style="1" customWidth="1"/>
  </cols>
  <sheetData>
    <row r="1" spans="1:12" ht="21">
      <c r="A1" s="207" t="s">
        <v>353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1">
      <c r="A2" s="198" t="s">
        <v>348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4" spans="2:8" ht="12.75">
      <c r="B4" s="171" t="s">
        <v>329</v>
      </c>
      <c r="C4" s="172"/>
      <c r="D4" s="172"/>
      <c r="E4" s="172"/>
      <c r="F4" s="172"/>
      <c r="G4" s="172"/>
      <c r="H4" s="172"/>
    </row>
    <row r="5" spans="2:8" ht="12.75">
      <c r="B5" s="172" t="s">
        <v>330</v>
      </c>
      <c r="C5" s="172"/>
      <c r="D5" s="172"/>
      <c r="E5" s="172"/>
      <c r="F5" s="172"/>
      <c r="G5" s="172"/>
      <c r="H5" s="172"/>
    </row>
    <row r="6" spans="2:8" ht="12.75">
      <c r="B6" s="172" t="s">
        <v>331</v>
      </c>
      <c r="C6" s="172"/>
      <c r="D6" s="172"/>
      <c r="E6" s="172"/>
      <c r="F6" s="172"/>
      <c r="G6" s="172"/>
      <c r="H6" s="172"/>
    </row>
    <row r="7" spans="2:8" ht="12.75">
      <c r="B7" s="173" t="s">
        <v>349</v>
      </c>
      <c r="C7" s="173"/>
      <c r="D7" s="173"/>
      <c r="E7" s="173"/>
      <c r="F7" s="173"/>
      <c r="G7" s="173"/>
      <c r="H7" s="173"/>
    </row>
    <row r="10" ht="12.75">
      <c r="C10" s="76"/>
    </row>
    <row r="11" spans="1:5" ht="15">
      <c r="A11" s="17"/>
      <c r="E11" s="59"/>
    </row>
    <row r="12" spans="1:8" ht="15">
      <c r="A12" s="17"/>
      <c r="C12" s="199" t="s">
        <v>307</v>
      </c>
      <c r="D12" s="191"/>
      <c r="E12" s="191"/>
      <c r="F12" s="191"/>
      <c r="G12" s="191"/>
      <c r="H12" s="191"/>
    </row>
    <row r="13" ht="12.75">
      <c r="A13" s="17"/>
    </row>
    <row r="14" spans="1:8" ht="12.75">
      <c r="A14" s="17"/>
      <c r="C14" s="211"/>
      <c r="D14" s="212"/>
      <c r="E14" s="212"/>
      <c r="F14" s="212"/>
      <c r="G14" s="212"/>
      <c r="H14" s="212"/>
    </row>
    <row r="15" spans="1:8" ht="12.75">
      <c r="A15" s="17"/>
      <c r="C15" s="192"/>
      <c r="D15" s="191"/>
      <c r="E15" s="191"/>
      <c r="F15" s="191"/>
      <c r="G15" s="191"/>
      <c r="H15" s="191"/>
    </row>
    <row r="16" ht="12.75">
      <c r="A16" s="17"/>
    </row>
    <row r="17" spans="1:13" ht="13.5">
      <c r="A17" s="17"/>
      <c r="C17" s="213"/>
      <c r="D17" s="214"/>
      <c r="E17" s="214"/>
      <c r="F17" s="214"/>
      <c r="G17" s="214"/>
      <c r="H17" s="214"/>
      <c r="M17" s="58"/>
    </row>
    <row r="18" ht="12.75">
      <c r="A18" s="17"/>
    </row>
    <row r="19" spans="1:7" ht="12.75">
      <c r="A19" s="17"/>
      <c r="B19" s="1" t="s">
        <v>101</v>
      </c>
      <c r="D19" s="1">
        <v>5</v>
      </c>
      <c r="F19" s="27">
        <v>5</v>
      </c>
      <c r="G19" s="17" t="s">
        <v>93</v>
      </c>
    </row>
    <row r="20" spans="1:6" ht="12.75">
      <c r="A20" s="17"/>
      <c r="B20" s="1" t="s">
        <v>207</v>
      </c>
      <c r="D20" s="15">
        <v>40</v>
      </c>
      <c r="E20" s="40" t="s">
        <v>339</v>
      </c>
      <c r="F20" s="15">
        <v>40</v>
      </c>
    </row>
    <row r="21" spans="1:7" ht="12.75">
      <c r="A21" s="17"/>
      <c r="B21" s="1" t="s">
        <v>150</v>
      </c>
      <c r="G21" s="33">
        <v>0.075</v>
      </c>
    </row>
    <row r="22" spans="1:7" ht="12.75">
      <c r="A22" s="17"/>
      <c r="B22" s="1" t="s">
        <v>211</v>
      </c>
      <c r="G22" s="1">
        <v>0.015</v>
      </c>
    </row>
    <row r="23" spans="1:7" ht="12.75">
      <c r="A23" s="17"/>
      <c r="B23" s="1" t="s">
        <v>114</v>
      </c>
      <c r="G23" s="1">
        <v>120</v>
      </c>
    </row>
    <row r="24" ht="12.75">
      <c r="A24" s="17"/>
    </row>
    <row r="25" ht="12.75">
      <c r="A25" s="17"/>
    </row>
    <row r="26" spans="1:2" ht="12.75">
      <c r="A26" s="17"/>
      <c r="B26" s="15" t="s">
        <v>153</v>
      </c>
    </row>
    <row r="27" ht="12.75">
      <c r="A27" s="17"/>
    </row>
    <row r="28" spans="1:9" ht="12.75">
      <c r="A28" s="17"/>
      <c r="E28" s="54" t="s">
        <v>173</v>
      </c>
      <c r="F28" s="54" t="s">
        <v>250</v>
      </c>
      <c r="G28" s="54" t="s">
        <v>113</v>
      </c>
      <c r="H28" s="37" t="s">
        <v>149</v>
      </c>
      <c r="I28" s="37" t="s">
        <v>209</v>
      </c>
    </row>
    <row r="29" spans="1:9" ht="12.75">
      <c r="A29" s="17"/>
      <c r="B29" s="1" t="s">
        <v>186</v>
      </c>
      <c r="E29" s="6">
        <v>12124</v>
      </c>
      <c r="F29" s="6">
        <v>20</v>
      </c>
      <c r="G29" s="6">
        <f aca="true" t="shared" si="0" ref="G29:G35">E29/F29</f>
        <v>606.2</v>
      </c>
      <c r="H29" s="6">
        <f>(E29/2)*G21</f>
        <v>454.65</v>
      </c>
      <c r="I29" s="6">
        <f>(E29/2)*G22</f>
        <v>90.92999999999999</v>
      </c>
    </row>
    <row r="30" spans="1:9" ht="12.75">
      <c r="A30" s="17"/>
      <c r="B30" s="1" t="s">
        <v>252</v>
      </c>
      <c r="E30" s="6">
        <v>558</v>
      </c>
      <c r="F30" s="6">
        <v>10</v>
      </c>
      <c r="G30" s="6">
        <f t="shared" si="0"/>
        <v>55.8</v>
      </c>
      <c r="H30" s="6">
        <f>(E30/2)*G21</f>
        <v>20.925</v>
      </c>
      <c r="I30" s="6">
        <f>(E30/2)*G22</f>
        <v>4.185</v>
      </c>
    </row>
    <row r="31" spans="1:9" ht="12.75">
      <c r="A31" s="17"/>
      <c r="B31" s="1" t="s">
        <v>253</v>
      </c>
      <c r="E31" s="6">
        <v>1695</v>
      </c>
      <c r="F31" s="6">
        <v>25</v>
      </c>
      <c r="G31" s="6">
        <f t="shared" si="0"/>
        <v>67.8</v>
      </c>
      <c r="H31" s="6">
        <f>(E31/2)*G21</f>
        <v>63.5625</v>
      </c>
      <c r="I31" s="6">
        <f>(E31/2)*G22</f>
        <v>12.7125</v>
      </c>
    </row>
    <row r="32" spans="1:9" ht="12.75">
      <c r="A32" s="17"/>
      <c r="B32" s="1" t="s">
        <v>254</v>
      </c>
      <c r="E32" s="6">
        <v>12948</v>
      </c>
      <c r="F32" s="6">
        <v>15</v>
      </c>
      <c r="G32" s="6">
        <f t="shared" si="0"/>
        <v>863.2</v>
      </c>
      <c r="H32" s="6">
        <f>(E32/2)*G21</f>
        <v>485.54999999999995</v>
      </c>
      <c r="I32" s="6">
        <f>(E32/2)*G22</f>
        <v>97.11</v>
      </c>
    </row>
    <row r="33" spans="1:9" ht="12.75">
      <c r="A33" s="17"/>
      <c r="B33" s="1" t="s">
        <v>255</v>
      </c>
      <c r="E33" s="6">
        <v>154</v>
      </c>
      <c r="F33" s="6">
        <v>10</v>
      </c>
      <c r="G33" s="6">
        <f t="shared" si="0"/>
        <v>15.4</v>
      </c>
      <c r="H33" s="6">
        <f>(E33/2)*G21</f>
        <v>5.7749999999999995</v>
      </c>
      <c r="I33" s="6">
        <f>(E33/2)*G22</f>
        <v>1.155</v>
      </c>
    </row>
    <row r="34" spans="1:9" ht="12.75">
      <c r="A34" s="17"/>
      <c r="B34" s="1" t="s">
        <v>256</v>
      </c>
      <c r="E34" s="6">
        <v>865</v>
      </c>
      <c r="F34" s="6">
        <v>20</v>
      </c>
      <c r="G34" s="6">
        <f t="shared" si="0"/>
        <v>43.25</v>
      </c>
      <c r="H34" s="6">
        <f>(E34/2)*G21</f>
        <v>32.4375</v>
      </c>
      <c r="I34" s="6">
        <f>(E34/2)*G22</f>
        <v>6.4875</v>
      </c>
    </row>
    <row r="35" spans="1:9" ht="12.75">
      <c r="A35" s="17"/>
      <c r="B35" s="1" t="s">
        <v>257</v>
      </c>
      <c r="E35" s="6">
        <v>42000</v>
      </c>
      <c r="F35" s="6">
        <v>20</v>
      </c>
      <c r="G35" s="6">
        <f t="shared" si="0"/>
        <v>2100</v>
      </c>
      <c r="H35" s="6">
        <f>(E35/2)*G21</f>
        <v>1575</v>
      </c>
      <c r="I35" s="6">
        <f>(E35/2)*G22</f>
        <v>315</v>
      </c>
    </row>
    <row r="36" spans="1:9" ht="13.5" thickBot="1">
      <c r="A36" s="17"/>
      <c r="B36" s="15" t="s">
        <v>361</v>
      </c>
      <c r="E36" s="71">
        <f>SUM(E29:E35)</f>
        <v>70344</v>
      </c>
      <c r="F36" s="74"/>
      <c r="G36" s="75">
        <f>SUM(G29:G35)</f>
        <v>3751.65</v>
      </c>
      <c r="H36" s="75">
        <f>SUM(H29:H35)</f>
        <v>2637.9</v>
      </c>
      <c r="I36" s="75">
        <f>SUM(I29:I35)</f>
        <v>527.58</v>
      </c>
    </row>
    <row r="37" spans="1:9" ht="13.5" thickTop="1">
      <c r="A37" s="17"/>
      <c r="E37" s="61"/>
      <c r="F37" s="61"/>
      <c r="G37" s="61"/>
      <c r="H37" s="61"/>
      <c r="I37" s="61"/>
    </row>
    <row r="38" spans="1:9" ht="13.5" thickBot="1">
      <c r="A38" s="17"/>
      <c r="B38" s="15" t="s">
        <v>360</v>
      </c>
      <c r="E38" s="7"/>
      <c r="F38" s="7"/>
      <c r="G38" s="7"/>
      <c r="H38" s="7"/>
      <c r="I38" s="71">
        <f>G36+H36+I36</f>
        <v>6917.13</v>
      </c>
    </row>
    <row r="39" spans="1:9" ht="13.5" thickTop="1">
      <c r="A39" s="17"/>
      <c r="E39" s="7"/>
      <c r="F39" s="7"/>
      <c r="G39" s="7"/>
      <c r="H39" s="7"/>
      <c r="I39" s="61"/>
    </row>
    <row r="40" spans="1:9" ht="13.5" thickBot="1">
      <c r="A40" s="17"/>
      <c r="B40" s="15" t="s">
        <v>359</v>
      </c>
      <c r="E40" s="7"/>
      <c r="F40" s="7"/>
      <c r="G40" s="7"/>
      <c r="H40" s="7"/>
      <c r="I40" s="64">
        <f>I38/F19</f>
        <v>1383.426</v>
      </c>
    </row>
    <row r="41" spans="1:9" ht="13.5" thickTop="1">
      <c r="A41" s="17"/>
      <c r="E41" s="7"/>
      <c r="F41" s="7"/>
      <c r="G41" s="7"/>
      <c r="H41" s="7"/>
      <c r="I41" s="61"/>
    </row>
    <row r="42" spans="1:9" ht="12.75">
      <c r="A42" s="17"/>
      <c r="E42" s="7"/>
      <c r="F42" s="7"/>
      <c r="G42" s="7"/>
      <c r="H42" s="7"/>
      <c r="I42" s="7"/>
    </row>
    <row r="43" spans="1:9" ht="12.75">
      <c r="A43" s="17"/>
      <c r="B43" s="15" t="s">
        <v>176</v>
      </c>
      <c r="E43" s="7"/>
      <c r="F43" s="7"/>
      <c r="G43" s="7"/>
      <c r="H43" s="7"/>
      <c r="I43" s="7"/>
    </row>
    <row r="44" spans="1:9" ht="12.75">
      <c r="A44" s="17"/>
      <c r="E44" s="7"/>
      <c r="F44" s="7"/>
      <c r="G44" s="7"/>
      <c r="H44" s="7"/>
      <c r="I44" s="7"/>
    </row>
    <row r="45" spans="1:9" ht="12.75">
      <c r="A45" s="17"/>
      <c r="B45" s="1" t="s">
        <v>171</v>
      </c>
      <c r="E45" s="7"/>
      <c r="F45" s="7"/>
      <c r="G45" s="6">
        <v>7.5</v>
      </c>
      <c r="H45" s="7"/>
      <c r="I45" s="7"/>
    </row>
    <row r="46" spans="1:9" ht="12.75">
      <c r="A46" s="17"/>
      <c r="B46" s="1" t="s">
        <v>201</v>
      </c>
      <c r="E46" s="7"/>
      <c r="F46" s="7"/>
      <c r="G46" s="6">
        <f>(E36-E34-E35)*0.005+25+(E30*0.12)</f>
        <v>229.35500000000002</v>
      </c>
      <c r="H46" s="7"/>
      <c r="I46" s="7"/>
    </row>
    <row r="47" spans="1:9" ht="12.75">
      <c r="A47" s="17"/>
      <c r="B47" s="1" t="s">
        <v>98</v>
      </c>
      <c r="E47" s="7"/>
      <c r="F47" s="7"/>
      <c r="G47" s="6">
        <v>1820</v>
      </c>
      <c r="H47" s="7"/>
      <c r="I47" s="7"/>
    </row>
    <row r="48" spans="1:9" ht="12.75">
      <c r="A48" s="17"/>
      <c r="B48" s="1" t="s">
        <v>117</v>
      </c>
      <c r="E48" s="7"/>
      <c r="F48" s="7"/>
      <c r="G48" s="6"/>
      <c r="H48" s="7"/>
      <c r="I48" s="7"/>
    </row>
    <row r="49" spans="1:9" ht="12.75">
      <c r="A49" s="17"/>
      <c r="B49" s="1" t="s">
        <v>13</v>
      </c>
      <c r="E49" s="7"/>
      <c r="F49" s="7"/>
      <c r="G49" s="6">
        <f>G45*12</f>
        <v>90</v>
      </c>
      <c r="H49" s="7"/>
      <c r="I49" s="7"/>
    </row>
    <row r="50" spans="1:9" ht="12.75">
      <c r="A50" s="17"/>
      <c r="B50" s="1" t="s">
        <v>34</v>
      </c>
      <c r="E50" s="7"/>
      <c r="F50" s="7"/>
      <c r="G50" s="8">
        <v>0.08</v>
      </c>
      <c r="H50" s="7"/>
      <c r="I50" s="7"/>
    </row>
    <row r="51" spans="1:9" ht="12.75">
      <c r="A51" s="17"/>
      <c r="B51" s="1" t="s">
        <v>96</v>
      </c>
      <c r="E51" s="7"/>
      <c r="F51" s="7"/>
      <c r="G51" s="6">
        <f>(G45*0.746*G50*G47)+G49</f>
        <v>904.632</v>
      </c>
      <c r="H51" s="7"/>
      <c r="I51" s="7"/>
    </row>
    <row r="52" spans="1:9" ht="12.75">
      <c r="A52" s="17"/>
      <c r="B52" s="1" t="s">
        <v>97</v>
      </c>
      <c r="E52" s="7"/>
      <c r="F52" s="7"/>
      <c r="G52" s="7"/>
      <c r="H52" s="7"/>
      <c r="I52" s="8">
        <f>G51/F19</f>
        <v>180.9264</v>
      </c>
    </row>
    <row r="53" spans="1:9" ht="13.5" thickBot="1">
      <c r="A53" s="17"/>
      <c r="B53" s="15" t="s">
        <v>362</v>
      </c>
      <c r="E53" s="7"/>
      <c r="F53" s="7"/>
      <c r="G53" s="7"/>
      <c r="H53" s="7"/>
      <c r="I53" s="64">
        <f>(G46+G51)/F19</f>
        <v>226.7974</v>
      </c>
    </row>
    <row r="54" spans="1:9" ht="13.5" thickTop="1">
      <c r="A54" s="17"/>
      <c r="E54" s="7"/>
      <c r="F54" s="7"/>
      <c r="G54" s="7"/>
      <c r="H54" s="7"/>
      <c r="I54" s="61"/>
    </row>
    <row r="55" spans="1:9" ht="12.75">
      <c r="A55" s="17"/>
      <c r="E55" s="7"/>
      <c r="F55" s="7"/>
      <c r="G55" s="7"/>
      <c r="H55" s="7"/>
      <c r="I55" s="7"/>
    </row>
    <row r="56" spans="1:9" ht="13.5" thickBot="1">
      <c r="A56" s="17"/>
      <c r="B56" s="15" t="s">
        <v>358</v>
      </c>
      <c r="E56" s="7"/>
      <c r="F56" s="7"/>
      <c r="G56" s="7"/>
      <c r="H56" s="7"/>
      <c r="I56" s="64">
        <f>I40+I53</f>
        <v>1610.2233999999999</v>
      </c>
    </row>
    <row r="57" spans="1:9" ht="13.5" thickTop="1">
      <c r="A57" s="17"/>
      <c r="E57" s="7"/>
      <c r="F57" s="7"/>
      <c r="G57" s="7"/>
      <c r="H57" s="7"/>
      <c r="I57" s="61"/>
    </row>
    <row r="58" spans="1:9" ht="12.75">
      <c r="A58" s="17"/>
      <c r="E58" s="7"/>
      <c r="F58" s="7"/>
      <c r="G58" s="7"/>
      <c r="H58" s="7"/>
      <c r="I58" s="7"/>
    </row>
    <row r="59" spans="1:9" ht="12.75">
      <c r="A59" s="17"/>
      <c r="E59" s="7"/>
      <c r="F59" s="7"/>
      <c r="G59" s="7"/>
      <c r="H59" s="7"/>
      <c r="I59" s="7"/>
    </row>
    <row r="60" spans="1:10" ht="12.75">
      <c r="A60" s="17"/>
      <c r="B60" s="92"/>
      <c r="C60" s="92"/>
      <c r="D60" s="92"/>
      <c r="E60" s="92"/>
      <c r="F60" s="92"/>
      <c r="G60" s="92"/>
      <c r="H60" s="92"/>
      <c r="I60" s="92"/>
      <c r="J60" s="93"/>
    </row>
    <row r="61" spans="1:10" ht="12.75">
      <c r="A61" s="17"/>
      <c r="B61" s="209"/>
      <c r="C61" s="209"/>
      <c r="D61" s="209"/>
      <c r="E61" s="209"/>
      <c r="F61" s="209"/>
      <c r="G61" s="209"/>
      <c r="H61" s="209"/>
      <c r="I61" s="209"/>
      <c r="J61" s="209"/>
    </row>
    <row r="62" spans="1:10" ht="12.75">
      <c r="A62" s="17"/>
      <c r="B62" s="209"/>
      <c r="C62" s="209"/>
      <c r="D62" s="209"/>
      <c r="E62" s="209"/>
      <c r="F62" s="209"/>
      <c r="G62" s="209"/>
      <c r="H62" s="209"/>
      <c r="I62" s="209"/>
      <c r="J62" s="209"/>
    </row>
    <row r="63" spans="1:9" ht="12.75">
      <c r="A63" s="17"/>
      <c r="E63" s="7"/>
      <c r="F63" s="7"/>
      <c r="G63" s="7"/>
      <c r="H63" s="7"/>
      <c r="I63" s="7"/>
    </row>
    <row r="64" spans="1:9" ht="12.75">
      <c r="A64" s="17"/>
      <c r="E64" s="7"/>
      <c r="F64" s="7"/>
      <c r="G64" s="7"/>
      <c r="H64" s="7"/>
      <c r="I64" s="7"/>
    </row>
  </sheetData>
  <sheetProtection/>
  <mergeCells count="8">
    <mergeCell ref="B61:J61"/>
    <mergeCell ref="B62:J62"/>
    <mergeCell ref="A1:L1"/>
    <mergeCell ref="A2:L2"/>
    <mergeCell ref="C12:H12"/>
    <mergeCell ref="C14:H14"/>
    <mergeCell ref="C15:H15"/>
    <mergeCell ref="C17:H17"/>
  </mergeCells>
  <printOptions/>
  <pageMargins left="0.75" right="0.75" top="1" bottom="1" header="0.5" footer="0.5"/>
  <pageSetup horizontalDpi="600" verticalDpi="600" orientation="portrait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2020-03-19T13:28:57Z</cp:lastPrinted>
  <dcterms:created xsi:type="dcterms:W3CDTF">2017-01-27T13:31:33Z</dcterms:created>
  <dcterms:modified xsi:type="dcterms:W3CDTF">2023-02-27T17:49:33Z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