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9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'Bud'!$W$155:$W$157</definedName>
    <definedName name="\C">'Bud'!$I$155:$I$195</definedName>
    <definedName name="\T">'Bud'!$C$155:$C$195</definedName>
    <definedName name="\V">'Bud'!$O$155:$O$195</definedName>
    <definedName name="\X">'Bud'!$F$155:$F$195</definedName>
    <definedName name="\Y">'Bud'!$L$155:$L$195</definedName>
    <definedName name="\Z">'Bud'!$R$155:$R$195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fn.SINGLE" hidden="1">#NAME?</definedName>
    <definedName name="ENR">'Bud'!$P$97:$P$97</definedName>
    <definedName name="ENR_MNR">'Bud'!$P$97:$P$97</definedName>
    <definedName name="ETR">'Bud'!$N$96:$N$96</definedName>
    <definedName name="EXPP">'Bud'!$P$78:$P$78</definedName>
    <definedName name="EXPY">'Bud'!$N$78:$N$78</definedName>
    <definedName name="MEDP">'Bud'!$G$23:$G$23</definedName>
    <definedName name="MEDY">'Bud'!$G$22:$G$22</definedName>
    <definedName name="MNR">'Bud'!$N$98:$N$98</definedName>
    <definedName name="MTC">'Bud'!$P$96:$P$96</definedName>
    <definedName name="MTCV">'Bud'!$P$96:$P$96</definedName>
    <definedName name="MTR">'Bud'!$N$97:$N$97</definedName>
    <definedName name="_xlnm.Print_Area" localSheetId="4">'Chem'!$A$9:$H$59</definedName>
    <definedName name="_xlnm.Print_Area" localSheetId="6">'FxdCost'!$A$11:$K$60</definedName>
    <definedName name="_xlnm.Print_Area" localSheetId="3">'Yr3'!$A$11:$S$60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"$D$5"</definedName>
    <definedName name="RiskSelectedNameCell1" hidden="1">"$B$5"</definedName>
    <definedName name="RiskSelectedNameCell2" hidden="1">"$D$3"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RHH">'Bud'!$N$92:$N$92</definedName>
    <definedName name="STRHL">'Bud'!$N$93:$N$93</definedName>
    <definedName name="STRLH">'Bud'!$P$93:$P$93</definedName>
    <definedName name="STRLL">'Bud'!$P$92:$P$92</definedName>
    <definedName name="STRO">'Bud'!$N$94:$N$94</definedName>
    <definedName name="STRP">'Bud'!$P$94:$P$94</definedName>
    <definedName name="UNIT">'Bud'!$I$18:$I$18</definedName>
    <definedName name="UNITCOST">'Bud'!$I$58:$I$58</definedName>
  </definedNames>
  <calcPr fullCalcOnLoad="1"/>
</workbook>
</file>

<file path=xl/sharedStrings.xml><?xml version="1.0" encoding="utf-8"?>
<sst xmlns="http://schemas.openxmlformats.org/spreadsheetml/2006/main" count="1046" uniqueCount="401">
  <si>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</si>
  <si>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</si>
  <si>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</si>
  <si>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</si>
  <si>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</si>
  <si>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</si>
  <si>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 the desired output.</t>
  </si>
  <si>
    <t xml:space="preserve">      The installation and initial investment cost per acre would vary with system size, design, PVC pipe and</t>
  </si>
  <si>
    <t xml:space="preserve">    Must match budget Entries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</si>
  <si>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</si>
  <si>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</si>
  <si>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</si>
  <si>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</si>
  <si>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</si>
  <si>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</si>
  <si>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</si>
  <si>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</si>
  <si>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</si>
  <si>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</si>
  <si>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</si>
  <si>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</si>
  <si>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</si>
  <si>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</si>
  <si>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</si>
  <si>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</si>
  <si>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</si>
  <si>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</si>
  <si>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</si>
  <si>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</si>
  <si>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</si>
  <si>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</si>
  <si>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</si>
  <si>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</si>
  <si>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</si>
  <si>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</si>
  <si>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</si>
  <si>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</si>
  <si>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</si>
  <si>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</si>
  <si>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</si>
  <si>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</si>
  <si>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</si>
  <si>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</si>
  <si>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</si>
  <si>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</si>
  <si>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</si>
  <si>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</si>
  <si>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</si>
  <si>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</si>
  <si>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</si>
  <si>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</si>
  <si>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</si>
  <si>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</si>
  <si>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</si>
  <si>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</si>
  <si>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 xml:space="preserve"> Rotary Mower(5')</t>
  </si>
  <si>
    <t xml:space="preserve"> Shielded herbicide Sprayer</t>
  </si>
  <si>
    <t xml:space="preserve"> Sprayer,airblast</t>
  </si>
  <si>
    <t>$</t>
  </si>
  <si>
    <t>$Amt/ac</t>
  </si>
  <si>
    <t>%</t>
  </si>
  <si>
    <t>($)</t>
  </si>
  <si>
    <t>(ft.)</t>
  </si>
  <si>
    <t>(Gal.)</t>
  </si>
  <si>
    <t>(Hr.)</t>
  </si>
  <si>
    <t>(mph)</t>
  </si>
  <si>
    <t>*Price per lb.</t>
  </si>
  <si>
    <t>*Returns($)</t>
  </si>
  <si>
    <t>*Yield (lbs)</t>
  </si>
  <si>
    <t>::</t>
  </si>
  <si>
    <t>1/  Fertigation is based on 2 lbs of N per acre /week</t>
  </si>
  <si>
    <t xml:space="preserve">1/  Normally irrigation/ freeze protection initial investment would cost the grower $2500 to $3000 per acre.  </t>
  </si>
  <si>
    <t>1/yr</t>
  </si>
  <si>
    <t>12/yr</t>
  </si>
  <si>
    <t>2/  Range from $300 - $1200 depending on the number and size of stumps.</t>
  </si>
  <si>
    <t>2/yr</t>
  </si>
  <si>
    <t xml:space="preserve">2/yr </t>
  </si>
  <si>
    <t>3/yr</t>
  </si>
  <si>
    <t>4/yr</t>
  </si>
  <si>
    <t>5/yr</t>
  </si>
  <si>
    <t>8/yr</t>
  </si>
  <si>
    <t>Acre</t>
  </si>
  <si>
    <t>Acres</t>
  </si>
  <si>
    <t>ACRES</t>
  </si>
  <si>
    <t>Air Blast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</si>
  <si>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</si>
  <si>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</si>
  <si>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</si>
  <si>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</si>
  <si>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</si>
  <si>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</si>
  <si>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</si>
  <si>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</si>
  <si>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</si>
  <si>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</si>
  <si>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</si>
  <si>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</si>
  <si>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</si>
  <si>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</si>
  <si>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</si>
  <si>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</si>
  <si>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</si>
  <si>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</si>
  <si>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</si>
  <si>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</si>
  <si>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</si>
  <si>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</si>
  <si>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</si>
  <si>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</si>
  <si>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</si>
  <si>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</si>
  <si>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</si>
  <si>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</si>
  <si>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</si>
  <si>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</si>
  <si>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</si>
  <si>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</si>
  <si>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</si>
  <si>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</si>
  <si>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</si>
  <si>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</si>
  <si>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</si>
  <si>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</si>
  <si>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Fertigation is based on 5 lbs of N per acre/ week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</si>
  <si>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</si>
  <si>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</si>
  <si>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</si>
  <si>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</si>
  <si>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</si>
  <si>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</si>
  <si>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</si>
  <si>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</si>
  <si>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</si>
  <si>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</si>
  <si>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</si>
  <si>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</si>
  <si>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</si>
  <si>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</si>
  <si>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</si>
  <si>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</si>
  <si>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</si>
  <si>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</si>
  <si>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</si>
  <si>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</si>
  <si>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Handsprayer (back pack)</t>
  </si>
  <si>
    <t>Harrow (5')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</si>
  <si>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</si>
  <si>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</si>
  <si>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</si>
  <si>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</si>
  <si>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</si>
  <si>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</si>
  <si>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</si>
  <si>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</si>
  <si>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</si>
  <si>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</si>
  <si>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Insect &amp; Disease Control</t>
  </si>
  <si>
    <t>Insecticide</t>
  </si>
  <si>
    <t>Insecticide (sevin 4L)</t>
  </si>
  <si>
    <t>Insecticides</t>
  </si>
  <si>
    <t>Installation</t>
  </si>
  <si>
    <t>Installation and Labor</t>
  </si>
  <si>
    <t>Int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</si>
  <si>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</si>
  <si>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</si>
  <si>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</si>
  <si>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</si>
  <si>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</si>
  <si>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</si>
  <si>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</si>
  <si>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</si>
  <si>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</si>
  <si>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</si>
  <si>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</si>
  <si>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</si>
  <si>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</si>
  <si>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</si>
  <si>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</si>
  <si>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</si>
  <si>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</si>
  <si>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</si>
  <si>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</si>
  <si>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</si>
  <si>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</si>
  <si>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</si>
  <si>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</si>
  <si>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</si>
  <si>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</si>
  <si>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</si>
  <si>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</si>
  <si>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</si>
  <si>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</si>
  <si>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</si>
  <si>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</si>
  <si>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</si>
  <si>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</si>
  <si>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</si>
  <si>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</si>
  <si>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</si>
  <si>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</si>
  <si>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</si>
  <si>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</si>
  <si>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</si>
  <si>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</si>
  <si>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</si>
  <si>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</si>
  <si>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</si>
  <si>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</si>
  <si>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</si>
  <si>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</si>
  <si>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</si>
  <si>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</si>
  <si>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</si>
  <si>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</si>
  <si>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</si>
  <si>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</si>
  <si>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</si>
  <si>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</si>
  <si>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Pruning</t>
  </si>
  <si>
    <t xml:space="preserve">Pruning     </t>
  </si>
  <si>
    <t>pt</t>
  </si>
  <si>
    <t>Pump &amp; Motor (electric)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</si>
  <si>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</si>
  <si>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</si>
  <si>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</si>
  <si>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</si>
  <si>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</si>
  <si>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</si>
  <si>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</si>
  <si>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</si>
  <si>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</si>
  <si>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</si>
  <si>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</si>
  <si>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Rpr/hr</t>
  </si>
  <si>
    <t xml:space="preserve">Salvage </t>
  </si>
  <si>
    <t>Shaker</t>
  </si>
  <si>
    <t xml:space="preserve">SOUTHERN HIGHBUSH BLUEBERRIES IN SOIL RETURNS </t>
  </si>
  <si>
    <t>SOUTHERN HIGHBUSH BLUEBERRY IN SOIL BUDGET</t>
  </si>
  <si>
    <t>SPACING</t>
  </si>
  <si>
    <t>Speed</t>
  </si>
  <si>
    <t>Sprayer</t>
  </si>
  <si>
    <t>Stumping, pushing, burning 2/</t>
  </si>
  <si>
    <t>Sweeper/Blower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</si>
  <si>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</si>
  <si>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</si>
  <si>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</si>
  <si>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</si>
  <si>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</si>
  <si>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</si>
  <si>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</si>
  <si>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</si>
  <si>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</si>
  <si>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</si>
  <si>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</si>
  <si>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</si>
  <si>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</si>
  <si>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</si>
  <si>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</si>
  <si>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</si>
  <si>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</si>
  <si>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</si>
  <si>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</si>
  <si>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</si>
  <si>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</si>
  <si>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</si>
  <si>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</si>
  <si>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</si>
  <si>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</si>
  <si>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</si>
  <si>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</si>
  <si>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</si>
  <si>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</si>
  <si>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</si>
  <si>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</si>
  <si>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</si>
  <si>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</si>
  <si>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</si>
  <si>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</si>
  <si>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</si>
  <si>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</si>
  <si>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</si>
  <si>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</si>
  <si>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</si>
  <si>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</si>
  <si>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</si>
  <si>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</si>
  <si>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</si>
  <si>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</si>
  <si>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</si>
  <si>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</si>
  <si>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</si>
  <si>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</si>
  <si>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</si>
  <si>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</si>
  <si>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</si>
  <si>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</si>
  <si>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</si>
  <si>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</si>
  <si>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</si>
  <si>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</si>
  <si>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</si>
  <si>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</si>
  <si>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</si>
  <si>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</si>
  <si>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          ANNUAL FIXED MACHINERY COSTS FOR S.H BLUEBERRY IN SOIL        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</si>
  <si>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</si>
  <si>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</si>
  <si>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</si>
  <si>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</si>
  <si>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</si>
  <si>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</si>
  <si>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</si>
  <si>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</si>
  <si>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</si>
  <si>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</si>
  <si>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</si>
  <si>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Expected</t>
  </si>
  <si>
    <t>Solid Set Irrigation - Southern Highbush Blueberries</t>
  </si>
  <si>
    <t>13/yr</t>
  </si>
  <si>
    <t xml:space="preserve">Phosphate (DAP or MAP) </t>
  </si>
  <si>
    <t>BE Yields (Lb.)</t>
  </si>
  <si>
    <t>Break-Even (BE) Costs Per Lb.</t>
  </si>
  <si>
    <t>BE Pre-harvest variable cost per lb. ($)</t>
  </si>
  <si>
    <t>BE Harvest &amp; marketing cost per lb. ($)</t>
  </si>
  <si>
    <t>BE Total budgeted cost per lb ($).</t>
  </si>
  <si>
    <t xml:space="preserve">Total Variable Costs (VC) </t>
  </si>
  <si>
    <t>Total Establishment Cost/ Returns Per Acre</t>
  </si>
  <si>
    <t xml:space="preserve">     The initial investment for this example is $8,007 per acre based on only a 5 acre system.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</si>
  <si>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</si>
  <si>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</si>
  <si>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</si>
  <si>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</si>
  <si>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</si>
  <si>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</si>
  <si>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</si>
  <si>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</si>
  <si>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</si>
  <si>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</si>
  <si>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</si>
  <si>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</si>
  <si>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>James Jacobs and Shane Curry</t>
  </si>
  <si>
    <t xml:space="preserve">                                          </t>
  </si>
  <si>
    <t xml:space="preserve">  Extension Economist and Co. Agents, University of Georgia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</si>
  <si>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</si>
  <si>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</si>
  <si>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</si>
  <si>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</si>
  <si>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</si>
  <si>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CHEMICALS FOR SOUTHERN HIGHBUSH BLUEBERRY IN SOILS IN GEORGIA</t>
  </si>
  <si>
    <t>Herbicide</t>
  </si>
  <si>
    <t>Rotary Mower</t>
  </si>
  <si>
    <t>Shake</t>
  </si>
  <si>
    <t>Sweep</t>
  </si>
  <si>
    <t>Haul</t>
  </si>
  <si>
    <t>ESTIMATING MACHINERY OPERATING COSTS FOR S.H BLUEBERRIES</t>
  </si>
  <si>
    <t>Tax &amp;</t>
  </si>
  <si>
    <t>Ins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</si>
  <si>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</si>
  <si>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</si>
  <si>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</si>
  <si>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</si>
  <si>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</si>
  <si>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</si>
  <si>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</si>
  <si>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</si>
  <si>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</si>
  <si>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and installation will run about $3,000 ~ $1.00/gal.</t>
  </si>
  <si>
    <t>1/- Optional fertigation using injection pump and motor including holding tanks and plumbing</t>
  </si>
  <si>
    <t>Insurance</t>
  </si>
  <si>
    <t>SPRINKLER SPACING</t>
  </si>
  <si>
    <t>per acre</t>
  </si>
  <si>
    <t>The cost based on HB planted on 12' x 5' pattern would incure $200 more because of about 25 more rows</t>
  </si>
  <si>
    <t>40 by 48</t>
  </si>
  <si>
    <t xml:space="preserve">BE Fixed costs per lb. ($)               </t>
  </si>
  <si>
    <t xml:space="preserve">  FC&amp;PHVC</t>
  </si>
  <si>
    <t>Expect Yield</t>
  </si>
  <si>
    <t>Expected Price</t>
  </si>
  <si>
    <t>Net Revenue</t>
  </si>
  <si>
    <t>Return</t>
  </si>
  <si>
    <t xml:space="preserve">Sensitivity Analysis </t>
  </si>
  <si>
    <t>Calculation of NPV</t>
  </si>
  <si>
    <t>R</t>
  </si>
  <si>
    <t>IRRIGATION: 1 (Enter 0 for none, 1 for drip, 2 for Solid Set)</t>
  </si>
  <si>
    <t>****Assuming yield as 1700 lbs per acre in 2nd year</t>
  </si>
  <si>
    <t>****Assuming yield as 4000 lbs per acre in 3rd year</t>
  </si>
  <si>
    <t>Georgia Southern Highbush Blueberry In Soil Fertigation</t>
  </si>
  <si>
    <t>Southern Highbush Blueberry In Soil in Georgia</t>
  </si>
  <si>
    <t>DRIP IRRIGATION FOR S. H.  BLUEBERRY IN SOIL</t>
  </si>
  <si>
    <t>NPV_5%</t>
  </si>
  <si>
    <t>NPV_2%</t>
  </si>
  <si>
    <t>Assuming discount rate as 2% and 5%</t>
  </si>
  <si>
    <t>Prepared By Esendugue Greg Fonsah, Saurav Raj Kunwar, Renee Holland</t>
  </si>
  <si>
    <t>% Chance</t>
  </si>
  <si>
    <t>GROWERS ARE ENCOURAGED TO ENTER THEIR OWN NUMBERS</t>
  </si>
  <si>
    <t>yields, selling and input price data.</t>
  </si>
  <si>
    <t>SOUTHERN HIGHBUSH BLUEBERRY IN SOIL BUDGET  - 2023</t>
  </si>
  <si>
    <t>Input  Costs</t>
  </si>
  <si>
    <t>Fixed Costs per Acre</t>
  </si>
  <si>
    <t>Prices ($)</t>
  </si>
  <si>
    <t>Net Returns</t>
  </si>
  <si>
    <t>Price Sensitivity Analysis Over Total Costs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</si>
</sst>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  <numFmt numFmtId="180" formatCode=";;"/>
    <numFmt numFmtId="181" formatCode="[$$-409]#,##0.00"/>
    <numFmt numFmtId="182" formatCode="0.000000000000%"/>
    <numFmt numFmtId="183" formatCode="0.00000000000"/>
    <numFmt numFmtId="184" formatCode="0.0000000000"/>
    <numFmt numFmtId="185" formatCode="0.000000000"/>
    <numFmt numFmtId="186" formatCode="0.00000000"/>
    <numFmt numFmtId="187" formatCode="0.000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1" fillId="2" borderId="0" xfId="0" applyFont="1" applyFill="1" applyAlignment="1">
      <alignment/>
    </xf>
    <xf numFmtId="0" fontId="52" fillId="2" borderId="0" xfId="0" applyFont="1" applyFill="1" applyAlignment="1">
      <alignment/>
    </xf>
    <xf numFmtId="2" fontId="51" fillId="2" borderId="0" xfId="0" applyNumberFormat="1" applyFont="1" applyFill="1" applyAlignment="1">
      <alignment/>
    </xf>
    <xf numFmtId="2" fontId="5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3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ont="1" applyFill="1" applyBorder="1" applyAlignment="1">
      <alignment/>
    </xf>
    <xf numFmtId="2" fontId="0" fillId="2" borderId="11" xfId="0" applyNumberForma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52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6" fillId="2" borderId="14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7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3" fillId="2" borderId="0" xfId="0" applyNumberFormat="1" applyFont="1" applyFill="1" applyAlignment="1">
      <alignment/>
    </xf>
    <xf numFmtId="1" fontId="3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2" fillId="34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8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2" fontId="6" fillId="2" borderId="22" xfId="0" applyNumberFormat="1" applyFont="1" applyFill="1" applyBorder="1" applyAlignment="1">
      <alignment horizontal="right"/>
    </xf>
    <xf numFmtId="178" fontId="3" fillId="2" borderId="0" xfId="0" applyNumberFormat="1" applyFont="1" applyFill="1" applyAlignment="1">
      <alignment/>
    </xf>
    <xf numFmtId="0" fontId="55" fillId="34" borderId="0" xfId="0" applyFont="1" applyFill="1" applyAlignment="1">
      <alignment vertical="center"/>
    </xf>
    <xf numFmtId="1" fontId="0" fillId="2" borderId="0" xfId="0" applyNumberFormat="1" applyFill="1" applyBorder="1" applyAlignment="1">
      <alignment/>
    </xf>
    <xf numFmtId="10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80" fontId="0" fillId="2" borderId="0" xfId="0" applyNumberFormat="1" applyFill="1" applyBorder="1" applyAlignment="1">
      <alignment horizontal="right"/>
    </xf>
    <xf numFmtId="1" fontId="55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19" xfId="0" applyNumberFormat="1" applyFont="1" applyFill="1" applyBorder="1" applyAlignment="1">
      <alignment horizontal="right"/>
    </xf>
    <xf numFmtId="0" fontId="56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ont="1" applyFill="1" applyBorder="1" applyAlignment="1">
      <alignment/>
    </xf>
    <xf numFmtId="0" fontId="56" fillId="2" borderId="0" xfId="0" applyFont="1" applyFill="1" applyAlignment="1">
      <alignment horizontal="center"/>
    </xf>
    <xf numFmtId="2" fontId="52" fillId="34" borderId="0" xfId="0" applyNumberFormat="1" applyFont="1" applyFill="1" applyAlignment="1">
      <alignment vertical="center"/>
    </xf>
    <xf numFmtId="2" fontId="51" fillId="34" borderId="0" xfId="0" applyNumberFormat="1" applyFont="1" applyFill="1" applyAlignment="1">
      <alignment vertical="center"/>
    </xf>
    <xf numFmtId="2" fontId="51" fillId="2" borderId="0" xfId="0" applyNumberFormat="1" applyFont="1" applyFill="1" applyBorder="1" applyAlignment="1">
      <alignment/>
    </xf>
    <xf numFmtId="2" fontId="51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2" fontId="52" fillId="2" borderId="0" xfId="0" applyNumberFormat="1" applyFont="1" applyFill="1" applyBorder="1" applyAlignment="1">
      <alignment/>
    </xf>
    <xf numFmtId="2" fontId="51" fillId="2" borderId="0" xfId="0" applyNumberFormat="1" applyFont="1" applyFill="1" applyAlignment="1">
      <alignment/>
    </xf>
    <xf numFmtId="2" fontId="52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51" fillId="2" borderId="0" xfId="0" applyNumberFormat="1" applyFont="1" applyFill="1" applyAlignment="1">
      <alignment horizontal="right"/>
    </xf>
    <xf numFmtId="2" fontId="52" fillId="2" borderId="0" xfId="0" applyNumberFormat="1" applyFont="1" applyFill="1" applyAlignment="1">
      <alignment horizontal="right"/>
    </xf>
    <xf numFmtId="0" fontId="51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0" fontId="52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164" fontId="3" fillId="2" borderId="1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5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51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3" fillId="2" borderId="24" xfId="0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56" fillId="35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6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5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111</xdr:row>
      <xdr:rowOff>161925</xdr:rowOff>
    </xdr:from>
    <xdr:to>
      <xdr:col>9</xdr:col>
      <xdr:colOff>400050</xdr:colOff>
      <xdr:row>114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8935700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54</xdr:row>
      <xdr:rowOff>0</xdr:rowOff>
    </xdr:from>
    <xdr:to>
      <xdr:col>10</xdr:col>
      <xdr:colOff>0</xdr:colOff>
      <xdr:row>57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982075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609600</xdr:colOff>
      <xdr:row>59</xdr:row>
      <xdr:rowOff>104775</xdr:rowOff>
    </xdr:from>
    <xdr:to>
      <xdr:col>21</xdr:col>
      <xdr:colOff>0</xdr:colOff>
      <xdr:row>62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29875"/>
          <a:ext cx="1476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56</xdr:row>
      <xdr:rowOff>38100</xdr:rowOff>
    </xdr:from>
    <xdr:to>
      <xdr:col>22</xdr:col>
      <xdr:colOff>0</xdr:colOff>
      <xdr:row>60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9934575"/>
          <a:ext cx="2019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55</xdr:row>
      <xdr:rowOff>161925</xdr:rowOff>
    </xdr:from>
    <xdr:to>
      <xdr:col>19</xdr:col>
      <xdr:colOff>0</xdr:colOff>
      <xdr:row>59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0020300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54</xdr:row>
      <xdr:rowOff>161925</xdr:rowOff>
    </xdr:from>
    <xdr:to>
      <xdr:col>6</xdr:col>
      <xdr:colOff>971550</xdr:colOff>
      <xdr:row>58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9648825"/>
          <a:ext cx="1876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56</xdr:row>
      <xdr:rowOff>57150</xdr:rowOff>
    </xdr:from>
    <xdr:to>
      <xdr:col>11</xdr:col>
      <xdr:colOff>0</xdr:colOff>
      <xdr:row>59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9391650"/>
          <a:ext cx="2533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57</xdr:row>
      <xdr:rowOff>57150</xdr:rowOff>
    </xdr:from>
    <xdr:to>
      <xdr:col>9</xdr:col>
      <xdr:colOff>476250</xdr:colOff>
      <xdr:row>60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639300"/>
          <a:ext cx="2390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55</xdr:row>
      <xdr:rowOff>161925</xdr:rowOff>
    </xdr:from>
    <xdr:to>
      <xdr:col>9</xdr:col>
      <xdr:colOff>333375</xdr:colOff>
      <xdr:row>58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848850"/>
          <a:ext cx="1790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55</xdr:row>
      <xdr:rowOff>142875</xdr:rowOff>
    </xdr:from>
    <xdr:to>
      <xdr:col>8</xdr:col>
      <xdr:colOff>0</xdr:colOff>
      <xdr:row>58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4678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W140"/>
  <sheetViews>
    <sheetView zoomScale="120" zoomScaleNormal="120" workbookViewId="0" topLeftCell="A8">
      <selection activeCell="K113" sqref="K113"/>
    </sheetView>
  </sheetViews>
  <sheetFormatPr defaultColWidth="9.140625" defaultRowHeight="12.75"/>
  <cols>
    <col min="1" max="1" width="1.28515625" style="0" customWidth="1"/>
    <col min="2" max="2" width="12.00390625" style="0" customWidth="1"/>
    <col min="3" max="3" width="9.00390625" style="0" customWidth="1"/>
    <col min="4" max="4" width="8.57421875" style="0" customWidth="1"/>
    <col min="5" max="5" width="10.28125" style="0" customWidth="1"/>
    <col min="6" max="6" width="8.421875" style="0" customWidth="1"/>
    <col min="7" max="7" width="10.57421875" style="0" customWidth="1"/>
    <col min="8" max="8" width="10.140625" style="0" customWidth="1"/>
    <col min="9" max="9" width="11.140625" style="0" customWidth="1"/>
    <col min="10" max="10" width="9.140625" style="0" customWidth="1"/>
    <col min="11" max="11" width="11.00390625" style="0" customWidth="1"/>
    <col min="12" max="12" width="8.14062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4.8515625" style="0" customWidth="1"/>
    <col min="22" max="22" width="10.7109375" style="0" customWidth="1"/>
    <col min="23" max="23" width="4.140625" style="0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2:10" ht="12.75">
      <c r="B1" s="27"/>
      <c r="C1" s="27"/>
      <c r="D1" s="27"/>
      <c r="E1" s="27"/>
      <c r="F1" s="27"/>
      <c r="G1" s="27"/>
      <c r="H1" s="27"/>
      <c r="I1" s="27"/>
      <c r="J1" s="27"/>
    </row>
    <row r="2" spans="2:10" ht="12.75">
      <c r="B2" s="27"/>
      <c r="C2" s="27"/>
      <c r="D2" s="27"/>
      <c r="E2" s="27"/>
      <c r="F2" s="27"/>
      <c r="G2" s="27"/>
      <c r="H2" s="27"/>
      <c r="I2" s="27"/>
      <c r="J2" s="27"/>
    </row>
    <row r="3" spans="2:10" ht="12.75">
      <c r="B3" s="27"/>
      <c r="C3" s="180" t="s">
        <v>237</v>
      </c>
      <c r="D3" s="180"/>
      <c r="E3" s="180"/>
      <c r="F3" s="180"/>
      <c r="G3" s="180"/>
      <c r="H3" s="180"/>
      <c r="I3" s="180"/>
      <c r="J3" s="27"/>
    </row>
    <row r="4" spans="2:11" ht="12.75">
      <c r="B4" s="27"/>
      <c r="C4" s="180" t="s">
        <v>391</v>
      </c>
      <c r="D4" s="180"/>
      <c r="E4" s="180"/>
      <c r="F4" s="180"/>
      <c r="G4" s="180"/>
      <c r="H4" s="180"/>
      <c r="I4" s="180"/>
      <c r="J4" s="27"/>
    </row>
    <row r="5" spans="2:18" ht="12.75">
      <c r="B5" s="27"/>
      <c r="C5" s="180" t="s">
        <v>340</v>
      </c>
      <c r="D5" s="180"/>
      <c r="E5" s="180"/>
      <c r="F5" s="180"/>
      <c r="G5" s="180"/>
      <c r="H5" s="180"/>
      <c r="I5" s="180"/>
      <c r="J5" s="27"/>
      <c r="N5" s="50"/>
      <c r="O5" s="50"/>
      <c r="P5" s="50"/>
      <c r="Q5" s="99"/>
      <c r="R5" s="99"/>
    </row>
    <row r="6" spans="2:18" ht="12.75">
      <c r="B6" s="27" t="s">
        <v>341</v>
      </c>
      <c r="C6" s="180" t="s">
        <v>342</v>
      </c>
      <c r="D6" s="180"/>
      <c r="E6" s="180"/>
      <c r="F6" s="180"/>
      <c r="G6" s="180"/>
      <c r="H6" s="180"/>
      <c r="I6" s="180"/>
      <c r="J6" s="27" t="s">
        <v>0</v>
      </c>
      <c r="N6" s="100"/>
      <c r="O6" s="100"/>
      <c r="P6" s="101"/>
      <c r="Q6" s="100"/>
      <c r="R6" s="100"/>
    </row>
    <row r="7" spans="2:18" ht="12.75">
      <c r="B7" s="27"/>
      <c r="C7" s="125"/>
      <c r="D7" s="125"/>
      <c r="E7" s="125"/>
      <c r="F7" s="125"/>
      <c r="G7" s="125"/>
      <c r="H7" s="125"/>
      <c r="I7" s="125"/>
      <c r="J7" s="27"/>
      <c r="N7" s="100"/>
      <c r="O7" s="100"/>
      <c r="P7" s="101"/>
      <c r="Q7" s="100"/>
      <c r="R7" s="100"/>
    </row>
    <row r="8" spans="2:18" ht="21">
      <c r="B8" s="27"/>
      <c r="C8" s="181" t="s">
        <v>331</v>
      </c>
      <c r="D8" s="181"/>
      <c r="E8" s="181"/>
      <c r="F8" s="181"/>
      <c r="G8" s="181"/>
      <c r="H8" s="181"/>
      <c r="I8" s="181"/>
      <c r="J8" s="27"/>
      <c r="N8" s="51"/>
      <c r="O8" s="51"/>
      <c r="P8" s="99"/>
      <c r="Q8" s="51"/>
      <c r="R8" s="51"/>
    </row>
    <row r="9" spans="2:18" ht="21">
      <c r="B9" s="183" t="s">
        <v>393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51"/>
      <c r="R9" s="51"/>
    </row>
    <row r="10" spans="2:18" ht="21">
      <c r="B10" s="145" t="s">
        <v>332</v>
      </c>
      <c r="C10" s="146"/>
      <c r="D10" s="146"/>
      <c r="E10" s="146"/>
      <c r="F10" s="146"/>
      <c r="G10" s="146"/>
      <c r="H10" s="146"/>
      <c r="I10" s="141"/>
      <c r="J10" s="27"/>
      <c r="N10" s="51"/>
      <c r="O10" s="51"/>
      <c r="P10" s="99"/>
      <c r="Q10" s="51"/>
      <c r="R10" s="51"/>
    </row>
    <row r="11" spans="2:18" ht="21">
      <c r="B11" s="146" t="s">
        <v>333</v>
      </c>
      <c r="C11" s="146"/>
      <c r="D11" s="146"/>
      <c r="E11" s="146"/>
      <c r="F11" s="146"/>
      <c r="G11" s="146"/>
      <c r="H11" s="146"/>
      <c r="I11" s="141"/>
      <c r="J11" s="27"/>
      <c r="N11" s="51"/>
      <c r="O11" s="51"/>
      <c r="P11" s="99"/>
      <c r="Q11" s="51"/>
      <c r="R11" s="51"/>
    </row>
    <row r="12" spans="2:21" ht="21">
      <c r="B12" s="146" t="s">
        <v>334</v>
      </c>
      <c r="C12" s="146"/>
      <c r="D12" s="146"/>
      <c r="E12" s="146"/>
      <c r="F12" s="146"/>
      <c r="G12" s="146"/>
      <c r="H12" s="146"/>
      <c r="I12" s="141"/>
      <c r="J12" s="27"/>
      <c r="N12" s="51"/>
      <c r="O12" s="27"/>
      <c r="P12" s="27"/>
      <c r="Q12" s="51"/>
      <c r="R12" s="51"/>
      <c r="S12" s="99"/>
      <c r="T12" s="51"/>
      <c r="U12" s="51"/>
    </row>
    <row r="13" spans="2:18" ht="21">
      <c r="B13" s="33" t="s">
        <v>394</v>
      </c>
      <c r="C13" s="33"/>
      <c r="D13" s="33"/>
      <c r="E13" s="33"/>
      <c r="F13" s="33"/>
      <c r="G13" s="33"/>
      <c r="H13" s="33"/>
      <c r="I13" s="141"/>
      <c r="J13" s="27"/>
      <c r="N13" s="51"/>
      <c r="O13" s="51"/>
      <c r="P13" s="99"/>
      <c r="Q13" s="51"/>
      <c r="R13" s="51"/>
    </row>
    <row r="14" spans="2:18" ht="21">
      <c r="B14" s="27"/>
      <c r="C14" s="141"/>
      <c r="D14" s="141"/>
      <c r="E14" s="141"/>
      <c r="F14" s="141"/>
      <c r="G14" s="141"/>
      <c r="H14" s="141"/>
      <c r="I14" s="141"/>
      <c r="J14" s="27"/>
      <c r="N14" s="51"/>
      <c r="O14" s="51"/>
      <c r="P14" s="99"/>
      <c r="Q14" s="51"/>
      <c r="R14" s="51"/>
    </row>
    <row r="15" spans="3:11" ht="13.5" customHeight="1">
      <c r="C15" s="182" t="s">
        <v>395</v>
      </c>
      <c r="D15" s="182"/>
      <c r="E15" s="182"/>
      <c r="F15" s="182"/>
      <c r="G15" s="182"/>
      <c r="H15" s="182"/>
      <c r="I15" s="182"/>
    </row>
    <row r="16" ht="6.75" customHeight="1"/>
    <row r="17" spans="2:21" ht="12.75">
      <c r="B17" s="27"/>
      <c r="C17" s="27"/>
      <c r="D17" s="27"/>
      <c r="E17" s="27" t="s">
        <v>4</v>
      </c>
      <c r="F17" s="27"/>
      <c r="G17" s="27"/>
      <c r="H17" s="27"/>
      <c r="I17" s="27"/>
      <c r="L17" s="3"/>
      <c r="N17" s="27"/>
      <c r="O17" s="27"/>
      <c r="P17" s="27"/>
      <c r="Q17" s="27"/>
      <c r="R17" s="27"/>
      <c r="S17" s="27"/>
      <c r="T17" s="27"/>
      <c r="U17" s="27"/>
    </row>
    <row r="18" spans="2:21" ht="12.75">
      <c r="B18" s="27"/>
      <c r="C18" s="27"/>
      <c r="D18" s="27"/>
      <c r="E18" s="27" t="s">
        <v>5</v>
      </c>
      <c r="F18" s="27"/>
      <c r="G18" s="27"/>
      <c r="H18" s="27"/>
      <c r="I18" s="135">
        <v>1</v>
      </c>
      <c r="N18" s="27"/>
      <c r="O18" s="27"/>
      <c r="P18" s="27"/>
      <c r="Q18" s="27"/>
      <c r="R18" s="27"/>
      <c r="S18" s="27"/>
      <c r="T18" s="27"/>
      <c r="U18" s="27"/>
    </row>
    <row r="19" spans="2:21" ht="12.75">
      <c r="B19" s="27"/>
      <c r="C19" s="27"/>
      <c r="D19" s="98" t="s">
        <v>382</v>
      </c>
      <c r="E19" s="27"/>
      <c r="F19" s="27"/>
      <c r="G19" s="27"/>
      <c r="H19" s="27"/>
      <c r="I19" s="101"/>
      <c r="N19" s="27"/>
      <c r="O19" s="27"/>
      <c r="P19" s="27"/>
      <c r="Q19" s="27"/>
      <c r="R19" s="27"/>
      <c r="S19" s="27"/>
      <c r="T19" s="27"/>
      <c r="U19" s="27"/>
    </row>
    <row r="20" spans="2:21" ht="13.5" thickBot="1">
      <c r="B20" s="27"/>
      <c r="C20" s="27"/>
      <c r="D20" s="27"/>
      <c r="E20" s="27"/>
      <c r="F20" s="27"/>
      <c r="G20" s="27"/>
      <c r="H20" s="27"/>
      <c r="I20" s="27"/>
      <c r="N20" s="27"/>
      <c r="O20" s="27"/>
      <c r="P20" s="27"/>
      <c r="Q20" s="27"/>
      <c r="R20" s="27"/>
      <c r="S20" s="27"/>
      <c r="T20" s="27"/>
      <c r="U20" s="27"/>
    </row>
    <row r="21" spans="2:23" ht="15">
      <c r="B21" s="27"/>
      <c r="C21" s="27"/>
      <c r="D21" s="27"/>
      <c r="E21" s="50" t="s">
        <v>96</v>
      </c>
      <c r="F21" s="50" t="s">
        <v>192</v>
      </c>
      <c r="G21" s="50" t="s">
        <v>180</v>
      </c>
      <c r="H21" s="99" t="s">
        <v>199</v>
      </c>
      <c r="I21" s="99" t="s">
        <v>292</v>
      </c>
      <c r="J21" s="1" t="s">
        <v>0</v>
      </c>
      <c r="M21" s="177" t="s">
        <v>344</v>
      </c>
      <c r="N21" s="178"/>
      <c r="O21" s="178"/>
      <c r="P21" s="178"/>
      <c r="Q21" s="178"/>
      <c r="R21" s="178"/>
      <c r="S21" s="178"/>
      <c r="T21" s="178"/>
      <c r="U21" s="178"/>
      <c r="V21" s="179"/>
      <c r="W21" s="70"/>
    </row>
    <row r="22" spans="2:22" ht="12.75">
      <c r="B22" s="27" t="s">
        <v>68</v>
      </c>
      <c r="C22" s="27"/>
      <c r="D22" s="27"/>
      <c r="E22" s="100">
        <f>MEDY*1.2</f>
        <v>8400</v>
      </c>
      <c r="F22" s="100">
        <f>MEDY*1.1</f>
        <v>7700.000000000001</v>
      </c>
      <c r="G22" s="101">
        <v>7000</v>
      </c>
      <c r="H22" s="100">
        <f>MEDY*0.9</f>
        <v>6300</v>
      </c>
      <c r="I22" s="100">
        <f>MEDY*0.8</f>
        <v>5600</v>
      </c>
      <c r="M22" s="107"/>
      <c r="N22" s="27"/>
      <c r="O22" s="27"/>
      <c r="P22" s="27"/>
      <c r="Q22" s="27"/>
      <c r="R22" s="27"/>
      <c r="S22" s="27"/>
      <c r="T22" s="27"/>
      <c r="U22" s="27"/>
      <c r="V22" s="108"/>
    </row>
    <row r="23" spans="2:22" ht="12.75">
      <c r="B23" s="27" t="s">
        <v>66</v>
      </c>
      <c r="C23" s="27"/>
      <c r="D23" s="27"/>
      <c r="E23" s="51">
        <v>3.6</v>
      </c>
      <c r="F23" s="51">
        <v>3.3</v>
      </c>
      <c r="G23" s="99">
        <v>3</v>
      </c>
      <c r="H23" s="51">
        <v>2.7</v>
      </c>
      <c r="I23" s="51">
        <v>2.4</v>
      </c>
      <c r="M23" s="107"/>
      <c r="N23" s="27"/>
      <c r="O23" s="27"/>
      <c r="P23" s="27"/>
      <c r="Q23" s="27"/>
      <c r="R23" s="27"/>
      <c r="S23" s="27"/>
      <c r="T23" s="27"/>
      <c r="U23" s="27"/>
      <c r="V23" s="108"/>
    </row>
    <row r="24" spans="2:22" ht="12.75">
      <c r="B24" s="27"/>
      <c r="C24" s="27"/>
      <c r="D24" s="27"/>
      <c r="E24" s="27"/>
      <c r="F24" s="27"/>
      <c r="G24" s="27"/>
      <c r="H24" s="27"/>
      <c r="I24" s="27"/>
      <c r="M24" s="107"/>
      <c r="N24" s="27"/>
      <c r="O24" s="27"/>
      <c r="P24" s="27"/>
      <c r="Q24" s="27"/>
      <c r="R24" s="27"/>
      <c r="S24" s="27"/>
      <c r="T24" s="27"/>
      <c r="U24" s="27"/>
      <c r="V24" s="108"/>
    </row>
    <row r="25" spans="2:22" ht="12.75">
      <c r="B25" s="125" t="s">
        <v>169</v>
      </c>
      <c r="C25" s="50"/>
      <c r="D25" s="50"/>
      <c r="E25" s="50" t="s">
        <v>93</v>
      </c>
      <c r="F25" s="50" t="s">
        <v>279</v>
      </c>
      <c r="G25" s="50" t="s">
        <v>224</v>
      </c>
      <c r="H25" s="99" t="s">
        <v>216</v>
      </c>
      <c r="I25" s="101" t="s">
        <v>59</v>
      </c>
      <c r="M25" s="109" t="s">
        <v>169</v>
      </c>
      <c r="N25" s="50"/>
      <c r="O25" s="50"/>
      <c r="P25" s="50" t="s">
        <v>93</v>
      </c>
      <c r="Q25" s="50" t="s">
        <v>279</v>
      </c>
      <c r="R25" s="50" t="s">
        <v>224</v>
      </c>
      <c r="S25" s="27"/>
      <c r="T25" s="99" t="s">
        <v>216</v>
      </c>
      <c r="U25" s="27"/>
      <c r="V25" s="110" t="s">
        <v>59</v>
      </c>
    </row>
    <row r="26" spans="2:22" ht="12.75">
      <c r="B26" s="126" t="s">
        <v>284</v>
      </c>
      <c r="C26" s="27"/>
      <c r="D26" s="27"/>
      <c r="E26" s="27"/>
      <c r="F26" s="27"/>
      <c r="G26" s="27"/>
      <c r="H26" s="27"/>
      <c r="I26" s="122" t="s">
        <v>0</v>
      </c>
      <c r="M26" s="111" t="s">
        <v>284</v>
      </c>
      <c r="N26" s="27"/>
      <c r="O26" s="27"/>
      <c r="P26" s="27"/>
      <c r="Q26" s="27"/>
      <c r="R26" s="27"/>
      <c r="S26" s="27"/>
      <c r="T26" s="27"/>
      <c r="U26" s="27"/>
      <c r="V26" s="112" t="s">
        <v>0</v>
      </c>
    </row>
    <row r="27" spans="2:22" ht="12.75">
      <c r="B27" s="57" t="s">
        <v>129</v>
      </c>
      <c r="C27" s="57"/>
      <c r="D27" s="27"/>
      <c r="E27" s="27"/>
      <c r="F27" s="36"/>
      <c r="G27" s="36"/>
      <c r="H27" s="51"/>
      <c r="I27" s="27"/>
      <c r="M27" s="113" t="s">
        <v>129</v>
      </c>
      <c r="N27" s="57"/>
      <c r="O27" s="27"/>
      <c r="P27" s="27"/>
      <c r="Q27" s="36"/>
      <c r="R27" s="36"/>
      <c r="S27" s="27"/>
      <c r="T27" s="51"/>
      <c r="U27" s="27"/>
      <c r="V27" s="108"/>
    </row>
    <row r="28" spans="2:22" ht="12.75">
      <c r="B28" s="102" t="s">
        <v>124</v>
      </c>
      <c r="C28" s="102"/>
      <c r="D28" s="102"/>
      <c r="E28" s="27" t="s">
        <v>296</v>
      </c>
      <c r="F28" s="36" t="s">
        <v>142</v>
      </c>
      <c r="G28" s="27">
        <v>85</v>
      </c>
      <c r="H28" s="150">
        <f>1.95*1.814+1.95</f>
        <v>5.4873</v>
      </c>
      <c r="I28" s="136">
        <f aca="true" t="shared" si="0" ref="I28:I38">G28*H28</f>
        <v>466.4205</v>
      </c>
      <c r="M28" s="114" t="s">
        <v>124</v>
      </c>
      <c r="N28" s="102"/>
      <c r="O28" s="102"/>
      <c r="P28" s="102" t="s">
        <v>296</v>
      </c>
      <c r="Q28" s="115" t="s">
        <v>142</v>
      </c>
      <c r="R28" s="139"/>
      <c r="S28" s="27"/>
      <c r="T28" s="139"/>
      <c r="U28" s="27"/>
      <c r="V28" s="140">
        <f aca="true" t="shared" si="1" ref="V28:V38">R28*T28</f>
        <v>0</v>
      </c>
    </row>
    <row r="29" spans="2:22" ht="12.75">
      <c r="B29" s="57" t="s">
        <v>289</v>
      </c>
      <c r="C29" s="57"/>
      <c r="D29" s="57"/>
      <c r="E29" s="27"/>
      <c r="F29" s="36"/>
      <c r="G29" s="103"/>
      <c r="H29" s="148"/>
      <c r="I29" s="103">
        <f t="shared" si="0"/>
        <v>0</v>
      </c>
      <c r="M29" s="113" t="s">
        <v>289</v>
      </c>
      <c r="N29" s="57"/>
      <c r="O29" s="57"/>
      <c r="P29" s="27"/>
      <c r="Q29" s="36"/>
      <c r="R29" s="27"/>
      <c r="S29" s="27"/>
      <c r="T29" s="27"/>
      <c r="U29" s="27"/>
      <c r="V29" s="108"/>
    </row>
    <row r="30" spans="2:22" ht="12.75">
      <c r="B30" s="27" t="s">
        <v>208</v>
      </c>
      <c r="C30" s="27"/>
      <c r="D30" s="27"/>
      <c r="E30" s="27" t="s">
        <v>75</v>
      </c>
      <c r="F30" s="36" t="s">
        <v>81</v>
      </c>
      <c r="G30" s="103">
        <v>3</v>
      </c>
      <c r="H30" s="149">
        <v>38.3</v>
      </c>
      <c r="I30" s="103">
        <f t="shared" si="0"/>
        <v>114.89999999999999</v>
      </c>
      <c r="M30" s="107" t="s">
        <v>208</v>
      </c>
      <c r="N30" s="27"/>
      <c r="O30" s="27"/>
      <c r="P30" s="27" t="s">
        <v>75</v>
      </c>
      <c r="Q30" s="36" t="s">
        <v>81</v>
      </c>
      <c r="R30" s="139"/>
      <c r="S30" s="27"/>
      <c r="T30" s="139"/>
      <c r="U30" s="27"/>
      <c r="V30" s="140">
        <f t="shared" si="1"/>
        <v>0</v>
      </c>
    </row>
    <row r="31" spans="2:22" ht="12.75">
      <c r="B31" s="27" t="s">
        <v>206</v>
      </c>
      <c r="C31" s="27"/>
      <c r="D31" s="27"/>
      <c r="E31" s="27" t="s">
        <v>77</v>
      </c>
      <c r="F31" s="36" t="s">
        <v>81</v>
      </c>
      <c r="G31" s="103">
        <v>4</v>
      </c>
      <c r="H31" s="149">
        <v>38.3</v>
      </c>
      <c r="I31" s="103">
        <f t="shared" si="0"/>
        <v>153.2</v>
      </c>
      <c r="M31" s="107" t="s">
        <v>206</v>
      </c>
      <c r="N31" s="27"/>
      <c r="O31" s="27"/>
      <c r="P31" s="27" t="s">
        <v>77</v>
      </c>
      <c r="Q31" s="36" t="s">
        <v>81</v>
      </c>
      <c r="R31" s="139"/>
      <c r="S31" s="27"/>
      <c r="T31" s="139"/>
      <c r="U31" s="27"/>
      <c r="V31" s="140">
        <f t="shared" si="1"/>
        <v>0</v>
      </c>
    </row>
    <row r="32" spans="2:22" ht="12.75">
      <c r="B32" s="27" t="s">
        <v>270</v>
      </c>
      <c r="C32" s="27"/>
      <c r="D32" s="27"/>
      <c r="E32" s="27" t="s">
        <v>78</v>
      </c>
      <c r="F32" s="36" t="s">
        <v>152</v>
      </c>
      <c r="G32" s="103">
        <v>4</v>
      </c>
      <c r="H32" s="149">
        <v>13.67</v>
      </c>
      <c r="I32" s="103">
        <f t="shared" si="0"/>
        <v>54.68</v>
      </c>
      <c r="M32" s="107" t="s">
        <v>270</v>
      </c>
      <c r="N32" s="27"/>
      <c r="O32" s="27"/>
      <c r="P32" s="27" t="s">
        <v>78</v>
      </c>
      <c r="Q32" s="36" t="s">
        <v>152</v>
      </c>
      <c r="R32" s="139"/>
      <c r="S32" s="27"/>
      <c r="T32" s="139"/>
      <c r="U32" s="27"/>
      <c r="V32" s="140">
        <f t="shared" si="1"/>
        <v>0</v>
      </c>
    </row>
    <row r="33" spans="2:22" ht="12.75">
      <c r="B33" s="98" t="s">
        <v>170</v>
      </c>
      <c r="C33" s="27"/>
      <c r="D33" s="27"/>
      <c r="E33" s="27" t="s">
        <v>78</v>
      </c>
      <c r="F33" s="36" t="s">
        <v>152</v>
      </c>
      <c r="G33" s="103">
        <v>6</v>
      </c>
      <c r="H33" s="149">
        <v>13.67</v>
      </c>
      <c r="I33" s="103">
        <f t="shared" si="0"/>
        <v>82.02</v>
      </c>
      <c r="M33" s="116" t="s">
        <v>170</v>
      </c>
      <c r="N33" s="27"/>
      <c r="O33" s="27"/>
      <c r="P33" s="27" t="s">
        <v>78</v>
      </c>
      <c r="Q33" s="36" t="s">
        <v>152</v>
      </c>
      <c r="R33" s="139"/>
      <c r="S33" s="27"/>
      <c r="T33" s="139"/>
      <c r="U33" s="27"/>
      <c r="V33" s="140">
        <f t="shared" si="1"/>
        <v>0</v>
      </c>
    </row>
    <row r="34" spans="2:22" ht="12.75">
      <c r="B34" s="57" t="s">
        <v>156</v>
      </c>
      <c r="C34" s="57"/>
      <c r="D34" s="57"/>
      <c r="E34" s="27"/>
      <c r="F34" s="36"/>
      <c r="G34" s="103"/>
      <c r="H34" s="148"/>
      <c r="I34" s="103">
        <f t="shared" si="0"/>
        <v>0</v>
      </c>
      <c r="M34" s="113" t="s">
        <v>156</v>
      </c>
      <c r="N34" s="57"/>
      <c r="O34" s="57"/>
      <c r="P34" s="27"/>
      <c r="Q34" s="36"/>
      <c r="R34" s="27"/>
      <c r="S34" s="27"/>
      <c r="T34" s="27"/>
      <c r="U34" s="27"/>
      <c r="V34" s="108"/>
    </row>
    <row r="35" spans="2:22" ht="12.75">
      <c r="B35" s="27" t="s">
        <v>159</v>
      </c>
      <c r="C35" s="27"/>
      <c r="D35" s="27"/>
      <c r="E35" s="27" t="s">
        <v>79</v>
      </c>
      <c r="F35" s="36" t="s">
        <v>81</v>
      </c>
      <c r="G35" s="103">
        <v>5</v>
      </c>
      <c r="H35" s="149">
        <v>14.79</v>
      </c>
      <c r="I35" s="103">
        <f t="shared" si="0"/>
        <v>73.94999999999999</v>
      </c>
      <c r="M35" s="107" t="s">
        <v>159</v>
      </c>
      <c r="N35" s="27"/>
      <c r="O35" s="27"/>
      <c r="P35" s="27" t="s">
        <v>79</v>
      </c>
      <c r="Q35" s="36" t="s">
        <v>81</v>
      </c>
      <c r="R35" s="139"/>
      <c r="S35" s="27"/>
      <c r="T35" s="139"/>
      <c r="U35" s="27"/>
      <c r="V35" s="140">
        <f t="shared" si="1"/>
        <v>0</v>
      </c>
    </row>
    <row r="36" spans="2:22" ht="12.75">
      <c r="B36" s="27" t="s">
        <v>141</v>
      </c>
      <c r="C36" s="27"/>
      <c r="D36" s="27"/>
      <c r="E36" s="27" t="s">
        <v>80</v>
      </c>
      <c r="F36" s="36" t="s">
        <v>81</v>
      </c>
      <c r="G36" s="103">
        <v>10</v>
      </c>
      <c r="H36" s="149">
        <v>18</v>
      </c>
      <c r="I36" s="103">
        <f t="shared" si="0"/>
        <v>180</v>
      </c>
      <c r="M36" s="107" t="s">
        <v>141</v>
      </c>
      <c r="N36" s="27"/>
      <c r="O36" s="27"/>
      <c r="P36" s="27" t="s">
        <v>80</v>
      </c>
      <c r="Q36" s="36" t="s">
        <v>81</v>
      </c>
      <c r="R36" s="139"/>
      <c r="S36" s="27"/>
      <c r="T36" s="139"/>
      <c r="U36" s="27"/>
      <c r="V36" s="140">
        <f t="shared" si="1"/>
        <v>0</v>
      </c>
    </row>
    <row r="37" spans="2:22" ht="12.75">
      <c r="B37" s="27" t="s">
        <v>270</v>
      </c>
      <c r="C37" s="27"/>
      <c r="D37" s="27"/>
      <c r="E37" s="27" t="s">
        <v>318</v>
      </c>
      <c r="F37" s="36" t="s">
        <v>152</v>
      </c>
      <c r="G37" s="103">
        <v>13</v>
      </c>
      <c r="H37" s="149">
        <v>13.67</v>
      </c>
      <c r="I37" s="103">
        <f t="shared" si="0"/>
        <v>177.71</v>
      </c>
      <c r="M37" s="107" t="s">
        <v>270</v>
      </c>
      <c r="N37" s="27"/>
      <c r="O37" s="27"/>
      <c r="P37" s="27" t="s">
        <v>318</v>
      </c>
      <c r="Q37" s="36" t="s">
        <v>152</v>
      </c>
      <c r="R37" s="139"/>
      <c r="S37" s="27"/>
      <c r="T37" s="139"/>
      <c r="U37" s="27"/>
      <c r="V37" s="140">
        <f t="shared" si="1"/>
        <v>0</v>
      </c>
    </row>
    <row r="38" spans="2:22" ht="12.75">
      <c r="B38" s="27" t="s">
        <v>171</v>
      </c>
      <c r="C38" s="27"/>
      <c r="D38" s="27"/>
      <c r="E38" s="27" t="s">
        <v>318</v>
      </c>
      <c r="F38" s="36" t="s">
        <v>81</v>
      </c>
      <c r="G38" s="103">
        <v>15</v>
      </c>
      <c r="H38" s="149">
        <v>13.67</v>
      </c>
      <c r="I38" s="103">
        <f t="shared" si="0"/>
        <v>205.05</v>
      </c>
      <c r="M38" s="107" t="s">
        <v>171</v>
      </c>
      <c r="N38" s="27"/>
      <c r="O38" s="27"/>
      <c r="P38" s="27" t="s">
        <v>318</v>
      </c>
      <c r="Q38" s="36" t="s">
        <v>81</v>
      </c>
      <c r="R38" s="139"/>
      <c r="S38" s="27"/>
      <c r="T38" s="139"/>
      <c r="U38" s="27"/>
      <c r="V38" s="140">
        <f t="shared" si="1"/>
        <v>0</v>
      </c>
    </row>
    <row r="39" spans="2:22" ht="12.75">
      <c r="B39" s="57" t="s">
        <v>219</v>
      </c>
      <c r="C39" s="57"/>
      <c r="D39" s="27"/>
      <c r="E39" s="27"/>
      <c r="F39" s="36"/>
      <c r="G39" s="103"/>
      <c r="H39" s="148"/>
      <c r="I39" s="103"/>
      <c r="M39" s="113" t="s">
        <v>219</v>
      </c>
      <c r="N39" s="57"/>
      <c r="O39" s="27"/>
      <c r="P39" s="27"/>
      <c r="Q39" s="36"/>
      <c r="R39" s="27"/>
      <c r="S39" s="27"/>
      <c r="T39" s="27"/>
      <c r="U39" s="27"/>
      <c r="V39" s="108"/>
    </row>
    <row r="40" spans="2:22" ht="12.75">
      <c r="B40" s="27" t="s">
        <v>315</v>
      </c>
      <c r="C40" s="27"/>
      <c r="D40" s="27"/>
      <c r="E40" s="27" t="s">
        <v>72</v>
      </c>
      <c r="F40" s="36" t="s">
        <v>204</v>
      </c>
      <c r="G40" s="103">
        <v>1210</v>
      </c>
      <c r="H40" s="149">
        <v>0.3</v>
      </c>
      <c r="I40" s="103">
        <f>G40*H40</f>
        <v>363</v>
      </c>
      <c r="M40" s="107" t="s">
        <v>315</v>
      </c>
      <c r="N40" s="27"/>
      <c r="O40" s="27"/>
      <c r="P40" s="27" t="s">
        <v>72</v>
      </c>
      <c r="Q40" s="36" t="s">
        <v>204</v>
      </c>
      <c r="R40" s="139"/>
      <c r="S40" s="27"/>
      <c r="T40" s="139"/>
      <c r="U40" s="27"/>
      <c r="V40" s="140">
        <f>R40*T40</f>
        <v>0</v>
      </c>
    </row>
    <row r="41" spans="2:22" ht="12.75">
      <c r="B41" s="27" t="s">
        <v>179</v>
      </c>
      <c r="C41" s="27"/>
      <c r="D41" s="27"/>
      <c r="E41" s="27" t="s">
        <v>72</v>
      </c>
      <c r="F41" s="36" t="s">
        <v>81</v>
      </c>
      <c r="G41" s="103">
        <v>1</v>
      </c>
      <c r="H41" s="149">
        <f>78.75*1.149+78.75</f>
        <v>169.23375</v>
      </c>
      <c r="I41" s="103">
        <f>G41*H41</f>
        <v>169.23375</v>
      </c>
      <c r="M41" s="107" t="s">
        <v>179</v>
      </c>
      <c r="N41" s="27"/>
      <c r="O41" s="27"/>
      <c r="P41" s="27" t="s">
        <v>72</v>
      </c>
      <c r="Q41" s="36" t="s">
        <v>81</v>
      </c>
      <c r="R41" s="139"/>
      <c r="S41" s="27"/>
      <c r="T41" s="139"/>
      <c r="U41" s="27"/>
      <c r="V41" s="140">
        <f>R41*T41</f>
        <v>0</v>
      </c>
    </row>
    <row r="42" spans="2:22" ht="12.75">
      <c r="B42" s="98" t="s">
        <v>167</v>
      </c>
      <c r="C42" s="27"/>
      <c r="D42" s="27"/>
      <c r="E42" s="27"/>
      <c r="F42" s="36" t="s">
        <v>81</v>
      </c>
      <c r="G42" s="103">
        <v>1</v>
      </c>
      <c r="H42" s="149">
        <f>Drip!I48</f>
        <v>70</v>
      </c>
      <c r="I42" s="103">
        <f>G42*H42</f>
        <v>70</v>
      </c>
      <c r="M42" s="116" t="s">
        <v>167</v>
      </c>
      <c r="N42" s="27"/>
      <c r="O42" s="27"/>
      <c r="P42" s="27"/>
      <c r="Q42" s="36" t="s">
        <v>81</v>
      </c>
      <c r="R42" s="139"/>
      <c r="S42" s="27"/>
      <c r="T42" s="139"/>
      <c r="U42" s="27"/>
      <c r="V42" s="140">
        <f>R42*T42</f>
        <v>0</v>
      </c>
    </row>
    <row r="43" spans="2:23" ht="12.75">
      <c r="B43" s="98" t="s">
        <v>165</v>
      </c>
      <c r="C43" s="27"/>
      <c r="D43" s="27"/>
      <c r="E43" s="27"/>
      <c r="F43" s="36" t="s">
        <v>58</v>
      </c>
      <c r="G43" s="103">
        <f>SUM(I28:I42)</f>
        <v>2110.16425</v>
      </c>
      <c r="H43" s="149">
        <v>0.075</v>
      </c>
      <c r="I43" s="103">
        <f>G43*H43</f>
        <v>158.26231875</v>
      </c>
      <c r="M43" s="116" t="s">
        <v>165</v>
      </c>
      <c r="N43" s="27"/>
      <c r="O43" s="27"/>
      <c r="P43" s="27"/>
      <c r="Q43" s="36" t="s">
        <v>58</v>
      </c>
      <c r="R43" s="139"/>
      <c r="S43" s="27"/>
      <c r="T43" s="139"/>
      <c r="U43" s="27"/>
      <c r="V43" s="140">
        <f>R43*T43</f>
        <v>0</v>
      </c>
      <c r="W43" s="27"/>
    </row>
    <row r="44" spans="2:22" ht="12.75">
      <c r="B44" s="57" t="s">
        <v>266</v>
      </c>
      <c r="C44" s="27"/>
      <c r="D44" s="27"/>
      <c r="E44" s="27"/>
      <c r="F44" s="36"/>
      <c r="G44" s="103"/>
      <c r="H44" s="103"/>
      <c r="I44" s="138">
        <f>SUM(I28:I43)</f>
        <v>2268.4265687499997</v>
      </c>
      <c r="K44" s="9"/>
      <c r="M44" s="113" t="s">
        <v>266</v>
      </c>
      <c r="N44" s="27"/>
      <c r="O44" s="27"/>
      <c r="P44" s="27"/>
      <c r="Q44" s="36"/>
      <c r="R44" s="27"/>
      <c r="S44" s="27"/>
      <c r="T44" s="27"/>
      <c r="U44" s="27"/>
      <c r="V44" s="140">
        <f>SUM(V28:V43)</f>
        <v>0</v>
      </c>
    </row>
    <row r="45" spans="2:22" ht="13.5" thickBot="1">
      <c r="B45" s="57" t="s">
        <v>213</v>
      </c>
      <c r="C45" s="27"/>
      <c r="D45" s="27"/>
      <c r="E45" s="27"/>
      <c r="F45" s="36"/>
      <c r="G45" s="103"/>
      <c r="H45" s="103"/>
      <c r="I45" s="137">
        <f>SUM(I26:I43)</f>
        <v>2268.4265687499997</v>
      </c>
      <c r="K45" s="9"/>
      <c r="M45" s="113" t="s">
        <v>213</v>
      </c>
      <c r="N45" s="27"/>
      <c r="O45" s="27"/>
      <c r="P45" s="27"/>
      <c r="Q45" s="36"/>
      <c r="R45" s="27"/>
      <c r="S45" s="27"/>
      <c r="T45" s="27"/>
      <c r="U45" s="27"/>
      <c r="V45" s="140">
        <f>SUM(V26:V43)</f>
        <v>0</v>
      </c>
    </row>
    <row r="46" spans="2:22" ht="13.5" thickTop="1">
      <c r="B46" s="57" t="s">
        <v>150</v>
      </c>
      <c r="C46" s="27"/>
      <c r="D46" s="27"/>
      <c r="E46" s="27"/>
      <c r="F46" s="27"/>
      <c r="G46" s="103"/>
      <c r="H46" s="103"/>
      <c r="I46" s="103"/>
      <c r="K46" s="9"/>
      <c r="M46" s="113" t="s">
        <v>150</v>
      </c>
      <c r="N46" s="27"/>
      <c r="O46" s="27"/>
      <c r="P46" s="27"/>
      <c r="Q46" s="27"/>
      <c r="R46" s="27"/>
      <c r="S46" s="27"/>
      <c r="T46" s="27"/>
      <c r="U46" s="27"/>
      <c r="V46" s="108"/>
    </row>
    <row r="47" spans="2:22" ht="12.75">
      <c r="B47" s="27" t="s">
        <v>149</v>
      </c>
      <c r="C47" s="27"/>
      <c r="D47" s="27"/>
      <c r="E47" s="27"/>
      <c r="F47" s="27" t="s">
        <v>153</v>
      </c>
      <c r="G47" s="103">
        <f>0.95*MEDY</f>
        <v>6650</v>
      </c>
      <c r="H47" s="103">
        <v>1.16</v>
      </c>
      <c r="I47" s="103">
        <f>G47*H47</f>
        <v>7713.999999999999</v>
      </c>
      <c r="K47" s="9"/>
      <c r="M47" s="107" t="s">
        <v>149</v>
      </c>
      <c r="N47" s="27"/>
      <c r="O47" s="27"/>
      <c r="P47" s="27"/>
      <c r="Q47" s="27" t="s">
        <v>153</v>
      </c>
      <c r="R47" s="139"/>
      <c r="S47" s="27"/>
      <c r="T47" s="139"/>
      <c r="U47" s="27"/>
      <c r="V47" s="140">
        <f>R47*T47</f>
        <v>0</v>
      </c>
    </row>
    <row r="48" spans="2:22" ht="12.75">
      <c r="B48" s="27" t="s">
        <v>109</v>
      </c>
      <c r="C48" s="27"/>
      <c r="D48" s="27"/>
      <c r="E48" s="27"/>
      <c r="F48" s="27" t="s">
        <v>173</v>
      </c>
      <c r="G48" s="103">
        <f>0.95*MEDY</f>
        <v>6650</v>
      </c>
      <c r="H48" s="103">
        <v>1.1</v>
      </c>
      <c r="I48" s="103">
        <f>G48*H48</f>
        <v>7315.000000000001</v>
      </c>
      <c r="M48" s="107" t="s">
        <v>109</v>
      </c>
      <c r="N48" s="27"/>
      <c r="O48" s="27"/>
      <c r="P48" s="27"/>
      <c r="Q48" s="27" t="s">
        <v>173</v>
      </c>
      <c r="R48" s="139"/>
      <c r="S48" s="27"/>
      <c r="T48" s="139"/>
      <c r="U48" s="27"/>
      <c r="V48" s="140">
        <f>R48*T48</f>
        <v>0</v>
      </c>
    </row>
    <row r="49" spans="2:22" ht="12.75">
      <c r="B49" s="27" t="s">
        <v>105</v>
      </c>
      <c r="C49" s="27"/>
      <c r="D49" s="27"/>
      <c r="E49" s="27"/>
      <c r="F49" s="27" t="s">
        <v>173</v>
      </c>
      <c r="G49" s="103">
        <f>MEDY*0.95</f>
        <v>6650</v>
      </c>
      <c r="H49" s="103">
        <v>0.18</v>
      </c>
      <c r="I49" s="103">
        <f>G49*H49</f>
        <v>1197</v>
      </c>
      <c r="K49" s="9"/>
      <c r="M49" s="107" t="s">
        <v>105</v>
      </c>
      <c r="N49" s="27"/>
      <c r="O49" s="27"/>
      <c r="P49" s="27"/>
      <c r="Q49" s="27" t="s">
        <v>173</v>
      </c>
      <c r="R49" s="139"/>
      <c r="S49" s="27"/>
      <c r="T49" s="139"/>
      <c r="U49" s="27"/>
      <c r="V49" s="140">
        <f>R49*T49</f>
        <v>0</v>
      </c>
    </row>
    <row r="50" spans="2:22" ht="12.75">
      <c r="B50" s="57" t="s">
        <v>259</v>
      </c>
      <c r="C50" s="57"/>
      <c r="D50" s="57"/>
      <c r="E50" s="57"/>
      <c r="F50" s="57"/>
      <c r="G50" s="104"/>
      <c r="H50" s="105"/>
      <c r="I50" s="138">
        <f>SUM(I47:I49)</f>
        <v>16226</v>
      </c>
      <c r="K50" s="12" t="s">
        <v>0</v>
      </c>
      <c r="M50" s="113" t="s">
        <v>259</v>
      </c>
      <c r="N50" s="57"/>
      <c r="O50" s="57"/>
      <c r="P50" s="57"/>
      <c r="Q50" s="57"/>
      <c r="R50" s="27"/>
      <c r="S50" s="27"/>
      <c r="T50" s="27"/>
      <c r="U50" s="27"/>
      <c r="V50" s="140">
        <f>SUM(V47:V49)</f>
        <v>0</v>
      </c>
    </row>
    <row r="51" spans="2:22" ht="12.75">
      <c r="B51" s="57" t="s">
        <v>260</v>
      </c>
      <c r="C51" s="27"/>
      <c r="D51" s="27"/>
      <c r="E51" s="27"/>
      <c r="F51" s="36"/>
      <c r="G51" s="103"/>
      <c r="H51" s="106"/>
      <c r="I51" s="138">
        <f>SUM(I47:I49)</f>
        <v>16226</v>
      </c>
      <c r="K51" s="12" t="s">
        <v>0</v>
      </c>
      <c r="M51" s="113" t="s">
        <v>260</v>
      </c>
      <c r="N51" s="27"/>
      <c r="O51" s="27"/>
      <c r="P51" s="27"/>
      <c r="Q51" s="36"/>
      <c r="R51" s="27"/>
      <c r="S51" s="27"/>
      <c r="T51" s="27"/>
      <c r="U51" s="27"/>
      <c r="V51" s="140">
        <f>SUM(V47:V49)</f>
        <v>0</v>
      </c>
    </row>
    <row r="52" spans="2:22" ht="13.5" thickBot="1">
      <c r="B52" s="57" t="s">
        <v>267</v>
      </c>
      <c r="C52" s="27"/>
      <c r="D52" s="27"/>
      <c r="E52" s="27"/>
      <c r="F52" s="36"/>
      <c r="G52" s="103"/>
      <c r="H52" s="106"/>
      <c r="I52" s="137">
        <f>I45+I51</f>
        <v>18494.42656875</v>
      </c>
      <c r="K52" s="9" t="s">
        <v>0</v>
      </c>
      <c r="M52" s="113" t="s">
        <v>267</v>
      </c>
      <c r="N52" s="27"/>
      <c r="O52" s="27"/>
      <c r="P52" s="27"/>
      <c r="Q52" s="36"/>
      <c r="R52" s="27"/>
      <c r="S52" s="27"/>
      <c r="T52" s="27"/>
      <c r="U52" s="27"/>
      <c r="V52" s="140">
        <f>V45+V51</f>
        <v>0</v>
      </c>
    </row>
    <row r="53" spans="2:22" ht="13.5" thickTop="1">
      <c r="B53" s="57" t="s">
        <v>134</v>
      </c>
      <c r="C53" s="57"/>
      <c r="D53" s="27"/>
      <c r="E53" s="27"/>
      <c r="F53" s="36"/>
      <c r="G53" s="103"/>
      <c r="H53" s="106"/>
      <c r="I53" s="103"/>
      <c r="K53" s="12" t="s">
        <v>0</v>
      </c>
      <c r="M53" s="113" t="s">
        <v>134</v>
      </c>
      <c r="N53" s="57"/>
      <c r="O53" s="27"/>
      <c r="P53" s="27"/>
      <c r="Q53" s="36"/>
      <c r="R53" s="27"/>
      <c r="S53" s="27"/>
      <c r="T53" s="27"/>
      <c r="U53" s="27"/>
      <c r="V53" s="108"/>
    </row>
    <row r="54" spans="2:22" ht="12.75">
      <c r="B54" s="98" t="s">
        <v>329</v>
      </c>
      <c r="C54" s="27"/>
      <c r="D54" s="27"/>
      <c r="E54" s="27"/>
      <c r="F54" s="36" t="s">
        <v>81</v>
      </c>
      <c r="G54" s="103">
        <v>1</v>
      </c>
      <c r="H54" s="103">
        <f>FxdCost!E40</f>
        <v>746.6715</v>
      </c>
      <c r="I54" s="103">
        <f>G54*H54</f>
        <v>746.6715</v>
      </c>
      <c r="K54" s="12" t="s">
        <v>0</v>
      </c>
      <c r="M54" s="116" t="s">
        <v>329</v>
      </c>
      <c r="N54" s="27"/>
      <c r="O54" s="27"/>
      <c r="P54" s="27"/>
      <c r="Q54" s="36" t="s">
        <v>81</v>
      </c>
      <c r="R54" s="139"/>
      <c r="S54" s="27"/>
      <c r="T54" s="139"/>
      <c r="U54" s="27"/>
      <c r="V54" s="140">
        <f>R54*T54</f>
        <v>0</v>
      </c>
    </row>
    <row r="55" spans="2:22" ht="12.75">
      <c r="B55" s="98" t="s">
        <v>195</v>
      </c>
      <c r="C55" s="27"/>
      <c r="D55" s="27"/>
      <c r="E55" s="27"/>
      <c r="F55" s="36" t="s">
        <v>58</v>
      </c>
      <c r="G55" s="103">
        <f>I45</f>
        <v>2268.4265687499997</v>
      </c>
      <c r="H55" s="103">
        <v>0.15</v>
      </c>
      <c r="I55" s="103">
        <f>G55*H55</f>
        <v>340.2639853124999</v>
      </c>
      <c r="K55" s="12" t="s">
        <v>0</v>
      </c>
      <c r="M55" s="116" t="s">
        <v>195</v>
      </c>
      <c r="N55" s="27"/>
      <c r="O55" s="27"/>
      <c r="P55" s="27"/>
      <c r="Q55" s="36" t="s">
        <v>58</v>
      </c>
      <c r="R55" s="139"/>
      <c r="S55" s="27"/>
      <c r="T55" s="139"/>
      <c r="U55" s="27"/>
      <c r="V55" s="140">
        <f>R55*T55</f>
        <v>0</v>
      </c>
    </row>
    <row r="56" spans="2:22" ht="12.75">
      <c r="B56" s="27" t="s">
        <v>167</v>
      </c>
      <c r="C56" s="27"/>
      <c r="D56" s="27"/>
      <c r="E56" s="27"/>
      <c r="F56" s="36" t="s">
        <v>81</v>
      </c>
      <c r="G56" s="103">
        <v>1</v>
      </c>
      <c r="H56" s="103">
        <f>Drip!I36</f>
        <v>170.84</v>
      </c>
      <c r="I56" s="103">
        <f>G56*H56</f>
        <v>170.84</v>
      </c>
      <c r="K56" s="12" t="s">
        <v>0</v>
      </c>
      <c r="M56" s="107" t="s">
        <v>167</v>
      </c>
      <c r="N56" s="27"/>
      <c r="O56" s="27"/>
      <c r="P56" s="27"/>
      <c r="Q56" s="36" t="s">
        <v>81</v>
      </c>
      <c r="R56" s="139"/>
      <c r="S56" s="27"/>
      <c r="T56" s="139"/>
      <c r="U56" s="27"/>
      <c r="V56" s="140">
        <f>R56*T56</f>
        <v>0</v>
      </c>
    </row>
    <row r="57" spans="2:22" ht="12.75">
      <c r="B57" s="57" t="s">
        <v>256</v>
      </c>
      <c r="C57" s="27"/>
      <c r="D57" s="27"/>
      <c r="E57" s="27"/>
      <c r="F57" s="36"/>
      <c r="G57" s="106"/>
      <c r="H57" s="106"/>
      <c r="I57" s="138">
        <f>SUM(I54:I56)</f>
        <v>1257.7754853125</v>
      </c>
      <c r="K57" s="12" t="s">
        <v>0</v>
      </c>
      <c r="M57" s="113" t="s">
        <v>256</v>
      </c>
      <c r="N57" s="27"/>
      <c r="O57" s="27"/>
      <c r="P57" s="27"/>
      <c r="Q57" s="36"/>
      <c r="R57" s="27"/>
      <c r="S57" s="27"/>
      <c r="T57" s="27"/>
      <c r="U57" s="27"/>
      <c r="V57" s="140">
        <f>SUM(V54:V56)</f>
        <v>0</v>
      </c>
    </row>
    <row r="58" spans="2:22" ht="13.5" thickBot="1">
      <c r="B58" s="57" t="s">
        <v>253</v>
      </c>
      <c r="C58" s="27"/>
      <c r="D58" s="27"/>
      <c r="E58" s="27"/>
      <c r="F58" s="27"/>
      <c r="G58" s="106"/>
      <c r="H58" s="106"/>
      <c r="I58" s="137">
        <f>I45+I51+I57</f>
        <v>19752.2020540625</v>
      </c>
      <c r="K58" s="12" t="s">
        <v>0</v>
      </c>
      <c r="M58" s="117" t="s">
        <v>253</v>
      </c>
      <c r="N58" s="118"/>
      <c r="O58" s="118"/>
      <c r="P58" s="118"/>
      <c r="Q58" s="118"/>
      <c r="R58" s="118"/>
      <c r="S58" s="118"/>
      <c r="T58" s="118"/>
      <c r="U58" s="118"/>
      <c r="V58" s="119">
        <f>V45+V51+V57</f>
        <v>0</v>
      </c>
    </row>
    <row r="59" spans="6:21" ht="13.5" thickTop="1">
      <c r="F59" s="9"/>
      <c r="G59" s="13"/>
      <c r="H59" s="17"/>
      <c r="I59" s="13"/>
      <c r="K59" s="9"/>
      <c r="S59" s="27"/>
      <c r="U59" s="27"/>
    </row>
    <row r="60" ht="12.75">
      <c r="K60" s="12" t="s">
        <v>0</v>
      </c>
    </row>
    <row r="61" ht="12.75">
      <c r="K61" s="12" t="s">
        <v>0</v>
      </c>
    </row>
    <row r="62" ht="12.75">
      <c r="K62" s="9"/>
    </row>
    <row r="63" ht="12.75">
      <c r="K63" s="12" t="s">
        <v>0</v>
      </c>
    </row>
    <row r="64" ht="12.75">
      <c r="K64" s="9"/>
    </row>
    <row r="65" spans="11:14" ht="12.75">
      <c r="K65" s="12"/>
      <c r="N65" t="s">
        <v>8</v>
      </c>
    </row>
    <row r="66" spans="2:14" ht="12.75">
      <c r="B66" s="62" t="s">
        <v>321</v>
      </c>
      <c r="C66" s="40"/>
      <c r="D66" s="40"/>
      <c r="E66" s="40"/>
      <c r="F66" s="63"/>
      <c r="G66" s="63"/>
      <c r="H66" s="63"/>
      <c r="K66" s="9"/>
      <c r="N66" s="28" t="s">
        <v>339</v>
      </c>
    </row>
    <row r="67" spans="2:15" ht="12.75">
      <c r="B67" s="64" t="s">
        <v>322</v>
      </c>
      <c r="C67" s="40"/>
      <c r="D67" s="40"/>
      <c r="E67" s="40"/>
      <c r="F67" s="63"/>
      <c r="G67" s="63"/>
      <c r="H67" s="65">
        <f>I45/G22</f>
        <v>0.3240609383928571</v>
      </c>
      <c r="K67" s="9"/>
      <c r="N67" s="2">
        <f>I18</f>
        <v>1</v>
      </c>
      <c r="O67" t="s">
        <v>9</v>
      </c>
    </row>
    <row r="68" spans="2:17" ht="12.75">
      <c r="B68" s="64" t="s">
        <v>323</v>
      </c>
      <c r="C68" s="40"/>
      <c r="D68" s="40"/>
      <c r="E68" s="40"/>
      <c r="F68" s="63"/>
      <c r="G68" s="63"/>
      <c r="H68" s="65">
        <f>I51/G22</f>
        <v>2.318</v>
      </c>
      <c r="N68" s="2">
        <f>E22</f>
        <v>8400</v>
      </c>
      <c r="O68" t="s">
        <v>11</v>
      </c>
      <c r="P68" s="3">
        <f>E23</f>
        <v>3.6</v>
      </c>
      <c r="Q68" t="s">
        <v>10</v>
      </c>
    </row>
    <row r="69" spans="2:17" ht="12.75">
      <c r="B69" s="64" t="s">
        <v>373</v>
      </c>
      <c r="C69" s="64"/>
      <c r="D69" s="40"/>
      <c r="E69" s="40"/>
      <c r="F69" s="63"/>
      <c r="G69" s="63"/>
      <c r="H69" s="65">
        <f>I57/MEDY</f>
        <v>0.1796822121875</v>
      </c>
      <c r="K69" s="12"/>
      <c r="N69" s="2">
        <f>F22</f>
        <v>7700.000000000001</v>
      </c>
      <c r="O69" t="s">
        <v>27</v>
      </c>
      <c r="P69" s="3">
        <f>F23</f>
        <v>3.3</v>
      </c>
      <c r="Q69" t="s">
        <v>26</v>
      </c>
    </row>
    <row r="70" spans="2:17" ht="12.75">
      <c r="B70" s="64" t="s">
        <v>324</v>
      </c>
      <c r="C70" s="40"/>
      <c r="D70" s="40"/>
      <c r="E70" s="40"/>
      <c r="F70" s="63"/>
      <c r="G70" s="63"/>
      <c r="H70" s="66">
        <f>I58/G22</f>
        <v>2.821743150580357</v>
      </c>
      <c r="K70" s="9"/>
      <c r="N70" s="2">
        <f>G22</f>
        <v>7000</v>
      </c>
      <c r="O70" t="s">
        <v>20</v>
      </c>
      <c r="P70" s="3">
        <f>G23</f>
        <v>3</v>
      </c>
      <c r="Q70" t="s">
        <v>19</v>
      </c>
    </row>
    <row r="71" spans="2:17" ht="12.75">
      <c r="B71" s="64" t="s">
        <v>320</v>
      </c>
      <c r="C71" s="40"/>
      <c r="D71" s="40"/>
      <c r="E71" s="40"/>
      <c r="F71" s="67"/>
      <c r="G71" s="67"/>
      <c r="H71" s="65">
        <f>UNITCOST/MEDP</f>
        <v>6584.067351354167</v>
      </c>
      <c r="K71" s="9"/>
      <c r="N71" s="2">
        <f>H22</f>
        <v>6300</v>
      </c>
      <c r="O71" t="s">
        <v>30</v>
      </c>
      <c r="P71" s="3">
        <f>H23</f>
        <v>2.7</v>
      </c>
      <c r="Q71" t="s">
        <v>29</v>
      </c>
    </row>
    <row r="72" spans="11:17" ht="12.75">
      <c r="K72" s="9"/>
      <c r="N72" s="2">
        <f>I22</f>
        <v>5600</v>
      </c>
      <c r="O72" t="s">
        <v>52</v>
      </c>
      <c r="P72" s="3">
        <f>I23</f>
        <v>2.4</v>
      </c>
      <c r="Q72" t="s">
        <v>51</v>
      </c>
    </row>
    <row r="73" spans="7:15" ht="12.75">
      <c r="G73" s="17"/>
      <c r="H73" s="17"/>
      <c r="I73" s="17"/>
      <c r="J73" s="36"/>
      <c r="K73" s="9"/>
      <c r="N73" s="3">
        <f>H68</f>
        <v>2.318</v>
      </c>
      <c r="O73" t="s">
        <v>336</v>
      </c>
    </row>
    <row r="74" spans="2:15" ht="12.75">
      <c r="B74" s="176" t="s">
        <v>120</v>
      </c>
      <c r="C74" s="176"/>
      <c r="D74" s="176"/>
      <c r="E74" s="176"/>
      <c r="F74" s="176"/>
      <c r="G74" s="176"/>
      <c r="H74" s="176"/>
      <c r="I74" s="176"/>
      <c r="J74" s="36"/>
      <c r="K74" s="9"/>
      <c r="N74" s="3">
        <f>I45+I57</f>
        <v>3526.2020540625</v>
      </c>
      <c r="O74" t="s">
        <v>374</v>
      </c>
    </row>
    <row r="75" spans="2:14" ht="12.75">
      <c r="C75" t="s">
        <v>119</v>
      </c>
      <c r="E75" t="s">
        <v>285</v>
      </c>
      <c r="F75" s="9"/>
      <c r="G75" s="4" t="s">
        <v>119</v>
      </c>
      <c r="H75" s="4" t="s">
        <v>0</v>
      </c>
      <c r="I75" s="10" t="s">
        <v>250</v>
      </c>
      <c r="J75" s="36"/>
      <c r="K75" s="9"/>
      <c r="N75" s="28" t="s">
        <v>337</v>
      </c>
    </row>
    <row r="76" spans="2:15" ht="12.75">
      <c r="B76" s="9" t="s">
        <v>83</v>
      </c>
      <c r="C76" s="18" t="s">
        <v>295</v>
      </c>
      <c r="D76" s="9"/>
      <c r="E76" s="9" t="s">
        <v>178</v>
      </c>
      <c r="F76" s="9"/>
      <c r="G76" s="4" t="s">
        <v>217</v>
      </c>
      <c r="H76" s="4" t="s">
        <v>0</v>
      </c>
      <c r="I76" s="10" t="s">
        <v>229</v>
      </c>
      <c r="K76" s="9"/>
      <c r="O76" t="s">
        <v>100</v>
      </c>
    </row>
    <row r="77" spans="2:14" ht="13.5" thickBot="1">
      <c r="B77" s="8">
        <v>1</v>
      </c>
      <c r="C77" s="8">
        <f>MEDY</f>
        <v>7000</v>
      </c>
      <c r="D77" s="9"/>
      <c r="E77" s="69">
        <v>0.9500000000000001</v>
      </c>
      <c r="F77" s="9"/>
      <c r="G77" s="4">
        <f>MEDP</f>
        <v>3</v>
      </c>
      <c r="H77" s="9"/>
      <c r="I77" s="49">
        <f>(C77*E77*G77)</f>
        <v>19950.000000000004</v>
      </c>
      <c r="J77" s="36"/>
      <c r="K77" s="9"/>
      <c r="N77" s="28" t="s">
        <v>337</v>
      </c>
    </row>
    <row r="78" spans="10:17" ht="13.5" thickTop="1">
      <c r="J78" s="36"/>
      <c r="K78" s="9"/>
      <c r="N78" s="2">
        <f>0.04*N68+0.25*N69+0.42*N70+0.25*N71+0.04*N72</f>
        <v>7000</v>
      </c>
      <c r="O78" t="s">
        <v>17</v>
      </c>
      <c r="P78">
        <f>0.04*P68+0.25*P69+0.42*P70+0.25*P71+0.04*P72</f>
        <v>3</v>
      </c>
      <c r="Q78" t="s">
        <v>16</v>
      </c>
    </row>
    <row r="79" spans="7:17" ht="12.75">
      <c r="G79" s="9"/>
      <c r="H79" s="9"/>
      <c r="I79" s="9"/>
      <c r="J79" s="9"/>
      <c r="K79" s="9"/>
      <c r="N79">
        <f>0.25*(N68-N78)+0.5*(N69-N78)</f>
        <v>700.0000000000005</v>
      </c>
      <c r="O79" t="s">
        <v>41</v>
      </c>
      <c r="P79">
        <f>0.25*(P68-P78)+0.5*(P69-P78)</f>
        <v>0.29999999999999993</v>
      </c>
      <c r="Q79" t="s">
        <v>33</v>
      </c>
    </row>
    <row r="80" spans="2:17" ht="12.75">
      <c r="B80" s="126" t="s">
        <v>3</v>
      </c>
      <c r="C80" s="27"/>
      <c r="D80" s="27"/>
      <c r="E80" s="27"/>
      <c r="F80" s="27"/>
      <c r="G80" s="36"/>
      <c r="H80" s="36"/>
      <c r="I80" s="36"/>
      <c r="J80" s="36"/>
      <c r="K80" s="9"/>
      <c r="N80">
        <f>0.25*(N78-N72)+0.5*(N78-N71)</f>
        <v>700</v>
      </c>
      <c r="O80" t="s">
        <v>42</v>
      </c>
      <c r="P80">
        <f>0.25*(P78-P72)+0.5*(P78-P71)</f>
        <v>0.29999999999999993</v>
      </c>
      <c r="Q80" t="s">
        <v>34</v>
      </c>
    </row>
    <row r="81" spans="2:17" ht="12.75">
      <c r="B81" s="27" t="s">
        <v>188</v>
      </c>
      <c r="C81" s="27"/>
      <c r="D81" s="27"/>
      <c r="E81" s="27"/>
      <c r="F81" s="27"/>
      <c r="G81" s="36"/>
      <c r="H81" s="36"/>
      <c r="I81" s="36"/>
      <c r="J81" s="36"/>
      <c r="K81" s="9"/>
      <c r="N81" s="2">
        <f>N79^2</f>
        <v>490000.00000000064</v>
      </c>
      <c r="O81" t="s">
        <v>49</v>
      </c>
      <c r="P81">
        <f>P79^2</f>
        <v>0.08999999999999996</v>
      </c>
      <c r="Q81" t="s">
        <v>43</v>
      </c>
    </row>
    <row r="82" spans="2:17" ht="12.75">
      <c r="B82" s="27" t="s">
        <v>245</v>
      </c>
      <c r="C82" s="27"/>
      <c r="D82" s="27"/>
      <c r="E82" s="27"/>
      <c r="F82" s="27"/>
      <c r="G82" s="36"/>
      <c r="H82" s="36"/>
      <c r="I82" s="36"/>
      <c r="J82" s="36"/>
      <c r="K82" s="9"/>
      <c r="N82" s="2">
        <f>N80^2</f>
        <v>490000</v>
      </c>
      <c r="O82" t="s">
        <v>50</v>
      </c>
      <c r="P82">
        <f>P80^2</f>
        <v>0.08999999999999996</v>
      </c>
      <c r="Q82" t="s">
        <v>44</v>
      </c>
    </row>
    <row r="83" spans="2:14" ht="12.75">
      <c r="B83" s="27" t="s">
        <v>244</v>
      </c>
      <c r="C83" s="27"/>
      <c r="D83" s="27"/>
      <c r="E83" s="27"/>
      <c r="F83" s="27"/>
      <c r="G83" s="36"/>
      <c r="H83" s="36"/>
      <c r="I83" s="36"/>
      <c r="J83" s="36"/>
      <c r="K83" s="9"/>
      <c r="N83" s="28" t="s">
        <v>337</v>
      </c>
    </row>
    <row r="84" spans="2:17" ht="12.75">
      <c r="B84" s="27"/>
      <c r="C84" s="27"/>
      <c r="D84" s="27"/>
      <c r="E84" s="27"/>
      <c r="F84" s="27"/>
      <c r="G84" s="36"/>
      <c r="H84" s="36"/>
      <c r="I84" s="36"/>
      <c r="J84" s="36"/>
      <c r="K84" s="9"/>
      <c r="N84" s="2">
        <f>(N78^2*P81)+(P78-N73)^2*N81</f>
        <v>4637910.759999999</v>
      </c>
      <c r="O84" s="2" t="s">
        <v>45</v>
      </c>
      <c r="P84" s="2">
        <f>(N78^2*P82)+(P78-N73)^2*N82</f>
        <v>4637910.759999998</v>
      </c>
      <c r="Q84" t="s">
        <v>48</v>
      </c>
    </row>
    <row r="85" spans="2:17" ht="12.75">
      <c r="B85" s="27"/>
      <c r="C85" s="27"/>
      <c r="D85" s="143" t="s">
        <v>96</v>
      </c>
      <c r="E85" s="27" t="s">
        <v>28</v>
      </c>
      <c r="F85" s="27"/>
      <c r="G85" s="50" t="s">
        <v>18</v>
      </c>
      <c r="H85" s="36"/>
      <c r="I85" s="51" t="s">
        <v>31</v>
      </c>
      <c r="J85" s="166" t="s">
        <v>292</v>
      </c>
      <c r="K85" s="9" t="s">
        <v>0</v>
      </c>
      <c r="N85" s="2">
        <f>(N78^2*P81)+(P78-N73)^2*N82</f>
        <v>4637910.759999998</v>
      </c>
      <c r="O85" s="2" t="s">
        <v>46</v>
      </c>
      <c r="P85" s="2">
        <f>N78^2*P82+(P78-N73)^2*N81</f>
        <v>4637910.759999999</v>
      </c>
      <c r="Q85" t="s">
        <v>47</v>
      </c>
    </row>
    <row r="86" spans="2:17" ht="12.75">
      <c r="B86" s="27"/>
      <c r="C86" s="27"/>
      <c r="D86" s="36"/>
      <c r="E86" s="27"/>
      <c r="F86" s="27"/>
      <c r="G86" s="27"/>
      <c r="H86" s="27"/>
      <c r="I86" s="27"/>
      <c r="J86" s="36"/>
      <c r="K86" s="9"/>
      <c r="N86" s="2">
        <f>SQRT(N84)</f>
        <v>2153.5809155915176</v>
      </c>
      <c r="O86" s="2" t="s">
        <v>35</v>
      </c>
      <c r="P86" s="2">
        <f>SQRT(P84)</f>
        <v>2153.580915591517</v>
      </c>
      <c r="Q86" t="s">
        <v>38</v>
      </c>
    </row>
    <row r="87" spans="2:17" ht="12.75">
      <c r="B87" s="27" t="s">
        <v>67</v>
      </c>
      <c r="C87" s="27"/>
      <c r="D87" s="52">
        <f>P97+1.5*N94</f>
        <v>4478.169319324775</v>
      </c>
      <c r="E87" s="52">
        <f>(P97+N94)</f>
        <v>3401.378861529016</v>
      </c>
      <c r="F87" s="52">
        <f>P97+0.5*N94</f>
        <v>2324.588403733257</v>
      </c>
      <c r="G87" s="53">
        <f>ENR</f>
        <v>1247.7979459374983</v>
      </c>
      <c r="H87" s="52">
        <f>P97-0.5*P94</f>
        <v>171.0074881417397</v>
      </c>
      <c r="I87" s="165">
        <f>P97-P94</f>
        <v>-905.7829696540189</v>
      </c>
      <c r="J87" s="165">
        <f>P97-1.5*P94</f>
        <v>-1982.5734274497772</v>
      </c>
      <c r="K87" s="9"/>
      <c r="N87" s="2">
        <f>SQRT(N85)</f>
        <v>2153.580915591517</v>
      </c>
      <c r="O87" s="2" t="s">
        <v>36</v>
      </c>
      <c r="P87" s="2">
        <f>SQRT(P85)</f>
        <v>2153.5809155915176</v>
      </c>
      <c r="Q87" t="s">
        <v>37</v>
      </c>
    </row>
    <row r="88" spans="2:17" ht="12.75">
      <c r="B88" s="27" t="s">
        <v>101</v>
      </c>
      <c r="C88" s="27"/>
      <c r="D88" s="54">
        <f>IF(O100&lt;1,IF(N100,T100,1-T100),IF(N100,T101,1-T101))</f>
        <v>0.0668072793758486</v>
      </c>
      <c r="E88" s="54">
        <f>IF(O106&lt;1,IF(N106,T106,1-T106),IF(N106,T107,1-T107))</f>
        <v>0.15865531316113052</v>
      </c>
      <c r="F88" s="54">
        <f>IF(O112&lt;1,IF(N112,T112,1-T112),IF(N112,T113,1-T113))</f>
        <v>0.30853755861792775</v>
      </c>
      <c r="G88" s="54">
        <f>IF(O102&lt;1,IF(N102,T102,1-T102),IF(N102,T103,1-T103))</f>
        <v>0.5000000002253843</v>
      </c>
      <c r="H88" s="55">
        <f>IF(O108&lt;1,IF(N108,T108,1-T108),IF(N108,T109,1-T109))</f>
        <v>0.6914624413820722</v>
      </c>
      <c r="I88" s="55">
        <f>IF(O114&lt;1,IF(N114,T114,1-T114),IF(N114,T115,1-T115))</f>
        <v>0.8413446868388694</v>
      </c>
      <c r="J88" s="132">
        <f>IF(O104&lt;1,IF(N104,T104,1-T104),IF(N104,T105,1-T105))</f>
        <v>0.9331927206241514</v>
      </c>
      <c r="K88" s="9"/>
      <c r="N88" s="2">
        <f>0.66*N86+0.17*N87+0.17*P87</f>
        <v>2153.5809155915176</v>
      </c>
      <c r="O88" s="2" t="s">
        <v>39</v>
      </c>
      <c r="P88" s="2">
        <f>0.66*P86+0.17*N87+0.17*P87</f>
        <v>2153.580915591517</v>
      </c>
      <c r="Q88" t="s">
        <v>40</v>
      </c>
    </row>
    <row r="89" spans="2:14" ht="12.75">
      <c r="B89" s="27" t="s">
        <v>101</v>
      </c>
      <c r="C89" s="27"/>
      <c r="D89" s="56">
        <f>IF(O100&lt;1,IF(N100,1-T100,T100),IF(N100,1-T101,T101))</f>
        <v>0.9331927206241514</v>
      </c>
      <c r="E89" s="56">
        <f>IF(O106&lt;1,IF(N106,1-T106,T106),IF(N106,1-T107,T107))</f>
        <v>0.8413446868388694</v>
      </c>
      <c r="F89" s="56">
        <f>IF(O112&lt;1,IF(N112,1-T112,T112),IF(N112,1-T113,T113))</f>
        <v>0.6914624413820722</v>
      </c>
      <c r="G89" s="54">
        <f>IF(O102&lt;1,IF(N102,1-T102,T102),IF(N102,1-T103,T103))</f>
        <v>0.49999999977461573</v>
      </c>
      <c r="H89" s="54">
        <f>IF(O108&lt;1,IF(N108,1-T108,T108),IF(N108,1-T109,T109))</f>
        <v>0.30853755861792775</v>
      </c>
      <c r="I89" s="54">
        <f>IF(O114&lt;1,IF(N114,1-T114,T114),IF(N114,1-T115,T115))</f>
        <v>0.15865531316113055</v>
      </c>
      <c r="J89" s="54">
        <f>IF(O104&lt;1,IF(N104,1-T104,T104),IF(N104,1-T105,T105))</f>
        <v>0.0668072793758486</v>
      </c>
      <c r="K89" s="9"/>
      <c r="N89" s="28" t="s">
        <v>338</v>
      </c>
    </row>
    <row r="90" spans="2:14" ht="13.5" thickBot="1">
      <c r="B90" s="57" t="s">
        <v>102</v>
      </c>
      <c r="C90" s="27"/>
      <c r="D90" s="36"/>
      <c r="E90" s="134">
        <f>IF(O110&lt;1,IF(N110,T110,1-T110),IF(N110,T111,1-T111))</f>
        <v>0.7188424226938399</v>
      </c>
      <c r="F90" s="27"/>
      <c r="G90" s="36" t="s">
        <v>328</v>
      </c>
      <c r="H90" s="36"/>
      <c r="I90" s="36"/>
      <c r="J90" s="133">
        <f>N67*(G22*G23-I58)</f>
        <v>1247.7979459374983</v>
      </c>
      <c r="K90" s="9"/>
      <c r="N90" t="s">
        <v>99</v>
      </c>
    </row>
    <row r="91" spans="11:14" ht="13.5" thickTop="1">
      <c r="K91" s="9"/>
      <c r="N91" s="28" t="s">
        <v>338</v>
      </c>
    </row>
    <row r="92" spans="11:17" ht="12.75">
      <c r="K92" s="9"/>
      <c r="N92" s="2">
        <f>N86*N67</f>
        <v>2153.5809155915176</v>
      </c>
      <c r="O92" t="s">
        <v>35</v>
      </c>
      <c r="P92" s="2">
        <f>P86*N67</f>
        <v>2153.580915591517</v>
      </c>
      <c r="Q92" t="s">
        <v>38</v>
      </c>
    </row>
    <row r="93" spans="2:17" ht="12.75">
      <c r="B93" s="126" t="s">
        <v>379</v>
      </c>
      <c r="C93" s="27"/>
      <c r="D93" s="27"/>
      <c r="E93" s="27"/>
      <c r="F93" s="27"/>
      <c r="G93" s="27"/>
      <c r="H93" s="27"/>
      <c r="I93" s="27"/>
      <c r="K93" s="9"/>
      <c r="N93" s="2">
        <f>N87*N67</f>
        <v>2153.580915591517</v>
      </c>
      <c r="O93" t="s">
        <v>36</v>
      </c>
      <c r="P93" s="2">
        <f>P87*N67</f>
        <v>2153.5809155915176</v>
      </c>
      <c r="Q93" t="s">
        <v>37</v>
      </c>
    </row>
    <row r="94" spans="2:17" ht="12.75">
      <c r="B94" s="27"/>
      <c r="C94" s="27"/>
      <c r="D94" s="27"/>
      <c r="E94" s="27"/>
      <c r="F94" s="27"/>
      <c r="G94" s="27"/>
      <c r="H94" s="27"/>
      <c r="I94" s="27"/>
      <c r="K94" s="9"/>
      <c r="N94" s="2">
        <f>N67*N88</f>
        <v>2153.5809155915176</v>
      </c>
      <c r="O94" t="s">
        <v>39</v>
      </c>
      <c r="P94" s="2">
        <f>N67*P88</f>
        <v>2153.580915591517</v>
      </c>
      <c r="Q94" t="s">
        <v>40</v>
      </c>
    </row>
    <row r="95" spans="2:17" ht="12.75">
      <c r="B95" s="27" t="s">
        <v>375</v>
      </c>
      <c r="C95" s="27"/>
      <c r="D95" s="27">
        <f>MEDY</f>
        <v>7000</v>
      </c>
      <c r="E95" s="27"/>
      <c r="F95" s="27"/>
      <c r="G95" s="27"/>
      <c r="H95" s="27"/>
      <c r="I95" s="27"/>
      <c r="N95" s="3">
        <f>P70</f>
        <v>3</v>
      </c>
      <c r="O95" t="s">
        <v>22</v>
      </c>
      <c r="P95">
        <f>N70</f>
        <v>7000</v>
      </c>
      <c r="Q95" t="s">
        <v>25</v>
      </c>
    </row>
    <row r="96" spans="2:17" ht="12.75">
      <c r="B96" s="27" t="s">
        <v>376</v>
      </c>
      <c r="C96" s="27"/>
      <c r="D96" s="59">
        <f>MEDP</f>
        <v>3</v>
      </c>
      <c r="E96" s="27"/>
      <c r="F96" s="27"/>
      <c r="G96" s="27"/>
      <c r="H96" s="27"/>
      <c r="I96" s="27"/>
      <c r="N96" s="2">
        <f>I18*N78*P78</f>
        <v>21000</v>
      </c>
      <c r="O96" t="s">
        <v>15</v>
      </c>
      <c r="P96" s="2">
        <f>(N74+N70*N73)*N67</f>
        <v>19752.2020540625</v>
      </c>
      <c r="Q96" t="s">
        <v>23</v>
      </c>
    </row>
    <row r="97" spans="2:17" ht="12.75">
      <c r="B97" s="27" t="s">
        <v>377</v>
      </c>
      <c r="C97" s="27"/>
      <c r="D97" s="122">
        <f>D95*D96-UNITCOST</f>
        <v>1247.7979459374983</v>
      </c>
      <c r="E97" s="27"/>
      <c r="F97" s="27"/>
      <c r="G97" s="27"/>
      <c r="H97" s="27"/>
      <c r="I97" s="27"/>
      <c r="N97" s="2">
        <f>N96+(0.7857*(P94-N94))</f>
        <v>21000</v>
      </c>
      <c r="O97" t="s">
        <v>24</v>
      </c>
      <c r="P97" s="2">
        <f>N96-P96</f>
        <v>1247.7979459374983</v>
      </c>
      <c r="Q97" t="s">
        <v>13</v>
      </c>
    </row>
    <row r="98" spans="2:17" ht="12.75">
      <c r="B98" s="27"/>
      <c r="C98" s="27"/>
      <c r="D98" s="27"/>
      <c r="E98" s="27"/>
      <c r="F98" s="27"/>
      <c r="G98" s="27"/>
      <c r="H98" s="27"/>
      <c r="I98" s="27"/>
      <c r="K98" t="s">
        <v>1</v>
      </c>
      <c r="N98" s="2">
        <f>N97-P96</f>
        <v>1247.7979459374983</v>
      </c>
      <c r="O98" t="s">
        <v>21</v>
      </c>
      <c r="P98" s="2">
        <f>P97-N98</f>
        <v>0</v>
      </c>
      <c r="Q98" t="s">
        <v>14</v>
      </c>
    </row>
    <row r="99" spans="2:14" ht="12.75">
      <c r="B99" s="27"/>
      <c r="C99" s="126" t="s">
        <v>400</v>
      </c>
      <c r="D99" s="27"/>
      <c r="E99" s="27"/>
      <c r="F99" s="27"/>
      <c r="G99" s="27"/>
      <c r="H99" s="125"/>
      <c r="I99" s="27"/>
      <c r="N99" s="28" t="s">
        <v>343</v>
      </c>
    </row>
    <row r="100" spans="2:21" ht="12.75">
      <c r="B100" s="143" t="s">
        <v>398</v>
      </c>
      <c r="C100" s="166" t="s">
        <v>96</v>
      </c>
      <c r="D100" s="166" t="s">
        <v>192</v>
      </c>
      <c r="E100" s="166" t="s">
        <v>192</v>
      </c>
      <c r="F100" s="166" t="s">
        <v>316</v>
      </c>
      <c r="G100" s="166" t="s">
        <v>199</v>
      </c>
      <c r="H100" s="170" t="s">
        <v>199</v>
      </c>
      <c r="I100" s="166" t="s">
        <v>292</v>
      </c>
      <c r="J100" s="155" t="s">
        <v>399</v>
      </c>
      <c r="K100" s="166" t="s">
        <v>392</v>
      </c>
      <c r="N100" s="3" t="b">
        <f>+D87&gt;=N98</f>
        <v>1</v>
      </c>
      <c r="O100" s="3">
        <f>ABS((D87-P97)/IF(N100,N94,P94))</f>
        <v>1.5</v>
      </c>
      <c r="P100" s="3">
        <f>MIN(2.5,ABS((D87-(N98+P98*ABS(D87-N98)/ABS(IF(N100,N94+P98,P94-P98))*MIN(1,O100)))/(MIN(1.52,O100)/1.52*IF(N100,N92,P92)+(1.52-MIN(1.52,O100))/3.04*N93+(1.52-MIN(1.52,O100))/3.04*P93)))</f>
        <v>1.5</v>
      </c>
      <c r="Q100" s="3">
        <f aca="true" t="shared" si="2" ref="Q100:Q105">1/(1+(0.2316419*P100))</f>
        <v>0.7421354881880418</v>
      </c>
      <c r="R100" s="3">
        <f aca="true" t="shared" si="3" ref="R100:R105">0.398942281*((2.71828)^((-(P100^2)/2)))</f>
        <v>0.12951769387066342</v>
      </c>
      <c r="S100" s="3"/>
      <c r="T100" s="3">
        <f aca="true" t="shared" si="4" ref="T100:T105">R100*(0.31938153*Q100-0.356563782*Q100^2+1.781477937*Q100^3-1.821255978*Q100^4+1.330274429*Q100^5)</f>
        <v>0.0668072793758486</v>
      </c>
      <c r="U100" s="3"/>
    </row>
    <row r="101" spans="2:21" ht="12.75">
      <c r="B101" s="127">
        <f>D97</f>
        <v>1247.7979459374983</v>
      </c>
      <c r="C101" s="128"/>
      <c r="D101" s="129"/>
      <c r="E101" s="130"/>
      <c r="F101" s="129">
        <v>6650</v>
      </c>
      <c r="G101" s="129"/>
      <c r="H101" s="106"/>
      <c r="I101" s="27"/>
      <c r="P101" s="3">
        <f>MIN(2.5,ABS((D87-P97)/(MIN(1.52,O100)/1.52*IF(N100,N92,P92)+(1.52-MIN(1.52,O100))/3.04*N93+(1.52-MIN(1.52,O100))/3.04*P93)))</f>
        <v>1.5</v>
      </c>
      <c r="Q101" s="3">
        <f t="shared" si="2"/>
        <v>0.7421354881880418</v>
      </c>
      <c r="R101" s="3">
        <f t="shared" si="3"/>
        <v>0.12951769387066342</v>
      </c>
      <c r="S101" s="3"/>
      <c r="T101" s="3">
        <f>R101*(0.31938153*Q101-0.356563782*Q101^2+1.781477937*Q101^3-1.821255978*Q101^4+1.330274429*Q101^5)</f>
        <v>0.0668072793758486</v>
      </c>
      <c r="U101" s="3"/>
    </row>
    <row r="102" spans="2:21" ht="12.75">
      <c r="B102" s="103">
        <v>2.4</v>
      </c>
      <c r="C102" s="168">
        <v>874</v>
      </c>
      <c r="D102" s="169">
        <v>-373</v>
      </c>
      <c r="E102" s="169">
        <v>-1621</v>
      </c>
      <c r="F102" s="169">
        <v>-2868</v>
      </c>
      <c r="G102" s="169">
        <v>-3984</v>
      </c>
      <c r="H102" s="171">
        <v>-5100</v>
      </c>
      <c r="I102" s="171">
        <v>-6216</v>
      </c>
      <c r="J102" s="173">
        <v>-2952</v>
      </c>
      <c r="K102" s="9">
        <v>13</v>
      </c>
      <c r="N102" s="3" t="b">
        <f>+G87&gt;=N98</f>
        <v>1</v>
      </c>
      <c r="O102" s="3">
        <f>ABS((G87-P97)/IF(N102,N94,P94))</f>
        <v>0</v>
      </c>
      <c r="P102" s="3">
        <f>MIN(2.5,ABS((G87-(N98+P98*ABS(G87-N98)/ABS(IF(N102,N94+P98,P94-P98))*MIN(1,O102)))/(MIN(1.52,O102)/1.52*IF(N102,N92,P92)+(1.52-MIN(1.52,O102))/3.04*N93+(1.52-MIN(1.52,O102))/3.04*P93)))</f>
        <v>0</v>
      </c>
      <c r="Q102" s="3">
        <f t="shared" si="2"/>
        <v>1</v>
      </c>
      <c r="R102" s="3">
        <f t="shared" si="3"/>
        <v>0.398942281</v>
      </c>
      <c r="S102" s="3"/>
      <c r="T102" s="3">
        <f t="shared" si="4"/>
        <v>0.5000000002253843</v>
      </c>
      <c r="U102" s="3"/>
    </row>
    <row r="103" spans="2:21" ht="12.75">
      <c r="B103" s="103">
        <v>2.7</v>
      </c>
      <c r="C103" s="168">
        <v>4442</v>
      </c>
      <c r="D103" s="168">
        <v>2880</v>
      </c>
      <c r="E103" s="168">
        <v>1318</v>
      </c>
      <c r="F103" s="169">
        <v>-243</v>
      </c>
      <c r="G103" s="169">
        <v>-1588</v>
      </c>
      <c r="H103" s="171">
        <v>-2933</v>
      </c>
      <c r="I103" s="171">
        <v>-4277</v>
      </c>
      <c r="J103" s="173">
        <v>-852</v>
      </c>
      <c r="K103" s="9">
        <v>42</v>
      </c>
      <c r="P103" s="3">
        <f>MIN(2.5,ABS((G87-P97)/(MIN(1.52,O102)/1.52*IF(N102,N92,P92)+(1.52-MIN(1.52,O102))/3.04*N93+(1.52-MIN(1.52,O102))/3.04*P93)))</f>
        <v>0</v>
      </c>
      <c r="Q103" s="3">
        <f t="shared" si="2"/>
        <v>1</v>
      </c>
      <c r="R103" s="3">
        <f t="shared" si="3"/>
        <v>0.398942281</v>
      </c>
      <c r="S103" s="3"/>
      <c r="T103" s="3">
        <f t="shared" si="4"/>
        <v>0.5000000002253843</v>
      </c>
      <c r="U103" s="3"/>
    </row>
    <row r="104" spans="2:21" ht="12.75">
      <c r="B104" s="131">
        <v>3</v>
      </c>
      <c r="C104" s="167">
        <v>4478</v>
      </c>
      <c r="D104" s="167">
        <v>3401</v>
      </c>
      <c r="E104" s="167">
        <v>2325</v>
      </c>
      <c r="F104" s="167">
        <v>1248</v>
      </c>
      <c r="G104" s="167">
        <v>171</v>
      </c>
      <c r="H104" s="172">
        <v>-906</v>
      </c>
      <c r="I104" s="172">
        <v>-1983</v>
      </c>
      <c r="J104" s="29">
        <v>1248</v>
      </c>
      <c r="K104" s="29">
        <v>72</v>
      </c>
      <c r="N104" s="3" t="b">
        <f>+J87&gt;=N98</f>
        <v>0</v>
      </c>
      <c r="O104" s="3">
        <f>ABS((J87-P97)/IF(N104,N94,P94))</f>
        <v>1.5</v>
      </c>
      <c r="P104" s="3">
        <f>MIN(2.5,ABS((J87-(N98+P98*ABS(J87-N98)/ABS(IF(N104,N94+P98,P94-P98))*MIN(1,O104)))/(MIN(1.52,O104)/1.52*IF(N104,N92,P92)+(1.52-MIN(1.52,O104))/3.04*N93+(1.52-MIN(1.52,O104))/3.04*P93)))</f>
        <v>1.5</v>
      </c>
      <c r="Q104" s="3">
        <f t="shared" si="2"/>
        <v>0.7421354881880418</v>
      </c>
      <c r="R104" s="3">
        <f t="shared" si="3"/>
        <v>0.12951769387066342</v>
      </c>
      <c r="S104" s="3"/>
      <c r="T104" s="3">
        <f t="shared" si="4"/>
        <v>0.0668072793758486</v>
      </c>
      <c r="U104" s="3"/>
    </row>
    <row r="105" spans="2:21" ht="12.75">
      <c r="B105" s="103">
        <v>3.3</v>
      </c>
      <c r="C105" s="168">
        <v>6662</v>
      </c>
      <c r="D105" s="168">
        <v>5557</v>
      </c>
      <c r="E105" s="168">
        <v>4453</v>
      </c>
      <c r="F105" s="168">
        <v>3348</v>
      </c>
      <c r="G105" s="168">
        <v>2243</v>
      </c>
      <c r="H105" s="36">
        <v>1138</v>
      </c>
      <c r="I105" s="36">
        <v>33</v>
      </c>
      <c r="J105" s="9">
        <v>3348</v>
      </c>
      <c r="K105" s="9">
        <v>94</v>
      </c>
      <c r="P105" s="3">
        <f>MIN(2.5,ABS((J87-P97)/(MIN(1.52,O104)/1.52*IF(N104,N92,P92)+(1.52-MIN(1.52,O104))/3.04*N93+(1.52-MIN(1.52,O104))/3.04*P93)))</f>
        <v>1.5</v>
      </c>
      <c r="Q105" s="3">
        <f t="shared" si="2"/>
        <v>0.7421354881880418</v>
      </c>
      <c r="R105" s="3">
        <f t="shared" si="3"/>
        <v>0.12951769387066342</v>
      </c>
      <c r="S105" s="3"/>
      <c r="T105" s="3">
        <f t="shared" si="4"/>
        <v>0.0668072793758486</v>
      </c>
      <c r="U105" s="3"/>
    </row>
    <row r="106" spans="2:21" ht="12.75">
      <c r="B106" s="103">
        <v>3.6</v>
      </c>
      <c r="C106" s="168">
        <v>8873</v>
      </c>
      <c r="D106" s="168">
        <v>7732</v>
      </c>
      <c r="E106" s="168">
        <v>6590</v>
      </c>
      <c r="F106" s="168">
        <v>5448</v>
      </c>
      <c r="G106" s="168">
        <v>4306</v>
      </c>
      <c r="H106" s="36">
        <v>3164</v>
      </c>
      <c r="I106" s="36">
        <v>2022</v>
      </c>
      <c r="J106" s="9">
        <v>5448</v>
      </c>
      <c r="K106" s="9">
        <v>99</v>
      </c>
      <c r="N106" s="3" t="b">
        <f>+E87&gt;=N98</f>
        <v>1</v>
      </c>
      <c r="O106" s="3">
        <f>ABS((E87-P97)/IF(N106,N94,P94))</f>
        <v>1</v>
      </c>
      <c r="P106" s="3">
        <f>MIN(2.5,ABS((E87-(N98+P98*ABS(E87-N98)/ABS(IF(N106,N94+P98,P94-P98))*MIN(1,O106)))/(MIN(1.52,O106)/1.52*IF(N106,N92,P92)+(1.52-MIN(1.52,O106))/3.04*N93+(1.52-MIN(1.52,O106))/3.04*P93)))</f>
        <v>1</v>
      </c>
      <c r="Q106" s="3">
        <f aca="true" t="shared" si="5" ref="Q106:Q111">1/(1+(0.2316419*P106))</f>
        <v>0.8119243101424204</v>
      </c>
      <c r="R106" s="3">
        <f aca="true" t="shared" si="6" ref="R106:R111">0.398942281*((2.71828)^((-(P106^2)/2)))</f>
        <v>0.24197080626333936</v>
      </c>
      <c r="S106" s="3"/>
      <c r="T106" s="3">
        <f aca="true" t="shared" si="7" ref="T106:T111">R106*(0.31938153*Q106-0.356563782*Q106^2+1.781477937*Q106^3-1.821255978*Q106^4+1.330274429*Q106^5)</f>
        <v>0.15865531316113052</v>
      </c>
      <c r="U106" s="3"/>
    </row>
    <row r="107" spans="2:21" ht="12.75">
      <c r="B107" s="27"/>
      <c r="C107" s="27"/>
      <c r="D107" s="27"/>
      <c r="E107" s="27"/>
      <c r="F107" s="27"/>
      <c r="G107" s="27"/>
      <c r="H107" s="27"/>
      <c r="I107" s="27"/>
      <c r="P107" s="3">
        <f>MIN(2.5,ABS((E87-P97)/(MIN(1.52,O106)/1.52*IF(N106,N92,P92)+(1.52-MIN(1.52,O106))/3.04*N93+(1.52-MIN(1.52,O106))/3.04*P93)))</f>
        <v>1</v>
      </c>
      <c r="Q107" s="3">
        <f t="shared" si="5"/>
        <v>0.8119243101424204</v>
      </c>
      <c r="R107" s="3">
        <f t="shared" si="6"/>
        <v>0.24197080626333936</v>
      </c>
      <c r="S107" s="3"/>
      <c r="T107" s="3">
        <f t="shared" si="7"/>
        <v>0.15865531316113052</v>
      </c>
      <c r="U107" s="3"/>
    </row>
    <row r="108" spans="3:21" ht="12.75">
      <c r="C108" s="27"/>
      <c r="D108" s="27"/>
      <c r="E108" s="51"/>
      <c r="F108" s="51"/>
      <c r="G108" s="99"/>
      <c r="H108" s="51"/>
      <c r="I108" s="51"/>
      <c r="N108" s="3" t="b">
        <f>+H87&gt;=N98</f>
        <v>0</v>
      </c>
      <c r="O108" s="3">
        <f>ABS((H87-P97)/IF(N108,N94,P94))</f>
        <v>0.5</v>
      </c>
      <c r="P108" s="3">
        <f>MIN(2.5,ABS((H87-(N98+P98*ABS(H87-N98)/ABS(IF(N108,N94+P98,P94-P98))*MIN(1,O108)))/(MIN(1.52,O108)/1.52*IF(N108,N92,P92)+(1.52-MIN(1.52,O108))/3.04*N93+(1.52-MIN(1.52,O108))/3.04*P93)))</f>
        <v>0.5</v>
      </c>
      <c r="Q108" s="3">
        <f t="shared" si="5"/>
        <v>0.8962011333449152</v>
      </c>
      <c r="R108" s="3">
        <f t="shared" si="6"/>
        <v>0.35206535689474694</v>
      </c>
      <c r="S108" s="3"/>
      <c r="T108" s="3">
        <f t="shared" si="7"/>
        <v>0.30853755861792775</v>
      </c>
      <c r="U108" s="3"/>
    </row>
    <row r="109" spans="2:21" ht="12.75">
      <c r="B109" s="151" t="s">
        <v>332</v>
      </c>
      <c r="C109" s="31"/>
      <c r="D109" s="147"/>
      <c r="E109" s="147"/>
      <c r="F109" s="147"/>
      <c r="G109" s="147"/>
      <c r="H109" s="147"/>
      <c r="I109" s="147"/>
      <c r="J109" s="147"/>
      <c r="P109" s="3">
        <f>MIN(2.5,ABS((H87-P97)/(MIN(1.52,O108)/1.52*IF(N108,N92,P92)+(1.52-MIN(1.52,O108))/3.04*N93+(1.52-MIN(1.52,O108))/3.04*P93)))</f>
        <v>0.5</v>
      </c>
      <c r="Q109" s="3">
        <f t="shared" si="5"/>
        <v>0.8962011333449152</v>
      </c>
      <c r="R109" s="3">
        <f t="shared" si="6"/>
        <v>0.35206535689474694</v>
      </c>
      <c r="S109" s="3"/>
      <c r="T109" s="3">
        <f t="shared" si="7"/>
        <v>0.30853755861792775</v>
      </c>
      <c r="U109" s="3"/>
    </row>
    <row r="110" spans="2:21" ht="12.75">
      <c r="B110" s="147" t="s">
        <v>333</v>
      </c>
      <c r="C110" s="147"/>
      <c r="D110" s="147"/>
      <c r="E110" s="147"/>
      <c r="F110" s="147"/>
      <c r="G110" s="147"/>
      <c r="H110" s="147"/>
      <c r="I110" s="147"/>
      <c r="J110" s="147"/>
      <c r="N110" s="3" t="b">
        <f>0&gt;=N98</f>
        <v>0</v>
      </c>
      <c r="O110" s="3">
        <f>ABS((0-P97)/IF(N110,N94,P94))</f>
        <v>0.5794061123516084</v>
      </c>
      <c r="P110" s="3">
        <f>MIN(2.5,ABS((0-(N98+P98*ABS(0-N98)/ABS(IF(N110,N94+P98,P94-P98))*MIN(1,O110)))/(MIN(1.52,O110)/1.52*IF(N110,N92,P92)+(1.52-MIN(1.52,O110))/3.04*N93+(1.52-MIN(1.52,O110))/3.04*P93)))</f>
        <v>0.5794061123516083</v>
      </c>
      <c r="Q110" s="3">
        <f t="shared" si="5"/>
        <v>0.881667263823232</v>
      </c>
      <c r="R110" s="3">
        <f t="shared" si="6"/>
        <v>0.3372960861971181</v>
      </c>
      <c r="S110" s="3"/>
      <c r="T110" s="3">
        <f t="shared" si="7"/>
        <v>0.2811575773061601</v>
      </c>
      <c r="U110" s="3"/>
    </row>
    <row r="111" spans="2:21" ht="12.75">
      <c r="B111" s="33" t="s">
        <v>334</v>
      </c>
      <c r="C111" s="33"/>
      <c r="D111" s="33"/>
      <c r="E111" s="33"/>
      <c r="F111" s="33"/>
      <c r="G111" s="33"/>
      <c r="H111" s="33"/>
      <c r="I111" s="33"/>
      <c r="J111" s="33"/>
      <c r="P111" s="3">
        <f>MIN(2.5,ABS((0-P97)/(MIN(1.52,O110)/1.52*IF(N110,N92,P92)+(1.52-MIN(1.52,O110))/3.04*N93+(1.52-MIN(1.52,O110))/3.04*P93)))</f>
        <v>0.5794061123516083</v>
      </c>
      <c r="Q111" s="3">
        <f t="shared" si="5"/>
        <v>0.881667263823232</v>
      </c>
      <c r="R111" s="3">
        <f t="shared" si="6"/>
        <v>0.3372960861971181</v>
      </c>
      <c r="S111" s="3"/>
      <c r="T111" s="3">
        <f t="shared" si="7"/>
        <v>0.2811575773061601</v>
      </c>
      <c r="U111" s="3"/>
    </row>
    <row r="112" spans="2:21" ht="12.75">
      <c r="B112" s="33" t="s">
        <v>335</v>
      </c>
      <c r="C112" s="33"/>
      <c r="D112" s="33"/>
      <c r="E112" s="33"/>
      <c r="F112" s="33"/>
      <c r="G112" s="33"/>
      <c r="H112" s="33"/>
      <c r="I112" s="33"/>
      <c r="J112" s="33"/>
      <c r="N112" s="3" t="b">
        <f>+F87&gt;=N98</f>
        <v>1</v>
      </c>
      <c r="O112" s="3">
        <f>ABS((F87-P97)/IF(N112,N94,P94))</f>
        <v>0.5</v>
      </c>
      <c r="P112" s="3">
        <f>MIN(2.5,ABS((F87-(N98+P98*ABS(F87-N98)/ABS(IF(N112,N94+P98,P94-P98))*MIN(1,O112)))/(MIN(1.52,O112)/1.52*IF(N112,N92,P92)+(1.52-MIN(1.52,O112))/3.04*N93+(1.52-MIN(1.52,O112))/3.04*P93)))</f>
        <v>0.5</v>
      </c>
      <c r="Q112" s="3">
        <f>1/(1+(0.2316419*P112))</f>
        <v>0.8962011333449152</v>
      </c>
      <c r="R112" s="3">
        <f>0.398942281*((2.71828)^((-(P112^2)/2)))</f>
        <v>0.35206535689474694</v>
      </c>
      <c r="S112" s="3"/>
      <c r="T112" s="3">
        <f>R112*(0.31938153*Q112-0.356563782*Q112^2+1.781477937*Q112^3-1.821255978*Q112^4+1.330274429*Q112^5)</f>
        <v>0.30853755861792775</v>
      </c>
      <c r="U112" s="3"/>
    </row>
    <row r="113" spans="16:21" ht="12.75">
      <c r="P113" s="3">
        <f>MIN(2.5,ABS((F87-P97)/(MIN(1.52,O112)/1.52*IF(N112,N92,P92)+(1.52-MIN(1.52,O112))/3.04*N93+(1.52-MIN(1.52,O112))/3.04*P93)))</f>
        <v>0.5</v>
      </c>
      <c r="Q113" s="3">
        <f>1/(1+(0.2316419*P113))</f>
        <v>0.8962011333449152</v>
      </c>
      <c r="R113" s="3">
        <f>0.398942281*((2.71828)^((-(P113^2)/2)))</f>
        <v>0.35206535689474694</v>
      </c>
      <c r="S113" s="3"/>
      <c r="T113" s="3">
        <f>R113*(0.31938153*Q113-0.356563782*Q113^2+1.781477937*Q113^3-1.821255978*Q113^4+1.330274429*Q113^5)</f>
        <v>0.30853755861792775</v>
      </c>
      <c r="U113" s="3"/>
    </row>
    <row r="114" spans="2:21" ht="12.75">
      <c r="N114" s="3" t="b">
        <f>+I87&gt;=N98</f>
        <v>0</v>
      </c>
      <c r="O114" s="3">
        <f>ABS((I87-P97)/IF(N114,N94,P94))</f>
        <v>1</v>
      </c>
      <c r="P114" s="3">
        <f>MIN(2.5,ABS((I87-(N98+P98*ABS(I87-N98)/ABS(IF(N114,N94+P98,P94-P98))*MIN(1,O114)))/(MIN(1.52,O114)/1.52*IF(N114,N92,P92)+(1.52-MIN(1.52,O114))/3.04*N93+(1.52-MIN(1.52,O114))/3.04*P93)))</f>
        <v>0.9999999999999998</v>
      </c>
      <c r="Q114" s="3">
        <f>1/(1+(0.2316419*P114))</f>
        <v>0.8119243101424204</v>
      </c>
      <c r="R114" s="3">
        <f>0.398942281*((2.71828)^((-(P114^2)/2)))</f>
        <v>0.24197080626333942</v>
      </c>
      <c r="S114" s="3"/>
      <c r="T114" s="3">
        <f>R114*(0.31938153*Q114-0.356563782*Q114^2+1.781477937*Q114^3-1.821255978*Q114^4+1.330274429*Q114^5)</f>
        <v>0.15865531316113055</v>
      </c>
      <c r="U114" s="3"/>
    </row>
    <row r="115" spans="16:21" ht="12.75">
      <c r="P115" s="3">
        <f>MIN(2.5,ABS((I87-P97)/(MIN(1.52,O114)/1.52*IF(N114,N92,P92)+(1.52-MIN(1.52,O114))/3.04*N93+(1.52-MIN(1.52,O114))/3.04*P93)))</f>
        <v>0.9999999999999998</v>
      </c>
      <c r="Q115" s="3">
        <f>1/(1+(0.2316419*P115))</f>
        <v>0.8119243101424204</v>
      </c>
      <c r="R115" s="3">
        <f>0.398942281*((2.71828)^((-(P115^2)/2)))</f>
        <v>0.24197080626333942</v>
      </c>
      <c r="S115" s="3"/>
      <c r="T115" s="3">
        <f>R115*(0.31938153*Q115-0.356563782*Q115^2+1.781477937*Q115^3-1.821255978*Q115^4+1.330274429*Q115^5)</f>
        <v>0.15865531316113055</v>
      </c>
      <c r="U115" s="3"/>
    </row>
    <row r="116" spans="11:12" ht="12.75">
      <c r="K116" s="59"/>
      <c r="L116" s="59"/>
    </row>
    <row r="117" spans="10:13" ht="12.75">
      <c r="J117" s="27"/>
      <c r="K117" s="27"/>
      <c r="L117" s="27"/>
      <c r="M117" s="27"/>
    </row>
    <row r="118" spans="11:12" ht="12.75">
      <c r="K118" s="3"/>
      <c r="L118" s="3"/>
    </row>
    <row r="119" spans="11:12" ht="12.75">
      <c r="K119" s="3"/>
      <c r="L119" s="3"/>
    </row>
    <row r="127" ht="12.75">
      <c r="B127" s="27"/>
    </row>
    <row r="128" ht="12.75">
      <c r="B128" s="27"/>
    </row>
    <row r="133" ht="12.75">
      <c r="B133" s="27"/>
    </row>
    <row r="134" ht="12.75">
      <c r="B134" s="27"/>
    </row>
    <row r="135" ht="12.75">
      <c r="B135" s="27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spans="2:10" ht="12.75">
      <c r="B140" s="175"/>
      <c r="C140" s="175"/>
      <c r="D140" s="175"/>
      <c r="E140" s="175"/>
      <c r="F140" s="175"/>
      <c r="G140" s="175"/>
      <c r="H140" s="175"/>
      <c r="I140" s="175"/>
      <c r="J140" s="175"/>
    </row>
  </sheetData>
  <sheetProtection/>
  <mergeCells count="10">
    <mergeCell ref="B140:J140"/>
    <mergeCell ref="B74:I74"/>
    <mergeCell ref="M21:V21"/>
    <mergeCell ref="C4:I4"/>
    <mergeCell ref="C5:I5"/>
    <mergeCell ref="C3:I3"/>
    <mergeCell ref="C6:I6"/>
    <mergeCell ref="C8:I8"/>
    <mergeCell ref="C15:I15"/>
    <mergeCell ref="B9:P9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A1:O54"/>
  <sheetViews>
    <sheetView tabSelected="1" zoomScale="130" zoomScaleNormal="130" workbookViewId="0" topLeftCell="A1">
      <selection activeCell="M15" sqref="M15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5.57421875" style="0" customWidth="1"/>
    <col min="4" max="4" width="10.28125" style="0" customWidth="1"/>
    <col min="5" max="5" width="11.421875" style="0" customWidth="1"/>
    <col min="6" max="6" width="9.00390625" style="0" customWidth="1"/>
    <col min="7" max="7" width="9.57421875" style="0" customWidth="1"/>
    <col min="8" max="8" width="11.140625" style="0" customWidth="1"/>
    <col min="9" max="9" width="9.140625" style="0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1:15" ht="21">
      <c r="A2" s="183" t="s">
        <v>393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4" spans="2:8" ht="12.75">
      <c r="B4" s="145" t="s">
        <v>332</v>
      </c>
      <c r="C4" s="146"/>
      <c r="D4" s="146"/>
      <c r="E4" s="146"/>
      <c r="F4" s="146"/>
      <c r="G4" s="146"/>
      <c r="H4" s="146"/>
    </row>
    <row r="5" spans="2:8" ht="12.75">
      <c r="B5" s="146" t="s">
        <v>333</v>
      </c>
      <c r="C5" s="146"/>
      <c r="D5" s="146"/>
      <c r="E5" s="146"/>
      <c r="F5" s="146"/>
      <c r="G5" s="146"/>
      <c r="H5" s="146"/>
    </row>
    <row r="6" spans="2:8" ht="12.75">
      <c r="B6" s="146" t="s">
        <v>334</v>
      </c>
      <c r="C6" s="146"/>
      <c r="D6" s="146"/>
      <c r="E6" s="146"/>
      <c r="F6" s="146"/>
      <c r="G6" s="146"/>
      <c r="H6" s="146"/>
    </row>
    <row r="7" spans="2:8" ht="12.75">
      <c r="B7" s="33" t="s">
        <v>394</v>
      </c>
      <c r="C7" s="33"/>
      <c r="D7" s="33"/>
      <c r="E7" s="33"/>
      <c r="F7" s="33"/>
      <c r="G7" s="33"/>
      <c r="H7" s="33"/>
    </row>
    <row r="10" spans="2:9" ht="15">
      <c r="B10" s="184" t="s">
        <v>236</v>
      </c>
      <c r="C10" s="184"/>
      <c r="D10" s="184"/>
      <c r="E10" s="184"/>
      <c r="F10" s="184"/>
      <c r="G10" s="184"/>
      <c r="H10" s="184"/>
      <c r="I10" s="28"/>
    </row>
    <row r="11" spans="2:9" ht="12.75">
      <c r="B11" s="28"/>
      <c r="C11" s="28"/>
      <c r="D11" s="28"/>
      <c r="E11" s="28"/>
      <c r="F11" s="28"/>
      <c r="G11" s="28"/>
      <c r="H11" s="28"/>
      <c r="I11" s="28"/>
    </row>
    <row r="12" spans="2:9" ht="12.75">
      <c r="B12" s="28"/>
      <c r="C12" s="35" t="s">
        <v>246</v>
      </c>
      <c r="D12" s="28"/>
      <c r="E12" s="28"/>
      <c r="F12" s="28"/>
      <c r="G12" s="28"/>
      <c r="H12" s="28"/>
      <c r="I12" s="28"/>
    </row>
    <row r="13" spans="2:9" ht="12.75">
      <c r="B13" s="28"/>
      <c r="C13" s="28"/>
      <c r="D13" s="28"/>
      <c r="E13" s="28"/>
      <c r="F13" s="28"/>
      <c r="G13" s="28"/>
      <c r="H13" s="28"/>
      <c r="I13" s="28"/>
    </row>
    <row r="14" spans="2:10" ht="12.75">
      <c r="B14" s="29"/>
      <c r="C14" s="29"/>
      <c r="D14" s="29"/>
      <c r="E14" s="29"/>
      <c r="G14" s="29" t="s">
        <v>228</v>
      </c>
      <c r="H14" s="29"/>
      <c r="I14" s="29" t="s">
        <v>228</v>
      </c>
      <c r="J14" s="28"/>
    </row>
    <row r="15" spans="2:10" ht="12.75">
      <c r="B15" s="29" t="s">
        <v>293</v>
      </c>
      <c r="C15" s="29" t="s">
        <v>294</v>
      </c>
      <c r="D15" s="29" t="s">
        <v>216</v>
      </c>
      <c r="E15" s="29" t="s">
        <v>283</v>
      </c>
      <c r="F15" s="35" t="s">
        <v>378</v>
      </c>
      <c r="G15" s="29" t="s">
        <v>283</v>
      </c>
      <c r="H15" s="29" t="s">
        <v>254</v>
      </c>
      <c r="I15" s="29" t="s">
        <v>254</v>
      </c>
      <c r="J15" s="28"/>
    </row>
    <row r="16" spans="2:10" ht="12.75">
      <c r="B16" s="28"/>
      <c r="C16" s="28"/>
      <c r="D16" s="28"/>
      <c r="E16" s="28"/>
      <c r="G16" s="28"/>
      <c r="H16" s="28"/>
      <c r="I16" s="28"/>
      <c r="J16" s="28"/>
    </row>
    <row r="17" spans="2:10" ht="12.75">
      <c r="B17" s="30">
        <v>1</v>
      </c>
      <c r="C17" s="30">
        <v>0</v>
      </c>
      <c r="D17" s="96">
        <f>MEDP</f>
        <v>3</v>
      </c>
      <c r="E17" s="94">
        <f>Yr1!I46</f>
        <v>34331.74825</v>
      </c>
      <c r="F17" s="3">
        <f>C17*D17</f>
        <v>0</v>
      </c>
      <c r="G17" s="94">
        <f>F17-E17</f>
        <v>-34331.74825</v>
      </c>
      <c r="H17" s="94">
        <f>Yr1!I54</f>
        <v>40399.0219875</v>
      </c>
      <c r="I17" s="94">
        <f aca="true" t="shared" si="0" ref="I17:I31">(C17*D17)-H17</f>
        <v>-40399.0219875</v>
      </c>
      <c r="J17" s="28" t="b">
        <f>I17&gt;0</f>
        <v>0</v>
      </c>
    </row>
    <row r="18" spans="2:10" ht="12.75">
      <c r="B18" s="30">
        <v>2</v>
      </c>
      <c r="C18" s="30">
        <f>1700*0.95</f>
        <v>1615</v>
      </c>
      <c r="D18" s="96">
        <v>3</v>
      </c>
      <c r="E18" s="94">
        <f>Yr2!I40</f>
        <v>17982.284</v>
      </c>
      <c r="F18" s="3">
        <f aca="true" t="shared" si="1" ref="F18:F31">C18*D18</f>
        <v>4845</v>
      </c>
      <c r="G18" s="94">
        <f aca="true" t="shared" si="2" ref="G18:G31">F18-E18</f>
        <v>-13137.284</v>
      </c>
      <c r="H18" s="94">
        <f>Yr2!I47</f>
        <v>21067.33735</v>
      </c>
      <c r="I18" s="94">
        <f t="shared" si="0"/>
        <v>-16222.337350000002</v>
      </c>
      <c r="J18" t="b">
        <f>SUM(I17:I18)&gt;0</f>
        <v>0</v>
      </c>
    </row>
    <row r="19" spans="2:10" ht="12.75">
      <c r="B19" s="30">
        <v>3</v>
      </c>
      <c r="C19" s="30">
        <f>4000*0.95</f>
        <v>3800</v>
      </c>
      <c r="D19" s="96">
        <v>2.75</v>
      </c>
      <c r="E19" s="94">
        <f>Yr3!I41</f>
        <v>22980.850000000002</v>
      </c>
      <c r="F19" s="3">
        <f t="shared" si="1"/>
        <v>10450</v>
      </c>
      <c r="G19" s="94">
        <f t="shared" si="2"/>
        <v>-12530.850000000002</v>
      </c>
      <c r="H19" s="94">
        <f>Yr3!I49</f>
        <v>26094.909000000003</v>
      </c>
      <c r="I19" s="94">
        <f t="shared" si="0"/>
        <v>-15644.909000000003</v>
      </c>
      <c r="J19" s="28" t="b">
        <f>SUM(I17:I19)&gt;0</f>
        <v>0</v>
      </c>
    </row>
    <row r="20" spans="2:10" ht="12.75">
      <c r="B20" s="30">
        <v>4</v>
      </c>
      <c r="C20" s="30">
        <f>7000*0.95</f>
        <v>6650</v>
      </c>
      <c r="D20" s="96">
        <v>2.5</v>
      </c>
      <c r="E20" s="94">
        <f>Bud!$I$52</f>
        <v>18494.42656875</v>
      </c>
      <c r="F20" s="3">
        <f t="shared" si="1"/>
        <v>16625</v>
      </c>
      <c r="G20" s="94">
        <f t="shared" si="2"/>
        <v>-1869.426568750001</v>
      </c>
      <c r="H20" s="94">
        <f>UNITCOST</f>
        <v>19752.2020540625</v>
      </c>
      <c r="I20" s="94">
        <f t="shared" si="0"/>
        <v>-3127.2020540625017</v>
      </c>
      <c r="J20" s="28" t="b">
        <f>SUM(I17:I20)&gt;0</f>
        <v>0</v>
      </c>
    </row>
    <row r="21" spans="2:10" ht="12.75">
      <c r="B21" s="30">
        <v>5</v>
      </c>
      <c r="C21" s="30">
        <f aca="true" t="shared" si="3" ref="C21:C31">7000*0.95</f>
        <v>6650</v>
      </c>
      <c r="D21" s="96">
        <v>3</v>
      </c>
      <c r="E21" s="94">
        <f>Bud!$I$52</f>
        <v>18494.42656875</v>
      </c>
      <c r="F21" s="3">
        <f t="shared" si="1"/>
        <v>19950</v>
      </c>
      <c r="G21" s="94">
        <f t="shared" si="2"/>
        <v>1455.573431249999</v>
      </c>
      <c r="H21" s="94">
        <f aca="true" t="shared" si="4" ref="H21:H31">UNITCOST</f>
        <v>19752.2020540625</v>
      </c>
      <c r="I21" s="94">
        <f t="shared" si="0"/>
        <v>197.7979459374983</v>
      </c>
      <c r="J21" s="28" t="b">
        <f>SUM(I17:I21)&gt;0</f>
        <v>0</v>
      </c>
    </row>
    <row r="22" spans="2:10" ht="12.75">
      <c r="B22" s="30">
        <v>6</v>
      </c>
      <c r="C22" s="30">
        <f t="shared" si="3"/>
        <v>6650</v>
      </c>
      <c r="D22" s="96">
        <v>3</v>
      </c>
      <c r="E22" s="94">
        <f>Bud!$I$52</f>
        <v>18494.42656875</v>
      </c>
      <c r="F22" s="3">
        <f t="shared" si="1"/>
        <v>19950</v>
      </c>
      <c r="G22" s="94">
        <f t="shared" si="2"/>
        <v>1455.573431249999</v>
      </c>
      <c r="H22" s="94">
        <f t="shared" si="4"/>
        <v>19752.2020540625</v>
      </c>
      <c r="I22" s="94">
        <f t="shared" si="0"/>
        <v>197.7979459374983</v>
      </c>
      <c r="J22" s="28" t="b">
        <f>SUM(I17:I22)&gt;0</f>
        <v>0</v>
      </c>
    </row>
    <row r="23" spans="2:10" ht="12.75">
      <c r="B23" s="30">
        <v>7</v>
      </c>
      <c r="C23" s="30">
        <f t="shared" si="3"/>
        <v>6650</v>
      </c>
      <c r="D23" s="96">
        <v>3</v>
      </c>
      <c r="E23" s="94">
        <f>Bud!$I$52</f>
        <v>18494.42656875</v>
      </c>
      <c r="F23" s="3">
        <f t="shared" si="1"/>
        <v>19950</v>
      </c>
      <c r="G23" s="94">
        <f t="shared" si="2"/>
        <v>1455.573431249999</v>
      </c>
      <c r="H23" s="94">
        <f t="shared" si="4"/>
        <v>19752.2020540625</v>
      </c>
      <c r="I23" s="94">
        <f t="shared" si="0"/>
        <v>197.7979459374983</v>
      </c>
      <c r="J23" s="28" t="b">
        <f>SUM(I17:I23)&gt;0</f>
        <v>0</v>
      </c>
    </row>
    <row r="24" spans="2:10" ht="12.75">
      <c r="B24" s="30">
        <v>8</v>
      </c>
      <c r="C24" s="30">
        <f t="shared" si="3"/>
        <v>6650</v>
      </c>
      <c r="D24" s="96">
        <v>3</v>
      </c>
      <c r="E24" s="94">
        <f>Bud!$I$52</f>
        <v>18494.42656875</v>
      </c>
      <c r="F24" s="3">
        <f t="shared" si="1"/>
        <v>19950</v>
      </c>
      <c r="G24" s="94">
        <f t="shared" si="2"/>
        <v>1455.573431249999</v>
      </c>
      <c r="H24" s="94">
        <f t="shared" si="4"/>
        <v>19752.2020540625</v>
      </c>
      <c r="I24" s="94">
        <f t="shared" si="0"/>
        <v>197.7979459374983</v>
      </c>
      <c r="J24" t="b">
        <f>SUM(I17:I24)&gt;0</f>
        <v>0</v>
      </c>
    </row>
    <row r="25" spans="2:10" ht="12.75">
      <c r="B25" s="30">
        <v>9</v>
      </c>
      <c r="C25" s="30">
        <f t="shared" si="3"/>
        <v>6650</v>
      </c>
      <c r="D25" s="96">
        <v>3</v>
      </c>
      <c r="E25" s="94">
        <f>Bud!$I$52</f>
        <v>18494.42656875</v>
      </c>
      <c r="F25" s="3">
        <f t="shared" si="1"/>
        <v>19950</v>
      </c>
      <c r="G25" s="94">
        <f t="shared" si="2"/>
        <v>1455.573431249999</v>
      </c>
      <c r="H25" s="94">
        <f t="shared" si="4"/>
        <v>19752.2020540625</v>
      </c>
      <c r="I25" s="94">
        <f t="shared" si="0"/>
        <v>197.7979459374983</v>
      </c>
      <c r="J25" t="b">
        <f>SUM(I17:I25)&gt;0</f>
        <v>0</v>
      </c>
    </row>
    <row r="26" spans="2:10" ht="12.75">
      <c r="B26" s="30">
        <v>10</v>
      </c>
      <c r="C26" s="30">
        <f t="shared" si="3"/>
        <v>6650</v>
      </c>
      <c r="D26" s="96">
        <v>3</v>
      </c>
      <c r="E26" s="94">
        <f>Bud!$I$52</f>
        <v>18494.42656875</v>
      </c>
      <c r="F26" s="3">
        <f t="shared" si="1"/>
        <v>19950</v>
      </c>
      <c r="G26" s="94">
        <f t="shared" si="2"/>
        <v>1455.573431249999</v>
      </c>
      <c r="H26" s="94">
        <f t="shared" si="4"/>
        <v>19752.2020540625</v>
      </c>
      <c r="I26" s="94">
        <f t="shared" si="0"/>
        <v>197.7979459374983</v>
      </c>
      <c r="J26" t="b">
        <f>SUM(I17:I26)&gt;0</f>
        <v>0</v>
      </c>
    </row>
    <row r="27" spans="2:10" ht="12.75">
      <c r="B27" s="30">
        <v>11</v>
      </c>
      <c r="C27" s="30">
        <f t="shared" si="3"/>
        <v>6650</v>
      </c>
      <c r="D27" s="96">
        <v>3</v>
      </c>
      <c r="E27" s="94">
        <f>Bud!$I$52</f>
        <v>18494.42656875</v>
      </c>
      <c r="F27" s="3">
        <f t="shared" si="1"/>
        <v>19950</v>
      </c>
      <c r="G27" s="94">
        <f t="shared" si="2"/>
        <v>1455.573431249999</v>
      </c>
      <c r="H27" s="94">
        <f t="shared" si="4"/>
        <v>19752.2020540625</v>
      </c>
      <c r="I27" s="94">
        <f t="shared" si="0"/>
        <v>197.7979459374983</v>
      </c>
      <c r="J27" t="b">
        <f>SUM(I17:I27)&gt;0</f>
        <v>0</v>
      </c>
    </row>
    <row r="28" spans="2:10" ht="12.75">
      <c r="B28" s="30">
        <v>12</v>
      </c>
      <c r="C28" s="30">
        <f t="shared" si="3"/>
        <v>6650</v>
      </c>
      <c r="D28" s="96">
        <v>3</v>
      </c>
      <c r="E28" s="94">
        <f>Bud!$I$52</f>
        <v>18494.42656875</v>
      </c>
      <c r="F28" s="3">
        <f t="shared" si="1"/>
        <v>19950</v>
      </c>
      <c r="G28" s="94">
        <f t="shared" si="2"/>
        <v>1455.573431249999</v>
      </c>
      <c r="H28" s="94">
        <f t="shared" si="4"/>
        <v>19752.2020540625</v>
      </c>
      <c r="I28" s="94">
        <f t="shared" si="0"/>
        <v>197.7979459374983</v>
      </c>
      <c r="J28" t="b">
        <f>SUM(I17:I28)&gt;0</f>
        <v>0</v>
      </c>
    </row>
    <row r="29" spans="2:10" ht="12.75">
      <c r="B29" s="30">
        <v>13</v>
      </c>
      <c r="C29" s="30">
        <f t="shared" si="3"/>
        <v>6650</v>
      </c>
      <c r="D29" s="96">
        <v>3</v>
      </c>
      <c r="E29" s="94">
        <f>Bud!$I$52</f>
        <v>18494.42656875</v>
      </c>
      <c r="F29" s="3">
        <f t="shared" si="1"/>
        <v>19950</v>
      </c>
      <c r="G29" s="94">
        <f t="shared" si="2"/>
        <v>1455.573431249999</v>
      </c>
      <c r="H29" s="94">
        <f t="shared" si="4"/>
        <v>19752.2020540625</v>
      </c>
      <c r="I29" s="94">
        <f t="shared" si="0"/>
        <v>197.7979459374983</v>
      </c>
      <c r="J29" t="b">
        <f>SUM(I17:I29)&gt;0</f>
        <v>0</v>
      </c>
    </row>
    <row r="30" spans="2:10" ht="12.75">
      <c r="B30" s="30">
        <v>14</v>
      </c>
      <c r="C30" s="30">
        <f t="shared" si="3"/>
        <v>6650</v>
      </c>
      <c r="D30" s="96">
        <v>3</v>
      </c>
      <c r="E30" s="94">
        <f>Bud!$I$52</f>
        <v>18494.42656875</v>
      </c>
      <c r="F30" s="3">
        <f t="shared" si="1"/>
        <v>19950</v>
      </c>
      <c r="G30" s="94">
        <f t="shared" si="2"/>
        <v>1455.573431249999</v>
      </c>
      <c r="H30" s="94">
        <f t="shared" si="4"/>
        <v>19752.2020540625</v>
      </c>
      <c r="I30" s="94">
        <f t="shared" si="0"/>
        <v>197.7979459374983</v>
      </c>
      <c r="J30" t="b">
        <f>SUM(I17:I30)&gt;0</f>
        <v>0</v>
      </c>
    </row>
    <row r="31" spans="2:10" ht="12.75">
      <c r="B31" s="30">
        <v>15</v>
      </c>
      <c r="C31" s="30">
        <f t="shared" si="3"/>
        <v>6650</v>
      </c>
      <c r="D31" s="96">
        <v>3</v>
      </c>
      <c r="E31" s="94">
        <f>Bud!$I$52</f>
        <v>18494.42656875</v>
      </c>
      <c r="F31" s="3">
        <f t="shared" si="1"/>
        <v>19950</v>
      </c>
      <c r="G31" s="94">
        <f t="shared" si="2"/>
        <v>1455.573431249999</v>
      </c>
      <c r="H31" s="94">
        <f t="shared" si="4"/>
        <v>19752.2020540625</v>
      </c>
      <c r="I31" s="94">
        <f t="shared" si="0"/>
        <v>197.7979459374983</v>
      </c>
      <c r="J31" t="b">
        <f>SUM(I17:I31)&gt;0</f>
        <v>0</v>
      </c>
    </row>
    <row r="32" spans="2:9" ht="12.75">
      <c r="B32" s="30"/>
      <c r="C32" s="30"/>
      <c r="D32" s="30"/>
      <c r="E32" s="30"/>
      <c r="F32" s="30"/>
      <c r="G32" s="30"/>
      <c r="H32" s="30"/>
      <c r="I32" s="28"/>
    </row>
    <row r="33" spans="2:9" ht="12.75">
      <c r="B33" s="42" t="s">
        <v>154</v>
      </c>
      <c r="C33" s="35"/>
      <c r="D33" s="30"/>
      <c r="E33" s="30"/>
      <c r="F33" s="30"/>
      <c r="G33" s="30"/>
      <c r="H33" s="30"/>
      <c r="I33" s="28"/>
    </row>
    <row r="34" spans="2:9" ht="12.75">
      <c r="B34" s="30"/>
      <c r="D34" s="28"/>
      <c r="E34" s="30"/>
      <c r="F34" s="30"/>
      <c r="G34" s="30"/>
      <c r="H34" s="30"/>
      <c r="I34" s="28"/>
    </row>
    <row r="35" ht="12.75">
      <c r="B35" t="s">
        <v>380</v>
      </c>
    </row>
    <row r="36" ht="12.75">
      <c r="B36" t="s">
        <v>390</v>
      </c>
    </row>
    <row r="37" spans="2:7" ht="12.75">
      <c r="B37">
        <v>0</v>
      </c>
      <c r="D37" s="3">
        <f>I17</f>
        <v>-40399.0219875</v>
      </c>
      <c r="E37" s="3"/>
      <c r="F37" s="88" t="s">
        <v>381</v>
      </c>
      <c r="G37" s="92">
        <v>0.05</v>
      </c>
    </row>
    <row r="38" spans="2:7" ht="12.75">
      <c r="B38">
        <v>1</v>
      </c>
      <c r="D38" s="3">
        <f aca="true" t="shared" si="5" ref="D38:D51">I18</f>
        <v>-16222.337350000002</v>
      </c>
      <c r="E38" s="3"/>
      <c r="F38" s="17" t="s">
        <v>381</v>
      </c>
      <c r="G38" s="123">
        <v>0.02</v>
      </c>
    </row>
    <row r="39" spans="2:10" ht="12.75">
      <c r="B39">
        <v>2</v>
      </c>
      <c r="C39" s="60"/>
      <c r="D39" s="3">
        <f t="shared" si="5"/>
        <v>-15644.909000000003</v>
      </c>
      <c r="E39" s="3"/>
      <c r="F39" s="60"/>
      <c r="G39" s="60"/>
      <c r="H39" s="60"/>
      <c r="I39" s="60"/>
      <c r="J39" s="61"/>
    </row>
    <row r="40" spans="2:10" ht="12.75">
      <c r="B40">
        <v>3</v>
      </c>
      <c r="C40" s="97"/>
      <c r="D40" s="3">
        <f t="shared" si="5"/>
        <v>-3127.2020540625017</v>
      </c>
      <c r="E40" s="3"/>
      <c r="F40" s="97"/>
      <c r="G40" s="97"/>
      <c r="H40" s="97"/>
      <c r="I40" s="97"/>
      <c r="J40" s="97"/>
    </row>
    <row r="41" spans="2:10" ht="12.75">
      <c r="B41">
        <v>4</v>
      </c>
      <c r="C41" s="97"/>
      <c r="D41" s="3">
        <f t="shared" si="5"/>
        <v>197.7979459374983</v>
      </c>
      <c r="E41" s="3"/>
      <c r="F41" s="97"/>
      <c r="G41" s="97"/>
      <c r="H41" s="97"/>
      <c r="I41" s="97"/>
      <c r="J41" s="97"/>
    </row>
    <row r="42" spans="2:5" ht="12.75">
      <c r="B42">
        <v>5</v>
      </c>
      <c r="D42" s="3">
        <f t="shared" si="5"/>
        <v>197.7979459374983</v>
      </c>
      <c r="E42" s="3"/>
    </row>
    <row r="43" spans="2:5" ht="12.75">
      <c r="B43">
        <v>6</v>
      </c>
      <c r="D43" s="3">
        <f t="shared" si="5"/>
        <v>197.7979459374983</v>
      </c>
      <c r="E43" s="3"/>
    </row>
    <row r="44" spans="2:5" ht="12.75">
      <c r="B44">
        <v>7</v>
      </c>
      <c r="D44" s="3">
        <f t="shared" si="5"/>
        <v>197.7979459374983</v>
      </c>
      <c r="E44" s="3"/>
    </row>
    <row r="45" spans="2:5" ht="12.75">
      <c r="B45">
        <v>8</v>
      </c>
      <c r="D45" s="3">
        <f t="shared" si="5"/>
        <v>197.7979459374983</v>
      </c>
      <c r="E45" s="3"/>
    </row>
    <row r="46" spans="2:5" ht="12.75">
      <c r="B46">
        <v>9</v>
      </c>
      <c r="D46" s="3">
        <f t="shared" si="5"/>
        <v>197.7979459374983</v>
      </c>
      <c r="E46" s="3"/>
    </row>
    <row r="47" spans="2:5" ht="12.75">
      <c r="B47">
        <v>10</v>
      </c>
      <c r="D47" s="3">
        <f t="shared" si="5"/>
        <v>197.7979459374983</v>
      </c>
      <c r="E47" s="3"/>
    </row>
    <row r="48" spans="2:5" ht="12.75">
      <c r="B48">
        <v>11</v>
      </c>
      <c r="D48" s="3">
        <f t="shared" si="5"/>
        <v>197.7979459374983</v>
      </c>
      <c r="E48" s="3"/>
    </row>
    <row r="49" spans="2:5" ht="12.75">
      <c r="B49">
        <v>12</v>
      </c>
      <c r="D49" s="3">
        <f t="shared" si="5"/>
        <v>197.7979459374983</v>
      </c>
      <c r="E49" s="3"/>
    </row>
    <row r="50" spans="2:5" ht="12.75">
      <c r="B50">
        <v>13</v>
      </c>
      <c r="D50" s="3">
        <f t="shared" si="5"/>
        <v>197.7979459374983</v>
      </c>
      <c r="E50" s="3"/>
    </row>
    <row r="51" spans="2:5" ht="12.75">
      <c r="B51">
        <v>14</v>
      </c>
      <c r="D51" s="3">
        <f t="shared" si="5"/>
        <v>197.7979459374983</v>
      </c>
      <c r="E51" s="3"/>
    </row>
    <row r="53" spans="4:5" ht="12.75">
      <c r="D53" s="35" t="s">
        <v>388</v>
      </c>
      <c r="E53" s="120">
        <f>NPV(G37,D38:D51)+D37</f>
        <v>-71321.37746700108</v>
      </c>
    </row>
    <row r="54" spans="4:5" ht="12.75">
      <c r="D54" t="s">
        <v>389</v>
      </c>
      <c r="E54" s="124">
        <f>NPV(G38,D38:D51)+D37</f>
        <v>-72463.33979553831</v>
      </c>
    </row>
  </sheetData>
  <sheetProtection/>
  <mergeCells count="3">
    <mergeCell ref="B10:H10"/>
    <mergeCell ref="B1:H1"/>
    <mergeCell ref="A2:O2"/>
  </mergeCells>
  <printOptions/>
  <pageMargins left="0.75" right="0.75" top="1" bottom="1" header="0.5" footer="0.5"/>
  <pageSetup horizontalDpi="600" verticalDpi="600" orientation="portrait" r:id="rId2"/>
  <ignoredErrors>
    <ignoredError sqref="H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67"/>
  <sheetViews>
    <sheetView workbookViewId="0" topLeftCell="A35">
      <selection activeCell="N6" sqref="N6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1:15" ht="21">
      <c r="A2" s="183" t="s">
        <v>393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4" spans="2:10" ht="21">
      <c r="B4" s="145" t="s">
        <v>332</v>
      </c>
      <c r="C4" s="146"/>
      <c r="D4" s="146"/>
      <c r="E4" s="146"/>
      <c r="F4" s="146"/>
      <c r="G4" s="146"/>
      <c r="H4" s="146"/>
      <c r="I4" s="144"/>
      <c r="J4" s="27"/>
    </row>
    <row r="5" spans="2:10" ht="21">
      <c r="B5" s="146" t="s">
        <v>333</v>
      </c>
      <c r="C5" s="146"/>
      <c r="D5" s="146"/>
      <c r="E5" s="146"/>
      <c r="F5" s="146"/>
      <c r="G5" s="146"/>
      <c r="H5" s="146"/>
      <c r="I5" s="144"/>
      <c r="J5" s="27"/>
    </row>
    <row r="6" spans="2:10" ht="21">
      <c r="B6" s="146" t="s">
        <v>334</v>
      </c>
      <c r="C6" s="146"/>
      <c r="D6" s="146"/>
      <c r="E6" s="146"/>
      <c r="F6" s="146"/>
      <c r="G6" s="146"/>
      <c r="H6" s="146"/>
      <c r="I6" s="144"/>
      <c r="J6" s="27"/>
    </row>
    <row r="7" spans="2:10" ht="21">
      <c r="B7" s="33" t="s">
        <v>394</v>
      </c>
      <c r="C7" s="33"/>
      <c r="D7" s="33"/>
      <c r="E7" s="33"/>
      <c r="F7" s="33"/>
      <c r="G7" s="33"/>
      <c r="H7" s="33"/>
      <c r="I7" s="144"/>
      <c r="J7" s="27"/>
    </row>
    <row r="11" spans="2:21" ht="15">
      <c r="B11" s="184" t="s">
        <v>305</v>
      </c>
      <c r="C11" s="184"/>
      <c r="D11" s="184"/>
      <c r="E11" s="184"/>
      <c r="F11" s="184"/>
      <c r="G11" s="184"/>
      <c r="H11" s="184"/>
      <c r="I11" s="184"/>
      <c r="J11" s="18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</row>
    <row r="12" spans="2:21" ht="15">
      <c r="B12" s="184" t="s">
        <v>386</v>
      </c>
      <c r="C12" s="184"/>
      <c r="D12" s="184"/>
      <c r="E12" s="184"/>
      <c r="F12" s="184"/>
      <c r="G12" s="184"/>
      <c r="H12" s="184"/>
      <c r="I12" s="184"/>
      <c r="J12" s="184"/>
      <c r="K12" s="155"/>
      <c r="L12" s="184" t="s">
        <v>344</v>
      </c>
      <c r="M12" s="184"/>
      <c r="N12" s="184"/>
      <c r="O12" s="184"/>
      <c r="P12" s="184"/>
      <c r="Q12" s="184"/>
      <c r="R12" s="184"/>
      <c r="S12" s="184"/>
      <c r="T12" s="184"/>
      <c r="U12" s="184"/>
    </row>
    <row r="13" ht="15">
      <c r="A13" s="72"/>
    </row>
    <row r="15" spans="2:22" ht="12.75">
      <c r="B15" s="35" t="s">
        <v>169</v>
      </c>
      <c r="C15" s="6"/>
      <c r="D15" s="6"/>
      <c r="E15" s="35" t="s">
        <v>91</v>
      </c>
      <c r="F15" s="35" t="s">
        <v>279</v>
      </c>
      <c r="G15" s="35" t="s">
        <v>306</v>
      </c>
      <c r="H15" s="38" t="s">
        <v>216</v>
      </c>
      <c r="I15" s="39" t="s">
        <v>307</v>
      </c>
      <c r="L15" s="35" t="s">
        <v>169</v>
      </c>
      <c r="M15" s="6"/>
      <c r="N15" s="6"/>
      <c r="O15" s="35" t="s">
        <v>91</v>
      </c>
      <c r="P15" s="35" t="s">
        <v>279</v>
      </c>
      <c r="Q15" s="35" t="s">
        <v>306</v>
      </c>
      <c r="R15" s="35"/>
      <c r="S15" s="38" t="s">
        <v>216</v>
      </c>
      <c r="T15" s="38"/>
      <c r="U15" s="39" t="s">
        <v>307</v>
      </c>
      <c r="V15" s="35"/>
    </row>
    <row r="17" spans="2:13" ht="12.75">
      <c r="B17" s="6" t="s">
        <v>172</v>
      </c>
      <c r="C17" s="6"/>
      <c r="L17" s="6" t="s">
        <v>172</v>
      </c>
      <c r="M17" s="6"/>
    </row>
    <row r="18" spans="2:21" ht="12.75">
      <c r="B18" t="s">
        <v>215</v>
      </c>
      <c r="E18" s="26"/>
      <c r="F18" s="26" t="s">
        <v>142</v>
      </c>
      <c r="G18" s="78">
        <v>2.5</v>
      </c>
      <c r="H18" s="154">
        <f>Bud!H30</f>
        <v>38.3</v>
      </c>
      <c r="I18" s="78">
        <f aca="true" t="shared" si="0" ref="I18:I27">G18*H18</f>
        <v>95.75</v>
      </c>
      <c r="L18" t="s">
        <v>215</v>
      </c>
      <c r="P18" s="18" t="s">
        <v>142</v>
      </c>
      <c r="Q18" s="75"/>
      <c r="S18" s="75"/>
      <c r="U18" s="75">
        <f aca="true" t="shared" si="1" ref="U18:U27">Q18*S18</f>
        <v>0</v>
      </c>
    </row>
    <row r="19" spans="2:21" ht="12.75">
      <c r="B19" t="s">
        <v>241</v>
      </c>
      <c r="E19" s="26"/>
      <c r="F19" s="26" t="s">
        <v>81</v>
      </c>
      <c r="G19" s="78">
        <v>1</v>
      </c>
      <c r="H19" s="154">
        <v>750</v>
      </c>
      <c r="I19" s="78">
        <f t="shared" si="0"/>
        <v>750</v>
      </c>
      <c r="L19" t="s">
        <v>241</v>
      </c>
      <c r="P19" s="18" t="s">
        <v>81</v>
      </c>
      <c r="Q19" s="75"/>
      <c r="S19" s="75"/>
      <c r="U19" s="75">
        <f t="shared" si="1"/>
        <v>0</v>
      </c>
    </row>
    <row r="20" spans="2:21" ht="12.75">
      <c r="B20" t="s">
        <v>104</v>
      </c>
      <c r="E20" s="26"/>
      <c r="F20" s="26" t="s">
        <v>81</v>
      </c>
      <c r="G20" s="78">
        <v>3</v>
      </c>
      <c r="H20" s="154">
        <f>57.7</f>
        <v>57.7</v>
      </c>
      <c r="I20" s="78">
        <f t="shared" si="0"/>
        <v>173.10000000000002</v>
      </c>
      <c r="K20" s="28"/>
      <c r="L20" t="s">
        <v>104</v>
      </c>
      <c r="P20" s="18" t="s">
        <v>81</v>
      </c>
      <c r="Q20" s="75"/>
      <c r="S20" s="75"/>
      <c r="U20" s="75">
        <f t="shared" si="1"/>
        <v>0</v>
      </c>
    </row>
    <row r="21" spans="2:21" ht="12.75">
      <c r="B21" t="s">
        <v>319</v>
      </c>
      <c r="E21" s="26"/>
      <c r="F21" s="26" t="s">
        <v>153</v>
      </c>
      <c r="G21" s="78">
        <v>150</v>
      </c>
      <c r="H21" s="154">
        <v>0.8</v>
      </c>
      <c r="I21" s="78">
        <f t="shared" si="0"/>
        <v>120</v>
      </c>
      <c r="L21" t="s">
        <v>319</v>
      </c>
      <c r="P21" s="18" t="s">
        <v>153</v>
      </c>
      <c r="Q21" s="75"/>
      <c r="S21" s="75"/>
      <c r="U21" s="75">
        <f t="shared" si="1"/>
        <v>0</v>
      </c>
    </row>
    <row r="22" spans="2:21" ht="12.75">
      <c r="B22" t="s">
        <v>106</v>
      </c>
      <c r="E22" s="26"/>
      <c r="F22" s="26" t="s">
        <v>173</v>
      </c>
      <c r="G22" s="78">
        <v>4</v>
      </c>
      <c r="H22" s="154">
        <v>2.5</v>
      </c>
      <c r="I22" s="78">
        <f t="shared" si="0"/>
        <v>10</v>
      </c>
      <c r="L22" t="s">
        <v>106</v>
      </c>
      <c r="P22" s="18" t="s">
        <v>173</v>
      </c>
      <c r="Q22" s="75"/>
      <c r="S22" s="75"/>
      <c r="U22" s="75">
        <f t="shared" si="1"/>
        <v>0</v>
      </c>
    </row>
    <row r="23" spans="2:21" ht="12.75">
      <c r="B23" t="s">
        <v>146</v>
      </c>
      <c r="E23" s="26"/>
      <c r="F23" s="26" t="s">
        <v>81</v>
      </c>
      <c r="G23" s="78">
        <v>3</v>
      </c>
      <c r="H23" s="154">
        <v>57.7</v>
      </c>
      <c r="I23" s="78">
        <f t="shared" si="0"/>
        <v>173.10000000000002</v>
      </c>
      <c r="L23" t="s">
        <v>146</v>
      </c>
      <c r="P23" s="18" t="s">
        <v>81</v>
      </c>
      <c r="Q23" s="75"/>
      <c r="S23" s="75"/>
      <c r="U23" s="75">
        <f t="shared" si="1"/>
        <v>0</v>
      </c>
    </row>
    <row r="24" spans="2:21" ht="12.75">
      <c r="B24" t="s">
        <v>95</v>
      </c>
      <c r="E24" s="26"/>
      <c r="F24" s="26" t="s">
        <v>81</v>
      </c>
      <c r="G24" s="78">
        <v>1</v>
      </c>
      <c r="H24" s="154">
        <v>173.09</v>
      </c>
      <c r="I24" s="78">
        <f t="shared" si="0"/>
        <v>173.09</v>
      </c>
      <c r="L24" t="s">
        <v>95</v>
      </c>
      <c r="P24" s="18" t="s">
        <v>81</v>
      </c>
      <c r="Q24" s="75"/>
      <c r="S24" s="75"/>
      <c r="U24" s="75">
        <f t="shared" si="1"/>
        <v>0</v>
      </c>
    </row>
    <row r="25" spans="2:21" ht="12.75">
      <c r="B25" t="s">
        <v>98</v>
      </c>
      <c r="E25" s="26"/>
      <c r="F25" s="26" t="s">
        <v>81</v>
      </c>
      <c r="G25" s="78">
        <v>1</v>
      </c>
      <c r="H25" s="154">
        <v>86.55</v>
      </c>
      <c r="I25" s="78">
        <f t="shared" si="0"/>
        <v>86.55</v>
      </c>
      <c r="L25" t="s">
        <v>98</v>
      </c>
      <c r="P25" s="18" t="s">
        <v>81</v>
      </c>
      <c r="Q25" s="75"/>
      <c r="S25" s="75"/>
      <c r="U25" s="75">
        <f t="shared" si="1"/>
        <v>0</v>
      </c>
    </row>
    <row r="26" spans="2:21" ht="12.75">
      <c r="B26" t="s">
        <v>114</v>
      </c>
      <c r="E26" s="26"/>
      <c r="F26" s="26" t="s">
        <v>81</v>
      </c>
      <c r="G26" s="78">
        <v>1</v>
      </c>
      <c r="H26" s="154">
        <v>150.01</v>
      </c>
      <c r="I26" s="78">
        <f t="shared" si="0"/>
        <v>150.01</v>
      </c>
      <c r="L26" t="s">
        <v>114</v>
      </c>
      <c r="P26" s="18" t="s">
        <v>81</v>
      </c>
      <c r="Q26" s="75"/>
      <c r="S26" s="75"/>
      <c r="U26" s="75">
        <f t="shared" si="1"/>
        <v>0</v>
      </c>
    </row>
    <row r="27" spans="2:21" ht="12.75">
      <c r="B27" t="s">
        <v>182</v>
      </c>
      <c r="E27" s="26"/>
      <c r="F27" s="26" t="s">
        <v>248</v>
      </c>
      <c r="G27" s="78">
        <v>20</v>
      </c>
      <c r="H27" s="154">
        <v>47.08</v>
      </c>
      <c r="I27" s="78">
        <f t="shared" si="0"/>
        <v>941.5999999999999</v>
      </c>
      <c r="L27" t="s">
        <v>182</v>
      </c>
      <c r="P27" s="18" t="s">
        <v>248</v>
      </c>
      <c r="Q27" s="75"/>
      <c r="S27" s="75"/>
      <c r="U27" s="75">
        <f t="shared" si="1"/>
        <v>0</v>
      </c>
    </row>
    <row r="28" spans="2:16" ht="12.75">
      <c r="B28" s="6" t="s">
        <v>202</v>
      </c>
      <c r="E28" s="26"/>
      <c r="F28" s="26"/>
      <c r="G28" s="78"/>
      <c r="H28" s="152"/>
      <c r="I28" s="78"/>
      <c r="L28" s="6" t="s">
        <v>202</v>
      </c>
      <c r="P28" s="18"/>
    </row>
    <row r="29" spans="2:21" ht="12.75">
      <c r="B29" t="s">
        <v>299</v>
      </c>
      <c r="E29" s="26"/>
      <c r="F29" s="26" t="s">
        <v>81</v>
      </c>
      <c r="G29" s="78">
        <v>1210</v>
      </c>
      <c r="H29" s="154">
        <v>9.95</v>
      </c>
      <c r="I29" s="78">
        <f>G29*H29</f>
        <v>12039.5</v>
      </c>
      <c r="L29" t="s">
        <v>299</v>
      </c>
      <c r="P29" s="18" t="s">
        <v>81</v>
      </c>
      <c r="Q29" s="75"/>
      <c r="S29" s="75"/>
      <c r="U29" s="75">
        <f>Q29*S29</f>
        <v>0</v>
      </c>
    </row>
    <row r="30" spans="2:21" ht="12.75">
      <c r="B30" t="s">
        <v>203</v>
      </c>
      <c r="E30" s="26"/>
      <c r="F30" s="26" t="s">
        <v>81</v>
      </c>
      <c r="G30" s="78">
        <f>G29</f>
        <v>1210</v>
      </c>
      <c r="H30" s="154">
        <v>13.67</v>
      </c>
      <c r="I30" s="78">
        <f>G30*H30</f>
        <v>16540.7</v>
      </c>
      <c r="L30" t="s">
        <v>203</v>
      </c>
      <c r="P30" s="18" t="s">
        <v>81</v>
      </c>
      <c r="Q30" s="75"/>
      <c r="S30" s="75"/>
      <c r="U30" s="75">
        <f>Q30*S30</f>
        <v>0</v>
      </c>
    </row>
    <row r="31" spans="2:16" ht="12.75">
      <c r="B31" s="6" t="s">
        <v>129</v>
      </c>
      <c r="E31" s="26"/>
      <c r="F31" s="26"/>
      <c r="G31" s="78"/>
      <c r="H31" s="152"/>
      <c r="I31" s="78"/>
      <c r="L31" s="6" t="s">
        <v>129</v>
      </c>
      <c r="P31" s="18"/>
    </row>
    <row r="32" spans="2:21" ht="12.75">
      <c r="B32" t="s">
        <v>126</v>
      </c>
      <c r="E32" s="26"/>
      <c r="F32" s="26" t="s">
        <v>142</v>
      </c>
      <c r="G32" s="78">
        <v>64</v>
      </c>
      <c r="H32" s="154">
        <v>0.84</v>
      </c>
      <c r="I32" s="78">
        <f>G32*H32</f>
        <v>53.76</v>
      </c>
      <c r="L32" t="s">
        <v>126</v>
      </c>
      <c r="P32" s="18" t="s">
        <v>142</v>
      </c>
      <c r="Q32" s="75"/>
      <c r="S32" s="75"/>
      <c r="U32" s="75">
        <f>Q32*S32</f>
        <v>0</v>
      </c>
    </row>
    <row r="33" spans="2:16" ht="12.75">
      <c r="B33" s="6" t="s">
        <v>288</v>
      </c>
      <c r="E33" s="26"/>
      <c r="F33" s="26"/>
      <c r="G33" s="78"/>
      <c r="H33" s="152"/>
      <c r="I33" s="78"/>
      <c r="L33" s="6" t="s">
        <v>288</v>
      </c>
      <c r="P33" s="18"/>
    </row>
    <row r="34" spans="2:21" ht="12.75">
      <c r="B34" t="s">
        <v>208</v>
      </c>
      <c r="E34" s="26" t="s">
        <v>75</v>
      </c>
      <c r="F34" s="26" t="s">
        <v>81</v>
      </c>
      <c r="G34" s="78">
        <v>2</v>
      </c>
      <c r="H34" s="154">
        <f>Bud!H30</f>
        <v>38.3</v>
      </c>
      <c r="I34" s="78">
        <f>G34*H34</f>
        <v>76.6</v>
      </c>
      <c r="L34" t="s">
        <v>208</v>
      </c>
      <c r="O34" t="s">
        <v>75</v>
      </c>
      <c r="P34" s="18" t="s">
        <v>81</v>
      </c>
      <c r="Q34" s="75"/>
      <c r="S34" s="75"/>
      <c r="U34" s="75">
        <f>Q34*S34</f>
        <v>0</v>
      </c>
    </row>
    <row r="35" spans="2:21" ht="12.75">
      <c r="B35" t="s">
        <v>206</v>
      </c>
      <c r="E35" s="26" t="s">
        <v>75</v>
      </c>
      <c r="F35" s="26" t="s">
        <v>81</v>
      </c>
      <c r="G35" s="78">
        <v>2</v>
      </c>
      <c r="H35" s="154">
        <f>Bud!H31</f>
        <v>38.3</v>
      </c>
      <c r="I35" s="78">
        <f>G35*H35</f>
        <v>76.6</v>
      </c>
      <c r="L35" t="s">
        <v>206</v>
      </c>
      <c r="O35" t="s">
        <v>75</v>
      </c>
      <c r="P35" s="18" t="s">
        <v>81</v>
      </c>
      <c r="Q35" s="75"/>
      <c r="S35" s="75"/>
      <c r="U35" s="75">
        <f>Q35*S35</f>
        <v>0</v>
      </c>
    </row>
    <row r="36" spans="2:21" ht="12.75">
      <c r="B36" t="s">
        <v>269</v>
      </c>
      <c r="E36" s="26" t="s">
        <v>78</v>
      </c>
      <c r="F36" s="26" t="s">
        <v>152</v>
      </c>
      <c r="G36" s="78">
        <v>4</v>
      </c>
      <c r="H36" s="154">
        <f>Bud!H37</f>
        <v>13.67</v>
      </c>
      <c r="I36" s="78">
        <f aca="true" t="shared" si="2" ref="I36:I45">G36*H36</f>
        <v>54.68</v>
      </c>
      <c r="L36" t="s">
        <v>269</v>
      </c>
      <c r="O36" t="s">
        <v>78</v>
      </c>
      <c r="P36" s="18" t="s">
        <v>152</v>
      </c>
      <c r="Q36" s="75"/>
      <c r="S36" s="75"/>
      <c r="U36" s="75">
        <f>Q36*S36</f>
        <v>0</v>
      </c>
    </row>
    <row r="37" spans="2:21" ht="12.75">
      <c r="B37" s="43" t="s">
        <v>170</v>
      </c>
      <c r="E37" s="26" t="s">
        <v>78</v>
      </c>
      <c r="F37" s="26" t="s">
        <v>152</v>
      </c>
      <c r="G37" s="78">
        <v>4</v>
      </c>
      <c r="H37" s="154">
        <f>Bud!H38</f>
        <v>13.67</v>
      </c>
      <c r="I37" s="78">
        <f t="shared" si="2"/>
        <v>54.68</v>
      </c>
      <c r="L37" s="43" t="s">
        <v>170</v>
      </c>
      <c r="O37" t="s">
        <v>78</v>
      </c>
      <c r="P37" s="18" t="s">
        <v>152</v>
      </c>
      <c r="Q37" s="75"/>
      <c r="S37" s="75"/>
      <c r="U37" s="75">
        <f>Q37*S37</f>
        <v>0</v>
      </c>
    </row>
    <row r="38" spans="2:16" ht="12.75">
      <c r="B38" s="6" t="s">
        <v>156</v>
      </c>
      <c r="C38" s="6"/>
      <c r="D38" s="6"/>
      <c r="E38" s="77"/>
      <c r="F38" s="77"/>
      <c r="G38" s="79"/>
      <c r="H38" s="153"/>
      <c r="I38" s="79"/>
      <c r="L38" s="6" t="s">
        <v>156</v>
      </c>
      <c r="M38" s="6"/>
      <c r="N38" s="6"/>
      <c r="O38" s="6"/>
      <c r="P38" s="19"/>
    </row>
    <row r="39" spans="2:21" ht="12.75">
      <c r="B39" t="s">
        <v>139</v>
      </c>
      <c r="E39" s="26" t="s">
        <v>78</v>
      </c>
      <c r="F39" s="26" t="s">
        <v>81</v>
      </c>
      <c r="G39" s="78">
        <v>4</v>
      </c>
      <c r="H39" s="154">
        <f>Bud!H36</f>
        <v>18</v>
      </c>
      <c r="I39" s="78">
        <f t="shared" si="2"/>
        <v>72</v>
      </c>
      <c r="L39" t="s">
        <v>139</v>
      </c>
      <c r="O39" t="s">
        <v>78</v>
      </c>
      <c r="P39" s="18" t="s">
        <v>81</v>
      </c>
      <c r="Q39" s="75"/>
      <c r="S39" s="75"/>
      <c r="U39" s="75">
        <f aca="true" t="shared" si="3" ref="U39:U45">Q39*S39</f>
        <v>0</v>
      </c>
    </row>
    <row r="40" spans="2:21" ht="12.75">
      <c r="B40" t="s">
        <v>157</v>
      </c>
      <c r="E40" s="26" t="s">
        <v>75</v>
      </c>
      <c r="F40" s="26" t="s">
        <v>81</v>
      </c>
      <c r="G40" s="78">
        <v>2</v>
      </c>
      <c r="H40" s="154">
        <f>Bud!H35</f>
        <v>14.79</v>
      </c>
      <c r="I40" s="78">
        <f t="shared" si="2"/>
        <v>29.58</v>
      </c>
      <c r="L40" t="s">
        <v>157</v>
      </c>
      <c r="O40" t="s">
        <v>75</v>
      </c>
      <c r="P40" s="18" t="s">
        <v>81</v>
      </c>
      <c r="Q40" s="75"/>
      <c r="S40" s="75"/>
      <c r="U40" s="75">
        <f t="shared" si="3"/>
        <v>0</v>
      </c>
    </row>
    <row r="41" spans="2:21" ht="12.75">
      <c r="B41" t="s">
        <v>270</v>
      </c>
      <c r="E41" s="26" t="s">
        <v>300</v>
      </c>
      <c r="F41" s="26" t="s">
        <v>81</v>
      </c>
      <c r="G41" s="78">
        <v>6</v>
      </c>
      <c r="H41" s="154">
        <f>Bud!H37</f>
        <v>13.67</v>
      </c>
      <c r="I41" s="78">
        <f t="shared" si="2"/>
        <v>82.02</v>
      </c>
      <c r="L41" t="s">
        <v>270</v>
      </c>
      <c r="O41" t="s">
        <v>300</v>
      </c>
      <c r="P41" s="18" t="s">
        <v>81</v>
      </c>
      <c r="Q41" s="75"/>
      <c r="S41" s="75"/>
      <c r="U41" s="75">
        <f t="shared" si="3"/>
        <v>0</v>
      </c>
    </row>
    <row r="42" spans="2:21" ht="12.75">
      <c r="B42" t="s">
        <v>171</v>
      </c>
      <c r="E42" s="26" t="s">
        <v>300</v>
      </c>
      <c r="F42" s="26" t="s">
        <v>81</v>
      </c>
      <c r="G42" s="78">
        <v>6</v>
      </c>
      <c r="H42" s="154">
        <f>Bud!H38</f>
        <v>13.67</v>
      </c>
      <c r="I42" s="78">
        <f t="shared" si="2"/>
        <v>82.02</v>
      </c>
      <c r="L42" t="s">
        <v>171</v>
      </c>
      <c r="O42" t="s">
        <v>300</v>
      </c>
      <c r="P42" s="18" t="s">
        <v>81</v>
      </c>
      <c r="Q42" s="75"/>
      <c r="S42" s="75"/>
      <c r="U42" s="75">
        <f t="shared" si="3"/>
        <v>0</v>
      </c>
    </row>
    <row r="43" spans="2:21" ht="12.75">
      <c r="B43" s="28" t="s">
        <v>218</v>
      </c>
      <c r="E43" s="26" t="s">
        <v>72</v>
      </c>
      <c r="F43" s="26" t="s">
        <v>152</v>
      </c>
      <c r="G43" s="78">
        <v>3</v>
      </c>
      <c r="H43" s="154">
        <v>10.39</v>
      </c>
      <c r="I43" s="78">
        <f t="shared" si="2"/>
        <v>31.17</v>
      </c>
      <c r="L43" s="28" t="s">
        <v>218</v>
      </c>
      <c r="O43" t="s">
        <v>72</v>
      </c>
      <c r="P43" s="18" t="s">
        <v>152</v>
      </c>
      <c r="Q43" s="75"/>
      <c r="S43" s="75"/>
      <c r="U43" s="75">
        <f t="shared" si="3"/>
        <v>0</v>
      </c>
    </row>
    <row r="44" spans="2:21" ht="12.75">
      <c r="B44" s="28" t="s">
        <v>167</v>
      </c>
      <c r="E44" s="26"/>
      <c r="F44" s="26" t="s">
        <v>81</v>
      </c>
      <c r="G44" s="78">
        <v>1</v>
      </c>
      <c r="H44" s="154">
        <f>Drip!I48</f>
        <v>70</v>
      </c>
      <c r="I44" s="78">
        <f t="shared" si="2"/>
        <v>70</v>
      </c>
      <c r="L44" s="28" t="s">
        <v>167</v>
      </c>
      <c r="P44" s="18" t="s">
        <v>81</v>
      </c>
      <c r="Q44" s="75"/>
      <c r="S44" s="75"/>
      <c r="U44" s="75">
        <f t="shared" si="3"/>
        <v>0</v>
      </c>
    </row>
    <row r="45" spans="2:21" ht="12.75">
      <c r="B45" t="s">
        <v>165</v>
      </c>
      <c r="E45" s="26"/>
      <c r="F45" s="26" t="s">
        <v>58</v>
      </c>
      <c r="G45" s="78">
        <f>SUM(I18:I44)</f>
        <v>31936.51</v>
      </c>
      <c r="H45" s="154">
        <v>0.075</v>
      </c>
      <c r="I45" s="78">
        <f t="shared" si="2"/>
        <v>2395.23825</v>
      </c>
      <c r="L45" t="s">
        <v>165</v>
      </c>
      <c r="P45" s="18" t="s">
        <v>58</v>
      </c>
      <c r="Q45" s="75"/>
      <c r="S45" s="75"/>
      <c r="U45" s="75">
        <f t="shared" si="3"/>
        <v>0</v>
      </c>
    </row>
    <row r="46" spans="2:21" ht="13.5" thickBot="1">
      <c r="B46" s="35" t="s">
        <v>263</v>
      </c>
      <c r="E46" s="26"/>
      <c r="F46" s="43" t="s">
        <v>58</v>
      </c>
      <c r="G46" s="78"/>
      <c r="H46" s="78" t="s">
        <v>1</v>
      </c>
      <c r="I46" s="80">
        <f>SUM(I18:I45)</f>
        <v>34331.74825</v>
      </c>
      <c r="L46" s="35" t="s">
        <v>263</v>
      </c>
      <c r="P46" s="42" t="s">
        <v>58</v>
      </c>
      <c r="Q46" s="75"/>
      <c r="S46" s="75"/>
      <c r="U46" s="76">
        <f>SUM(U18:U45)</f>
        <v>0</v>
      </c>
    </row>
    <row r="47" spans="5:16" ht="13.5" thickTop="1">
      <c r="E47" s="26"/>
      <c r="F47" s="26"/>
      <c r="G47" s="26"/>
      <c r="H47" s="26"/>
      <c r="I47" s="26"/>
      <c r="P47" s="18"/>
    </row>
    <row r="48" spans="2:16" ht="12.75">
      <c r="B48" s="6" t="s">
        <v>134</v>
      </c>
      <c r="C48" s="6"/>
      <c r="E48" s="26"/>
      <c r="F48" s="26"/>
      <c r="G48" s="78"/>
      <c r="H48" s="78"/>
      <c r="I48" s="78"/>
      <c r="L48" s="6" t="s">
        <v>134</v>
      </c>
      <c r="M48" s="6"/>
      <c r="P48" s="18"/>
    </row>
    <row r="49" spans="2:21" ht="12.75">
      <c r="B49" t="s">
        <v>268</v>
      </c>
      <c r="E49" s="26"/>
      <c r="F49" s="26" t="s">
        <v>81</v>
      </c>
      <c r="G49" s="78">
        <v>1</v>
      </c>
      <c r="H49" s="78">
        <f>FxdCost!E40</f>
        <v>746.6715</v>
      </c>
      <c r="I49" s="78">
        <f>G49*H49</f>
        <v>746.6715</v>
      </c>
      <c r="L49" t="s">
        <v>268</v>
      </c>
      <c r="P49" s="18" t="s">
        <v>81</v>
      </c>
      <c r="Q49" s="75"/>
      <c r="S49" s="75"/>
      <c r="U49" s="75">
        <f>Q49*S49</f>
        <v>0</v>
      </c>
    </row>
    <row r="50" spans="2:21" ht="12.75">
      <c r="B50" t="s">
        <v>195</v>
      </c>
      <c r="E50" s="26"/>
      <c r="F50" s="26" t="s">
        <v>58</v>
      </c>
      <c r="G50" s="78">
        <f>I46</f>
        <v>34331.74825</v>
      </c>
      <c r="H50" s="78">
        <v>0.15</v>
      </c>
      <c r="I50" s="78">
        <f>G50*H50</f>
        <v>5149.762237499999</v>
      </c>
      <c r="L50" t="s">
        <v>195</v>
      </c>
      <c r="P50" s="18" t="s">
        <v>58</v>
      </c>
      <c r="Q50" s="75"/>
      <c r="S50" s="75"/>
      <c r="U50" s="75">
        <f>Q50*S50</f>
        <v>0</v>
      </c>
    </row>
    <row r="51" spans="2:21" ht="12.75">
      <c r="B51" t="s">
        <v>167</v>
      </c>
      <c r="E51" s="26"/>
      <c r="F51" s="26" t="s">
        <v>81</v>
      </c>
      <c r="G51" s="78">
        <v>1</v>
      </c>
      <c r="H51" s="78">
        <f>Drip!I36</f>
        <v>170.84</v>
      </c>
      <c r="I51" s="78">
        <f>G51*H51</f>
        <v>170.84</v>
      </c>
      <c r="L51" t="s">
        <v>167</v>
      </c>
      <c r="P51" s="18" t="s">
        <v>81</v>
      </c>
      <c r="Q51" s="75"/>
      <c r="S51" s="75"/>
      <c r="U51" s="75">
        <f>Q51*S51</f>
        <v>0</v>
      </c>
    </row>
    <row r="52" spans="2:21" ht="13.5" thickBot="1">
      <c r="B52" s="6" t="s">
        <v>256</v>
      </c>
      <c r="E52" s="26"/>
      <c r="F52" s="26"/>
      <c r="G52" s="78"/>
      <c r="H52" s="78"/>
      <c r="I52" s="80">
        <f>SUM(I49:I51)</f>
        <v>6067.2737375</v>
      </c>
      <c r="L52" s="6" t="s">
        <v>256</v>
      </c>
      <c r="P52" s="18"/>
      <c r="Q52" s="75"/>
      <c r="S52" s="75"/>
      <c r="U52" s="76">
        <f>SUM(U49:U51)</f>
        <v>0</v>
      </c>
    </row>
    <row r="53" spans="5:16" ht="13.5" thickTop="1">
      <c r="E53" s="26"/>
      <c r="F53" s="26"/>
      <c r="G53" s="78"/>
      <c r="H53" s="78"/>
      <c r="I53" s="78"/>
      <c r="P53" s="18"/>
    </row>
    <row r="54" spans="2:21" ht="13.5" thickBot="1">
      <c r="B54" s="6" t="s">
        <v>255</v>
      </c>
      <c r="E54" s="26"/>
      <c r="F54" s="26"/>
      <c r="G54" s="78"/>
      <c r="H54" s="78"/>
      <c r="I54" s="80">
        <f>I46+I52</f>
        <v>40399.0219875</v>
      </c>
      <c r="L54" s="6" t="s">
        <v>255</v>
      </c>
      <c r="P54" s="18"/>
      <c r="Q54" s="75"/>
      <c r="S54" s="75"/>
      <c r="U54" s="76">
        <f>U46+U52</f>
        <v>0</v>
      </c>
    </row>
    <row r="55" ht="13.5" thickTop="1">
      <c r="I55" s="17"/>
    </row>
    <row r="56" ht="12.75">
      <c r="I56" s="17"/>
    </row>
    <row r="57" spans="2:8" ht="12.75">
      <c r="B57" t="s">
        <v>70</v>
      </c>
      <c r="G57" s="17"/>
      <c r="H57" s="17"/>
    </row>
    <row r="58" ht="12.75">
      <c r="B58" t="s">
        <v>74</v>
      </c>
    </row>
    <row r="65" spans="2:10" ht="12.75">
      <c r="B65" s="60"/>
      <c r="C65" s="60"/>
      <c r="D65" s="60"/>
      <c r="E65" s="60"/>
      <c r="F65" s="60"/>
      <c r="G65" s="60"/>
      <c r="H65" s="60"/>
      <c r="I65" s="60"/>
      <c r="J65" s="61"/>
    </row>
    <row r="66" spans="2:10" ht="12.75">
      <c r="B66" s="175"/>
      <c r="C66" s="175"/>
      <c r="D66" s="175"/>
      <c r="E66" s="175"/>
      <c r="F66" s="175"/>
      <c r="G66" s="175"/>
      <c r="H66" s="175"/>
      <c r="I66" s="175"/>
      <c r="J66" s="175"/>
    </row>
    <row r="67" spans="2:10" ht="12.75">
      <c r="B67" s="175"/>
      <c r="C67" s="175"/>
      <c r="D67" s="175"/>
      <c r="E67" s="175"/>
      <c r="F67" s="175"/>
      <c r="G67" s="175"/>
      <c r="H67" s="175"/>
      <c r="I67" s="175"/>
      <c r="J67" s="175"/>
    </row>
  </sheetData>
  <sheetProtection/>
  <mergeCells count="7">
    <mergeCell ref="B66:J66"/>
    <mergeCell ref="B67:J67"/>
    <mergeCell ref="B12:J12"/>
    <mergeCell ref="B11:J11"/>
    <mergeCell ref="L12:U12"/>
    <mergeCell ref="B1:H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V59"/>
  <sheetViews>
    <sheetView workbookViewId="0" topLeftCell="A27">
      <selection activeCell="I62" sqref="I62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9.710937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1" spans="3:9" ht="21">
      <c r="C1" s="181" t="s">
        <v>331</v>
      </c>
      <c r="D1" s="181"/>
      <c r="E1" s="181"/>
      <c r="F1" s="181"/>
      <c r="G1" s="181"/>
      <c r="H1" s="181"/>
      <c r="I1" s="181"/>
    </row>
    <row r="2" spans="1:15" ht="21">
      <c r="A2" s="183" t="s">
        <v>393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4" spans="2:10" ht="21">
      <c r="B4" s="145" t="s">
        <v>332</v>
      </c>
      <c r="C4" s="146"/>
      <c r="D4" s="146"/>
      <c r="E4" s="146"/>
      <c r="F4" s="146"/>
      <c r="G4" s="146"/>
      <c r="H4" s="146"/>
      <c r="I4" s="144"/>
      <c r="J4" s="27"/>
    </row>
    <row r="5" spans="2:10" ht="21">
      <c r="B5" s="146" t="s">
        <v>333</v>
      </c>
      <c r="C5" s="146"/>
      <c r="D5" s="146"/>
      <c r="E5" s="146"/>
      <c r="F5" s="146"/>
      <c r="G5" s="146"/>
      <c r="H5" s="146"/>
      <c r="I5" s="144"/>
      <c r="J5" s="27"/>
    </row>
    <row r="6" spans="2:10" ht="21">
      <c r="B6" s="146" t="s">
        <v>334</v>
      </c>
      <c r="C6" s="146"/>
      <c r="D6" s="146"/>
      <c r="E6" s="146"/>
      <c r="F6" s="146"/>
      <c r="G6" s="146"/>
      <c r="H6" s="146"/>
      <c r="I6" s="144"/>
      <c r="J6" s="27"/>
    </row>
    <row r="7" spans="2:10" ht="21">
      <c r="B7" s="33" t="s">
        <v>394</v>
      </c>
      <c r="C7" s="33"/>
      <c r="D7" s="33"/>
      <c r="E7" s="33"/>
      <c r="F7" s="33"/>
      <c r="G7" s="33"/>
      <c r="H7" s="33"/>
      <c r="I7" s="144"/>
      <c r="J7" s="27"/>
    </row>
    <row r="12" spans="2:21" ht="15">
      <c r="B12" s="184" t="s">
        <v>308</v>
      </c>
      <c r="C12" s="184"/>
      <c r="D12" s="184"/>
      <c r="E12" s="184"/>
      <c r="F12" s="184"/>
      <c r="G12" s="184"/>
      <c r="H12" s="184"/>
      <c r="I12" s="184"/>
      <c r="J12" s="18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2:21" ht="15">
      <c r="B13" s="184" t="s">
        <v>385</v>
      </c>
      <c r="C13" s="184"/>
      <c r="D13" s="184"/>
      <c r="E13" s="184"/>
      <c r="F13" s="184"/>
      <c r="G13" s="184"/>
      <c r="H13" s="184"/>
      <c r="I13" s="184"/>
      <c r="J13" s="184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</row>
    <row r="14" spans="2:22" ht="15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84" t="s">
        <v>330</v>
      </c>
      <c r="M14" s="184"/>
      <c r="N14" s="184"/>
      <c r="O14" s="184"/>
      <c r="P14" s="184"/>
      <c r="Q14" s="184"/>
      <c r="R14" s="184"/>
      <c r="S14" s="184"/>
      <c r="T14" s="184"/>
      <c r="U14" s="184"/>
      <c r="V14" s="70"/>
    </row>
    <row r="15" spans="12:21" ht="12.75" customHeight="1"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2:22" ht="12.75">
      <c r="B16" s="29" t="s">
        <v>169</v>
      </c>
      <c r="C16" s="9"/>
      <c r="D16" s="9"/>
      <c r="E16" s="15" t="s">
        <v>92</v>
      </c>
      <c r="F16" s="29" t="s">
        <v>279</v>
      </c>
      <c r="G16" s="29" t="s">
        <v>224</v>
      </c>
      <c r="H16" s="73" t="s">
        <v>216</v>
      </c>
      <c r="I16" s="74" t="s">
        <v>307</v>
      </c>
      <c r="J16" s="29"/>
      <c r="L16" s="29" t="s">
        <v>169</v>
      </c>
      <c r="M16" s="9"/>
      <c r="N16" s="9"/>
      <c r="O16" s="15" t="s">
        <v>92</v>
      </c>
      <c r="P16" s="29" t="s">
        <v>279</v>
      </c>
      <c r="Q16" s="29" t="s">
        <v>224</v>
      </c>
      <c r="R16" s="29"/>
      <c r="S16" s="73" t="s">
        <v>216</v>
      </c>
      <c r="T16" s="73"/>
      <c r="U16" s="74" t="s">
        <v>307</v>
      </c>
      <c r="V16" s="29"/>
    </row>
    <row r="18" spans="2:17" ht="12.75">
      <c r="B18" s="35" t="s">
        <v>309</v>
      </c>
      <c r="L18" s="35" t="s">
        <v>309</v>
      </c>
      <c r="Q18" s="29"/>
    </row>
    <row r="19" spans="2:21" ht="12.75">
      <c r="B19" s="6" t="s">
        <v>129</v>
      </c>
      <c r="F19" s="9"/>
      <c r="G19" s="9"/>
      <c r="H19" s="4"/>
      <c r="L19" s="6" t="s">
        <v>129</v>
      </c>
      <c r="P19" s="18"/>
      <c r="Q19" s="17"/>
      <c r="R19" s="17"/>
      <c r="S19" s="13"/>
      <c r="T19" s="17"/>
      <c r="U19" s="17"/>
    </row>
    <row r="20" spans="2:21" ht="12.75">
      <c r="B20" t="s">
        <v>125</v>
      </c>
      <c r="E20" t="s">
        <v>296</v>
      </c>
      <c r="F20" s="18" t="s">
        <v>142</v>
      </c>
      <c r="G20" s="13">
        <v>70</v>
      </c>
      <c r="H20" s="159">
        <f>Yr1!H32</f>
        <v>0.84</v>
      </c>
      <c r="I20" s="13">
        <f>G20*H20</f>
        <v>58.8</v>
      </c>
      <c r="L20" t="s">
        <v>125</v>
      </c>
      <c r="O20" t="s">
        <v>296</v>
      </c>
      <c r="P20" s="18" t="s">
        <v>142</v>
      </c>
      <c r="Q20" s="75"/>
      <c r="R20" s="17"/>
      <c r="S20" s="75"/>
      <c r="T20" s="17"/>
      <c r="U20" s="75">
        <f>Q20*S20</f>
        <v>0</v>
      </c>
    </row>
    <row r="21" spans="2:21" ht="12.75">
      <c r="B21" s="6" t="s">
        <v>288</v>
      </c>
      <c r="F21" s="18"/>
      <c r="G21" s="13"/>
      <c r="H21" s="156"/>
      <c r="I21" s="13"/>
      <c r="L21" s="6" t="s">
        <v>288</v>
      </c>
      <c r="P21" s="18"/>
      <c r="Q21" s="17"/>
      <c r="R21" s="17"/>
      <c r="S21" s="17"/>
      <c r="T21" s="17"/>
      <c r="U21" s="17"/>
    </row>
    <row r="22" spans="2:21" ht="12.75">
      <c r="B22" t="s">
        <v>208</v>
      </c>
      <c r="E22" t="s">
        <v>75</v>
      </c>
      <c r="F22" s="18" t="s">
        <v>81</v>
      </c>
      <c r="G22" s="13">
        <v>2</v>
      </c>
      <c r="H22" s="159">
        <f>Yr1!H34</f>
        <v>38.3</v>
      </c>
      <c r="I22" s="13">
        <f>G22*H22</f>
        <v>76.6</v>
      </c>
      <c r="L22" t="s">
        <v>208</v>
      </c>
      <c r="O22" t="s">
        <v>75</v>
      </c>
      <c r="P22" s="18" t="s">
        <v>81</v>
      </c>
      <c r="Q22" s="75"/>
      <c r="R22" s="17"/>
      <c r="S22" s="75"/>
      <c r="T22" s="17"/>
      <c r="U22" s="75">
        <f>Q22*S22</f>
        <v>0</v>
      </c>
    </row>
    <row r="23" spans="2:21" ht="12.75">
      <c r="B23" t="s">
        <v>206</v>
      </c>
      <c r="E23" t="s">
        <v>76</v>
      </c>
      <c r="F23" s="18" t="s">
        <v>81</v>
      </c>
      <c r="G23" s="13">
        <v>3</v>
      </c>
      <c r="H23" s="159">
        <f>Yr1!H35</f>
        <v>38.3</v>
      </c>
      <c r="I23" s="13">
        <f>G23*H23</f>
        <v>114.89999999999999</v>
      </c>
      <c r="L23" t="s">
        <v>206</v>
      </c>
      <c r="O23" t="s">
        <v>76</v>
      </c>
      <c r="P23" s="18" t="s">
        <v>81</v>
      </c>
      <c r="Q23" s="75"/>
      <c r="R23" s="17"/>
      <c r="S23" s="75"/>
      <c r="T23" s="17"/>
      <c r="U23" s="75">
        <f>Q23*S23</f>
        <v>0</v>
      </c>
    </row>
    <row r="24" spans="2:21" ht="12.75">
      <c r="B24" t="s">
        <v>170</v>
      </c>
      <c r="E24" t="s">
        <v>78</v>
      </c>
      <c r="F24" s="18" t="s">
        <v>81</v>
      </c>
      <c r="G24" s="13">
        <v>4</v>
      </c>
      <c r="H24" s="159">
        <f>Yr1!H37</f>
        <v>13.67</v>
      </c>
      <c r="I24" s="13">
        <f>G24*H24</f>
        <v>54.68</v>
      </c>
      <c r="L24" t="s">
        <v>170</v>
      </c>
      <c r="O24" t="s">
        <v>78</v>
      </c>
      <c r="P24" s="18" t="s">
        <v>81</v>
      </c>
      <c r="Q24" s="75"/>
      <c r="R24" s="17"/>
      <c r="S24" s="75"/>
      <c r="T24" s="17"/>
      <c r="U24" s="75">
        <f>Q24*S24</f>
        <v>0</v>
      </c>
    </row>
    <row r="25" spans="2:21" ht="12.75">
      <c r="B25" s="6" t="s">
        <v>156</v>
      </c>
      <c r="F25" s="18"/>
      <c r="G25" s="13"/>
      <c r="H25" s="156"/>
      <c r="I25" s="13"/>
      <c r="L25" s="6" t="s">
        <v>156</v>
      </c>
      <c r="P25" s="18"/>
      <c r="Q25" s="17"/>
      <c r="R25" s="17"/>
      <c r="S25" s="17"/>
      <c r="T25" s="17"/>
      <c r="U25" s="17"/>
    </row>
    <row r="26" spans="2:21" ht="12.75">
      <c r="B26" t="s">
        <v>139</v>
      </c>
      <c r="E26" t="s">
        <v>80</v>
      </c>
      <c r="F26" s="18" t="s">
        <v>81</v>
      </c>
      <c r="G26" s="13">
        <v>6</v>
      </c>
      <c r="H26" s="159">
        <f>Yr1!H39</f>
        <v>18</v>
      </c>
      <c r="I26" s="13">
        <f aca="true" t="shared" si="0" ref="I26:I32">G26*H26</f>
        <v>108</v>
      </c>
      <c r="L26" t="s">
        <v>139</v>
      </c>
      <c r="O26" t="s">
        <v>80</v>
      </c>
      <c r="P26" s="18" t="s">
        <v>81</v>
      </c>
      <c r="Q26" s="75"/>
      <c r="R26" s="17"/>
      <c r="S26" s="75"/>
      <c r="T26" s="17"/>
      <c r="U26" s="75">
        <f aca="true" t="shared" si="1" ref="U26:U32">Q26*S26</f>
        <v>0</v>
      </c>
    </row>
    <row r="27" spans="2:21" ht="12.75">
      <c r="B27" t="s">
        <v>157</v>
      </c>
      <c r="E27" t="s">
        <v>78</v>
      </c>
      <c r="F27" s="18" t="s">
        <v>81</v>
      </c>
      <c r="G27" s="13">
        <v>4</v>
      </c>
      <c r="H27" s="159">
        <f>Yr1!H40</f>
        <v>14.79</v>
      </c>
      <c r="I27" s="13">
        <f t="shared" si="0"/>
        <v>59.16</v>
      </c>
      <c r="L27" t="s">
        <v>157</v>
      </c>
      <c r="O27" t="s">
        <v>78</v>
      </c>
      <c r="P27" s="18" t="s">
        <v>81</v>
      </c>
      <c r="Q27" s="75"/>
      <c r="R27" s="17"/>
      <c r="S27" s="75"/>
      <c r="T27" s="17"/>
      <c r="U27" s="75">
        <f t="shared" si="1"/>
        <v>0</v>
      </c>
    </row>
    <row r="28" spans="2:21" ht="12.75">
      <c r="B28" t="s">
        <v>270</v>
      </c>
      <c r="E28" t="s">
        <v>73</v>
      </c>
      <c r="F28" s="18" t="s">
        <v>81</v>
      </c>
      <c r="G28" s="13">
        <v>12</v>
      </c>
      <c r="H28" s="159">
        <f>Yr1!H36</f>
        <v>13.67</v>
      </c>
      <c r="I28" s="13">
        <f t="shared" si="0"/>
        <v>164.04</v>
      </c>
      <c r="L28" t="s">
        <v>270</v>
      </c>
      <c r="O28" t="s">
        <v>73</v>
      </c>
      <c r="P28" s="18" t="s">
        <v>81</v>
      </c>
      <c r="Q28" s="75"/>
      <c r="R28" s="17"/>
      <c r="S28" s="75"/>
      <c r="T28" s="17"/>
      <c r="U28" s="75">
        <f t="shared" si="1"/>
        <v>0</v>
      </c>
    </row>
    <row r="29" spans="2:21" ht="12.75">
      <c r="B29" t="s">
        <v>171</v>
      </c>
      <c r="E29" t="s">
        <v>73</v>
      </c>
      <c r="F29" s="18" t="s">
        <v>81</v>
      </c>
      <c r="G29" s="13">
        <v>12</v>
      </c>
      <c r="H29" s="159">
        <f>Yr1!H37</f>
        <v>13.67</v>
      </c>
      <c r="I29" s="13">
        <f t="shared" si="0"/>
        <v>164.04</v>
      </c>
      <c r="L29" t="s">
        <v>171</v>
      </c>
      <c r="O29" t="s">
        <v>73</v>
      </c>
      <c r="P29" s="18" t="s">
        <v>81</v>
      </c>
      <c r="Q29" s="75"/>
      <c r="R29" s="17"/>
      <c r="S29" s="75"/>
      <c r="T29" s="17"/>
      <c r="U29" s="75">
        <f t="shared" si="1"/>
        <v>0</v>
      </c>
    </row>
    <row r="30" spans="2:21" ht="12.75">
      <c r="B30" s="28" t="s">
        <v>218</v>
      </c>
      <c r="E30" t="s">
        <v>72</v>
      </c>
      <c r="F30" s="18" t="s">
        <v>81</v>
      </c>
      <c r="G30" s="13">
        <v>1210</v>
      </c>
      <c r="H30" s="159">
        <f>Yr1!H43</f>
        <v>10.39</v>
      </c>
      <c r="I30" s="13">
        <f t="shared" si="0"/>
        <v>12571.900000000001</v>
      </c>
      <c r="L30" s="28" t="s">
        <v>218</v>
      </c>
      <c r="O30" t="s">
        <v>72</v>
      </c>
      <c r="P30" s="18" t="s">
        <v>81</v>
      </c>
      <c r="Q30" s="75"/>
      <c r="R30" s="17"/>
      <c r="S30" s="75"/>
      <c r="T30" s="17"/>
      <c r="U30" s="75">
        <f t="shared" si="1"/>
        <v>0</v>
      </c>
    </row>
    <row r="31" spans="2:21" ht="12.75">
      <c r="B31" s="28" t="s">
        <v>167</v>
      </c>
      <c r="E31" t="s">
        <v>296</v>
      </c>
      <c r="F31" s="18" t="s">
        <v>81</v>
      </c>
      <c r="G31" s="13">
        <v>1</v>
      </c>
      <c r="H31" s="159">
        <f>Drip!I48</f>
        <v>70</v>
      </c>
      <c r="I31" s="13">
        <f t="shared" si="0"/>
        <v>70</v>
      </c>
      <c r="L31" s="28" t="s">
        <v>167</v>
      </c>
      <c r="O31" t="s">
        <v>296</v>
      </c>
      <c r="P31" s="18" t="s">
        <v>81</v>
      </c>
      <c r="Q31" s="75"/>
      <c r="R31" s="17"/>
      <c r="S31" s="75"/>
      <c r="T31" s="17"/>
      <c r="U31" s="75">
        <f t="shared" si="1"/>
        <v>0</v>
      </c>
    </row>
    <row r="32" spans="2:21" ht="12.75">
      <c r="B32" s="28" t="s">
        <v>165</v>
      </c>
      <c r="F32" s="18" t="s">
        <v>58</v>
      </c>
      <c r="G32" s="13">
        <f>SUM(I20:I31)</f>
        <v>13442.12</v>
      </c>
      <c r="H32" s="159">
        <v>0.075</v>
      </c>
      <c r="I32" s="13">
        <f t="shared" si="0"/>
        <v>1008.159</v>
      </c>
      <c r="L32" s="28" t="s">
        <v>165</v>
      </c>
      <c r="P32" s="18" t="s">
        <v>58</v>
      </c>
      <c r="Q32" s="75"/>
      <c r="R32" s="17"/>
      <c r="S32" s="75"/>
      <c r="T32" s="17"/>
      <c r="U32" s="75">
        <f t="shared" si="1"/>
        <v>0</v>
      </c>
    </row>
    <row r="33" spans="2:21" ht="13.5" thickBot="1">
      <c r="B33" s="35" t="s">
        <v>310</v>
      </c>
      <c r="F33" s="18"/>
      <c r="G33" s="13"/>
      <c r="H33" s="156" t="s">
        <v>2</v>
      </c>
      <c r="I33" s="41">
        <f>SUM(I20:I32)</f>
        <v>14450.279</v>
      </c>
      <c r="L33" s="35" t="s">
        <v>310</v>
      </c>
      <c r="P33" s="18"/>
      <c r="Q33" s="75"/>
      <c r="R33" s="17"/>
      <c r="S33" s="75" t="s">
        <v>2</v>
      </c>
      <c r="T33" s="17"/>
      <c r="U33" s="76">
        <f>SUM(U20:U32)</f>
        <v>0</v>
      </c>
    </row>
    <row r="34" spans="6:21" ht="13.5" thickTop="1">
      <c r="F34" s="18"/>
      <c r="G34" s="13"/>
      <c r="H34" s="156"/>
      <c r="I34" s="13"/>
      <c r="P34" s="18"/>
      <c r="Q34" s="17"/>
      <c r="R34" s="17"/>
      <c r="S34" s="17"/>
      <c r="T34" s="17"/>
      <c r="U34" s="17"/>
    </row>
    <row r="35" spans="2:21" ht="12.75">
      <c r="B35" s="6" t="s">
        <v>150</v>
      </c>
      <c r="F35" s="18"/>
      <c r="G35" s="13"/>
      <c r="H35" s="156"/>
      <c r="I35" s="13"/>
      <c r="L35" s="6" t="s">
        <v>150</v>
      </c>
      <c r="P35" s="18"/>
      <c r="Q35" s="17"/>
      <c r="R35" s="17"/>
      <c r="S35" s="17"/>
      <c r="T35" s="17"/>
      <c r="U35" s="17"/>
    </row>
    <row r="36" spans="2:21" ht="12.75">
      <c r="B36" t="s">
        <v>149</v>
      </c>
      <c r="F36" s="18" t="s">
        <v>153</v>
      </c>
      <c r="G36" s="13">
        <f>0.95*1700</f>
        <v>1615</v>
      </c>
      <c r="H36" s="159">
        <v>1.05</v>
      </c>
      <c r="I36" s="13">
        <f>G36*H36</f>
        <v>1695.75</v>
      </c>
      <c r="L36" t="s">
        <v>149</v>
      </c>
      <c r="P36" s="18" t="s">
        <v>153</v>
      </c>
      <c r="Q36" s="75"/>
      <c r="R36" s="17"/>
      <c r="S36" s="75"/>
      <c r="T36" s="17"/>
      <c r="U36" s="75">
        <f>Q36*S36</f>
        <v>0</v>
      </c>
    </row>
    <row r="37" spans="2:21" ht="12.75">
      <c r="B37" t="s">
        <v>109</v>
      </c>
      <c r="F37" s="18" t="s">
        <v>173</v>
      </c>
      <c r="G37" s="13">
        <f>0.95*1700</f>
        <v>1615</v>
      </c>
      <c r="H37" s="159">
        <v>0.987</v>
      </c>
      <c r="I37" s="13">
        <f>G37*H37</f>
        <v>1594.0049999999999</v>
      </c>
      <c r="L37" t="s">
        <v>109</v>
      </c>
      <c r="P37" s="18" t="s">
        <v>173</v>
      </c>
      <c r="Q37" s="75"/>
      <c r="R37" s="17"/>
      <c r="S37" s="75"/>
      <c r="T37" s="17"/>
      <c r="U37" s="75">
        <f>Q37*S37</f>
        <v>0</v>
      </c>
    </row>
    <row r="38" spans="2:21" ht="12.75">
      <c r="B38" t="s">
        <v>105</v>
      </c>
      <c r="F38" s="18" t="s">
        <v>173</v>
      </c>
      <c r="G38" s="13">
        <f>0.95*1700</f>
        <v>1615</v>
      </c>
      <c r="H38" s="159">
        <v>0.158</v>
      </c>
      <c r="I38" s="13">
        <f>G38*0.15</f>
        <v>242.25</v>
      </c>
      <c r="L38" t="s">
        <v>105</v>
      </c>
      <c r="P38" s="18" t="s">
        <v>173</v>
      </c>
      <c r="Q38" s="75"/>
      <c r="R38" s="17"/>
      <c r="S38" s="75"/>
      <c r="T38" s="17"/>
      <c r="U38" s="75">
        <f>Q38*0.15</f>
        <v>0</v>
      </c>
    </row>
    <row r="39" spans="2:21" ht="13.5" thickBot="1">
      <c r="B39" s="35" t="s">
        <v>259</v>
      </c>
      <c r="C39" s="6"/>
      <c r="D39" s="6"/>
      <c r="E39" s="6"/>
      <c r="F39" s="19"/>
      <c r="G39" s="14"/>
      <c r="H39" s="157"/>
      <c r="I39" s="41">
        <f>SUM(I36:I38)</f>
        <v>3532.005</v>
      </c>
      <c r="L39" s="35" t="s">
        <v>259</v>
      </c>
      <c r="M39" s="6"/>
      <c r="N39" s="6"/>
      <c r="O39" s="6"/>
      <c r="P39" s="19"/>
      <c r="Q39" s="75"/>
      <c r="R39" s="17"/>
      <c r="S39" s="75"/>
      <c r="T39" s="17"/>
      <c r="U39" s="76">
        <f>SUM(U36:U38)</f>
        <v>0</v>
      </c>
    </row>
    <row r="40" spans="2:21" ht="14.25" thickBot="1" thickTop="1">
      <c r="B40" s="35" t="s">
        <v>266</v>
      </c>
      <c r="F40" s="18"/>
      <c r="G40" s="13"/>
      <c r="H40" s="156"/>
      <c r="I40" s="41">
        <f>I33+I39</f>
        <v>17982.284</v>
      </c>
      <c r="P40" s="18"/>
      <c r="Q40" s="17"/>
      <c r="R40" s="17"/>
      <c r="S40" s="17"/>
      <c r="T40" s="17"/>
      <c r="U40" s="17"/>
    </row>
    <row r="41" spans="2:21" ht="13.5" thickTop="1">
      <c r="B41" s="35" t="s">
        <v>311</v>
      </c>
      <c r="C41" s="6"/>
      <c r="F41" s="18"/>
      <c r="G41" s="13"/>
      <c r="H41" s="156"/>
      <c r="I41" s="13"/>
      <c r="L41" s="35" t="s">
        <v>311</v>
      </c>
      <c r="M41" s="6"/>
      <c r="P41" s="18"/>
      <c r="Q41" s="17"/>
      <c r="R41" s="17"/>
      <c r="S41" s="17"/>
      <c r="T41" s="17"/>
      <c r="U41" s="17"/>
    </row>
    <row r="42" spans="2:21" ht="12.75">
      <c r="B42" t="s">
        <v>275</v>
      </c>
      <c r="F42" s="18" t="s">
        <v>81</v>
      </c>
      <c r="G42" s="13">
        <v>1</v>
      </c>
      <c r="H42" s="159">
        <f>FxdCost!E40</f>
        <v>746.6715</v>
      </c>
      <c r="I42" s="13">
        <f>G42*H42</f>
        <v>746.6715</v>
      </c>
      <c r="L42" t="s">
        <v>275</v>
      </c>
      <c r="P42" s="18" t="s">
        <v>81</v>
      </c>
      <c r="Q42" s="75"/>
      <c r="R42" s="17"/>
      <c r="S42" s="75"/>
      <c r="T42" s="17"/>
      <c r="U42" s="75">
        <f>Q42*S42</f>
        <v>0</v>
      </c>
    </row>
    <row r="43" spans="2:21" ht="12.75">
      <c r="B43" t="s">
        <v>195</v>
      </c>
      <c r="F43" s="18" t="s">
        <v>58</v>
      </c>
      <c r="G43" s="13">
        <f>I33</f>
        <v>14450.279</v>
      </c>
      <c r="H43" s="159">
        <v>0.15</v>
      </c>
      <c r="I43" s="13">
        <f>G43*H43</f>
        <v>2167.54185</v>
      </c>
      <c r="L43" t="s">
        <v>195</v>
      </c>
      <c r="P43" s="18" t="s">
        <v>58</v>
      </c>
      <c r="Q43" s="75"/>
      <c r="R43" s="17"/>
      <c r="S43" s="75"/>
      <c r="T43" s="17"/>
      <c r="U43" s="75">
        <f>Q43*S43</f>
        <v>0</v>
      </c>
    </row>
    <row r="44" spans="2:21" ht="12.75">
      <c r="B44" t="s">
        <v>167</v>
      </c>
      <c r="F44" s="18" t="s">
        <v>81</v>
      </c>
      <c r="G44" s="13">
        <v>1</v>
      </c>
      <c r="H44" s="159">
        <f>Drip!I36</f>
        <v>170.84</v>
      </c>
      <c r="I44" s="13">
        <f>G44*H44</f>
        <v>170.84</v>
      </c>
      <c r="L44" t="s">
        <v>167</v>
      </c>
      <c r="P44" s="18" t="s">
        <v>81</v>
      </c>
      <c r="Q44" s="75"/>
      <c r="R44" s="17"/>
      <c r="S44" s="75"/>
      <c r="T44" s="17"/>
      <c r="U44" s="75">
        <f>Q44*S44</f>
        <v>0</v>
      </c>
    </row>
    <row r="45" spans="2:21" ht="13.5" thickBot="1">
      <c r="B45" s="35" t="s">
        <v>312</v>
      </c>
      <c r="F45" s="42" t="s">
        <v>58</v>
      </c>
      <c r="G45" s="13"/>
      <c r="H45" s="156"/>
      <c r="I45" s="41">
        <f>SUM(I42:I44)</f>
        <v>3085.05335</v>
      </c>
      <c r="L45" s="35" t="s">
        <v>312</v>
      </c>
      <c r="P45" s="42" t="s">
        <v>58</v>
      </c>
      <c r="Q45" s="75"/>
      <c r="R45" s="17"/>
      <c r="S45" s="75"/>
      <c r="T45" s="17"/>
      <c r="U45" s="76">
        <f>SUM(U42:U44)</f>
        <v>0</v>
      </c>
    </row>
    <row r="46" spans="6:21" ht="13.5" thickTop="1">
      <c r="F46" s="18"/>
      <c r="G46" s="17"/>
      <c r="H46" s="158"/>
      <c r="I46" s="17"/>
      <c r="P46" s="18"/>
      <c r="Q46" s="17"/>
      <c r="R46" s="17"/>
      <c r="S46" s="17"/>
      <c r="T46" s="17"/>
      <c r="U46" s="17"/>
    </row>
    <row r="47" spans="2:21" ht="13.5" thickBot="1">
      <c r="B47" s="35" t="s">
        <v>313</v>
      </c>
      <c r="F47" s="42" t="s">
        <v>58</v>
      </c>
      <c r="G47" s="13"/>
      <c r="H47" s="156"/>
      <c r="I47" s="41">
        <f>I33+I39+I45</f>
        <v>21067.33735</v>
      </c>
      <c r="L47" s="35" t="s">
        <v>313</v>
      </c>
      <c r="P47" s="42" t="s">
        <v>58</v>
      </c>
      <c r="Q47" s="75"/>
      <c r="R47" s="17"/>
      <c r="S47" s="75"/>
      <c r="T47" s="17"/>
      <c r="U47" s="76">
        <f>U33+U39+U45</f>
        <v>0</v>
      </c>
    </row>
    <row r="48" spans="6:21" ht="13.5" thickTop="1">
      <c r="F48" s="18"/>
      <c r="G48" s="13"/>
      <c r="H48" s="156"/>
      <c r="I48" s="13"/>
      <c r="P48" s="18"/>
      <c r="Q48" s="17"/>
      <c r="R48" s="17"/>
      <c r="S48" s="17"/>
      <c r="T48" s="17"/>
      <c r="U48" s="17"/>
    </row>
    <row r="49" spans="2:21" ht="12.75">
      <c r="B49" t="s">
        <v>175</v>
      </c>
      <c r="F49" s="18" t="s">
        <v>58</v>
      </c>
      <c r="G49" s="13">
        <f>G36</f>
        <v>1615</v>
      </c>
      <c r="H49" s="159">
        <f>+MEDP</f>
        <v>3</v>
      </c>
      <c r="I49" s="13">
        <f>G49*H49</f>
        <v>4845</v>
      </c>
      <c r="L49" t="s">
        <v>175</v>
      </c>
      <c r="P49" s="18" t="s">
        <v>58</v>
      </c>
      <c r="Q49" s="75"/>
      <c r="R49" s="17"/>
      <c r="S49" s="75"/>
      <c r="T49" s="17"/>
      <c r="U49" s="75">
        <f>Q49*S49</f>
        <v>0</v>
      </c>
    </row>
    <row r="50" spans="2:21" ht="13.5" thickBot="1">
      <c r="B50" s="35" t="s">
        <v>314</v>
      </c>
      <c r="C50" s="6"/>
      <c r="D50" s="6"/>
      <c r="E50" s="6"/>
      <c r="F50" s="19"/>
      <c r="G50" s="14"/>
      <c r="H50" s="14"/>
      <c r="I50" s="41">
        <f>I47-I49</f>
        <v>16222.337350000002</v>
      </c>
      <c r="L50" s="35" t="s">
        <v>314</v>
      </c>
      <c r="M50" s="6"/>
      <c r="N50" s="6"/>
      <c r="O50" s="6"/>
      <c r="P50" s="19"/>
      <c r="Q50" s="75"/>
      <c r="R50" s="17"/>
      <c r="S50" s="75"/>
      <c r="T50" s="17"/>
      <c r="U50" s="76">
        <f>U47-U49</f>
        <v>0</v>
      </c>
    </row>
    <row r="51" spans="6:9" ht="13.5" thickTop="1">
      <c r="F51" s="18"/>
      <c r="G51" s="17"/>
      <c r="H51" s="17"/>
      <c r="I51" s="17"/>
    </row>
    <row r="52" ht="12.75">
      <c r="B52" s="28" t="s">
        <v>383</v>
      </c>
    </row>
    <row r="53" spans="7:10" ht="12.75">
      <c r="G53" s="4"/>
      <c r="H53" s="4"/>
      <c r="I53" s="4"/>
      <c r="J53" s="13"/>
    </row>
    <row r="55" spans="2:5" ht="12.75">
      <c r="B55" s="31"/>
      <c r="C55" s="31"/>
      <c r="D55" s="31"/>
      <c r="E55" s="31"/>
    </row>
    <row r="57" spans="2:10" ht="12.75">
      <c r="B57" s="60"/>
      <c r="C57" s="60"/>
      <c r="D57" s="60"/>
      <c r="E57" s="60"/>
      <c r="F57" s="60"/>
      <c r="G57" s="60"/>
      <c r="H57" s="60"/>
      <c r="I57" s="60"/>
      <c r="J57" s="61"/>
    </row>
    <row r="58" spans="2:10" ht="12.75">
      <c r="B58" s="175"/>
      <c r="C58" s="175"/>
      <c r="D58" s="175"/>
      <c r="E58" s="175"/>
      <c r="F58" s="175"/>
      <c r="G58" s="175"/>
      <c r="H58" s="175"/>
      <c r="I58" s="175"/>
      <c r="J58" s="175"/>
    </row>
    <row r="59" spans="2:10" ht="12.75">
      <c r="B59" s="175"/>
      <c r="C59" s="175"/>
      <c r="D59" s="175"/>
      <c r="E59" s="175"/>
      <c r="F59" s="175"/>
      <c r="G59" s="175"/>
      <c r="H59" s="175"/>
      <c r="I59" s="175"/>
      <c r="J59" s="175"/>
    </row>
  </sheetData>
  <sheetProtection/>
  <mergeCells count="7">
    <mergeCell ref="B58:J58"/>
    <mergeCell ref="B59:J59"/>
    <mergeCell ref="B12:J12"/>
    <mergeCell ref="B13:J13"/>
    <mergeCell ref="L14:U14"/>
    <mergeCell ref="C1:I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69"/>
  <sheetViews>
    <sheetView workbookViewId="0" topLeftCell="A37">
      <selection activeCell="F50" sqref="F50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10.00390625" style="0" customWidth="1"/>
    <col min="7" max="7" width="9.00390625" style="0" customWidth="1"/>
    <col min="8" max="8" width="1.7109375" style="0" customWidth="1"/>
    <col min="9" max="9" width="14.28125" style="0" customWidth="1"/>
    <col min="10" max="10" width="14.85156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2:8" ht="21">
      <c r="B1" s="186" t="s">
        <v>331</v>
      </c>
      <c r="C1" s="186"/>
      <c r="D1" s="186"/>
      <c r="E1" s="186"/>
      <c r="F1" s="186"/>
      <c r="G1" s="186"/>
      <c r="H1" s="186"/>
    </row>
    <row r="2" spans="2:16" ht="21">
      <c r="B2" s="183" t="s">
        <v>393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4" spans="2:10" ht="21">
      <c r="B4" s="145" t="s">
        <v>2</v>
      </c>
      <c r="C4" s="146"/>
      <c r="D4" s="146"/>
      <c r="E4" s="146"/>
      <c r="F4" s="146"/>
      <c r="G4" s="146"/>
      <c r="H4" s="146"/>
      <c r="I4" s="144"/>
      <c r="J4" s="27"/>
    </row>
    <row r="5" spans="2:10" ht="21">
      <c r="B5" s="145" t="s">
        <v>332</v>
      </c>
      <c r="C5" s="146"/>
      <c r="D5" s="146"/>
      <c r="E5" s="146"/>
      <c r="F5" s="146"/>
      <c r="G5" s="146"/>
      <c r="H5" s="146"/>
      <c r="I5" s="144"/>
      <c r="J5" s="27"/>
    </row>
    <row r="6" spans="2:10" ht="21">
      <c r="B6" s="146" t="s">
        <v>333</v>
      </c>
      <c r="C6" s="146"/>
      <c r="D6" s="146"/>
      <c r="E6" s="146"/>
      <c r="F6" s="146"/>
      <c r="G6" s="146"/>
      <c r="H6" s="146"/>
      <c r="I6" s="144"/>
      <c r="J6" s="27"/>
    </row>
    <row r="7" spans="2:10" ht="21">
      <c r="B7" s="146" t="s">
        <v>334</v>
      </c>
      <c r="C7" s="146"/>
      <c r="D7" s="146"/>
      <c r="E7" s="146"/>
      <c r="F7" s="146"/>
      <c r="G7" s="146"/>
      <c r="H7" s="146"/>
      <c r="I7" s="144"/>
      <c r="J7" s="27"/>
    </row>
    <row r="8" spans="2:10" ht="21">
      <c r="B8" s="33" t="s">
        <v>394</v>
      </c>
      <c r="C8" s="33"/>
      <c r="D8" s="33"/>
      <c r="E8" s="33"/>
      <c r="F8" s="33"/>
      <c r="G8" s="33"/>
      <c r="H8" s="33"/>
      <c r="I8" s="144"/>
      <c r="J8" s="27"/>
    </row>
    <row r="11" spans="10:11" ht="12.75">
      <c r="J11" s="83"/>
      <c r="K11" s="83"/>
    </row>
    <row r="12" spans="2:19" ht="15">
      <c r="B12" s="184" t="s">
        <v>346</v>
      </c>
      <c r="C12" s="184"/>
      <c r="D12" s="184"/>
      <c r="E12" s="184"/>
      <c r="F12" s="184"/>
      <c r="G12" s="184"/>
      <c r="H12" s="184"/>
      <c r="I12" s="184"/>
      <c r="J12" s="83"/>
      <c r="K12" s="83"/>
      <c r="L12" s="155"/>
      <c r="M12" s="155"/>
      <c r="N12" s="155"/>
      <c r="O12" s="155"/>
      <c r="P12" s="155"/>
      <c r="Q12" s="155"/>
      <c r="R12" s="155"/>
      <c r="S12" s="155"/>
    </row>
    <row r="13" spans="2:19" ht="15">
      <c r="B13" s="184" t="s">
        <v>385</v>
      </c>
      <c r="C13" s="184"/>
      <c r="D13" s="184"/>
      <c r="E13" s="184"/>
      <c r="F13" s="184"/>
      <c r="G13" s="184"/>
      <c r="H13" s="184"/>
      <c r="I13" s="184"/>
      <c r="J13" s="155"/>
      <c r="K13" s="91" t="s">
        <v>330</v>
      </c>
      <c r="L13" s="155"/>
      <c r="M13" s="162"/>
      <c r="N13" s="162"/>
      <c r="O13" s="162"/>
      <c r="P13" s="162"/>
      <c r="Q13" s="162"/>
      <c r="R13" s="155"/>
      <c r="S13" s="162"/>
    </row>
    <row r="14" spans="2:9" ht="15">
      <c r="B14" s="184"/>
      <c r="C14" s="185"/>
      <c r="D14" s="185"/>
      <c r="E14" s="185"/>
      <c r="F14" s="185"/>
      <c r="G14" s="185"/>
      <c r="H14" s="185"/>
      <c r="I14" s="185"/>
    </row>
    <row r="17" spans="2:19" ht="12.75">
      <c r="B17" s="84" t="s">
        <v>169</v>
      </c>
      <c r="C17" s="19"/>
      <c r="D17" s="19" t="s">
        <v>90</v>
      </c>
      <c r="E17" s="84" t="s">
        <v>279</v>
      </c>
      <c r="F17" s="84" t="s">
        <v>345</v>
      </c>
      <c r="G17" s="85" t="s">
        <v>216</v>
      </c>
      <c r="H17" s="85"/>
      <c r="I17" s="86" t="s">
        <v>307</v>
      </c>
      <c r="K17" s="84" t="s">
        <v>169</v>
      </c>
      <c r="L17" s="19"/>
      <c r="M17" s="19" t="s">
        <v>90</v>
      </c>
      <c r="N17" s="84" t="s">
        <v>279</v>
      </c>
      <c r="O17" s="84" t="s">
        <v>345</v>
      </c>
      <c r="P17" s="84"/>
      <c r="Q17" s="85" t="s">
        <v>216</v>
      </c>
      <c r="S17" s="86" t="s">
        <v>307</v>
      </c>
    </row>
    <row r="19" spans="2:11" ht="12.75">
      <c r="B19" s="6" t="s">
        <v>191</v>
      </c>
      <c r="K19" s="6" t="s">
        <v>191</v>
      </c>
    </row>
    <row r="20" spans="2:19" ht="12.75">
      <c r="B20" s="6" t="s">
        <v>130</v>
      </c>
      <c r="E20" s="9"/>
      <c r="F20" s="17"/>
      <c r="G20" s="13"/>
      <c r="H20" s="13"/>
      <c r="I20" s="17"/>
      <c r="K20" s="6" t="s">
        <v>130</v>
      </c>
      <c r="N20" s="9"/>
      <c r="O20" s="17"/>
      <c r="Q20" s="13"/>
      <c r="S20" s="17"/>
    </row>
    <row r="21" spans="2:19" ht="12.75">
      <c r="B21" t="s">
        <v>127</v>
      </c>
      <c r="D21" t="s">
        <v>297</v>
      </c>
      <c r="E21" s="18" t="s">
        <v>142</v>
      </c>
      <c r="F21" s="13">
        <v>85</v>
      </c>
      <c r="G21" s="159">
        <f>Yr2!H20</f>
        <v>0.84</v>
      </c>
      <c r="H21" s="13"/>
      <c r="I21" s="13">
        <f>F$21*G$21</f>
        <v>71.39999999999999</v>
      </c>
      <c r="K21" t="s">
        <v>127</v>
      </c>
      <c r="M21" t="s">
        <v>297</v>
      </c>
      <c r="N21" s="18" t="s">
        <v>142</v>
      </c>
      <c r="O21" s="75"/>
      <c r="Q21" s="75"/>
      <c r="S21" s="75">
        <f>O$21*Q$21</f>
        <v>0</v>
      </c>
    </row>
    <row r="22" spans="2:14" ht="12.75">
      <c r="B22" s="6" t="s">
        <v>288</v>
      </c>
      <c r="E22" s="18"/>
      <c r="F22" s="13"/>
      <c r="G22" s="159"/>
      <c r="H22" s="13"/>
      <c r="I22" s="13"/>
      <c r="K22" s="6" t="s">
        <v>288</v>
      </c>
      <c r="N22" s="18"/>
    </row>
    <row r="23" spans="2:19" ht="12.75">
      <c r="B23" t="s">
        <v>208</v>
      </c>
      <c r="D23" t="s">
        <v>75</v>
      </c>
      <c r="E23" s="18" t="s">
        <v>81</v>
      </c>
      <c r="F23" s="13">
        <v>3</v>
      </c>
      <c r="G23" s="159">
        <f>Yr2!H22</f>
        <v>38.3</v>
      </c>
      <c r="H23" s="13"/>
      <c r="I23" s="13">
        <f>F23*G23</f>
        <v>114.89999999999999</v>
      </c>
      <c r="K23" t="s">
        <v>208</v>
      </c>
      <c r="M23" t="s">
        <v>75</v>
      </c>
      <c r="N23" s="18" t="s">
        <v>81</v>
      </c>
      <c r="O23" s="75"/>
      <c r="Q23" s="75"/>
      <c r="S23" s="75">
        <f>O23*Q23</f>
        <v>0</v>
      </c>
    </row>
    <row r="24" spans="2:19" ht="12.75">
      <c r="B24" t="s">
        <v>206</v>
      </c>
      <c r="D24" t="s">
        <v>76</v>
      </c>
      <c r="E24" s="18" t="s">
        <v>81</v>
      </c>
      <c r="F24" s="13">
        <v>4</v>
      </c>
      <c r="G24" s="159">
        <f>Yr2!H23</f>
        <v>38.3</v>
      </c>
      <c r="H24" s="13"/>
      <c r="I24" s="13">
        <f>F24*G24</f>
        <v>153.2</v>
      </c>
      <c r="K24" t="s">
        <v>206</v>
      </c>
      <c r="M24" t="s">
        <v>76</v>
      </c>
      <c r="N24" s="18" t="s">
        <v>81</v>
      </c>
      <c r="O24" s="75"/>
      <c r="Q24" s="75"/>
      <c r="S24" s="75">
        <f>O24*Q24</f>
        <v>0</v>
      </c>
    </row>
    <row r="25" spans="2:19" ht="12.75">
      <c r="B25" s="28" t="s">
        <v>170</v>
      </c>
      <c r="D25" t="s">
        <v>78</v>
      </c>
      <c r="E25" s="18" t="s">
        <v>81</v>
      </c>
      <c r="F25" s="13">
        <v>6</v>
      </c>
      <c r="G25" s="159">
        <f>Yr2!H24</f>
        <v>13.67</v>
      </c>
      <c r="H25" s="13"/>
      <c r="I25" s="13">
        <f>F$25*G$25</f>
        <v>82.02</v>
      </c>
      <c r="K25" s="28" t="s">
        <v>347</v>
      </c>
      <c r="M25" t="s">
        <v>78</v>
      </c>
      <c r="N25" s="18" t="s">
        <v>81</v>
      </c>
      <c r="O25" s="75"/>
      <c r="Q25" s="75"/>
      <c r="S25" s="75">
        <f>O$25*Q$25</f>
        <v>0</v>
      </c>
    </row>
    <row r="26" spans="2:11" ht="12.75">
      <c r="B26" s="6" t="s">
        <v>156</v>
      </c>
      <c r="E26" s="18"/>
      <c r="F26" s="13"/>
      <c r="G26" s="159"/>
      <c r="H26" s="13"/>
      <c r="I26" s="13"/>
      <c r="K26" s="6" t="s">
        <v>156</v>
      </c>
    </row>
    <row r="27" spans="2:19" ht="12.75">
      <c r="B27" t="s">
        <v>139</v>
      </c>
      <c r="D27" t="s">
        <v>80</v>
      </c>
      <c r="E27" s="18" t="s">
        <v>81</v>
      </c>
      <c r="F27" s="13">
        <v>8</v>
      </c>
      <c r="G27" s="159">
        <f>Yr2!H26</f>
        <v>18</v>
      </c>
      <c r="H27" s="13"/>
      <c r="I27" s="13">
        <f aca="true" t="shared" si="0" ref="I27:I33">F27*G27</f>
        <v>144</v>
      </c>
      <c r="K27" t="s">
        <v>139</v>
      </c>
      <c r="M27" t="s">
        <v>80</v>
      </c>
      <c r="N27" s="18" t="s">
        <v>81</v>
      </c>
      <c r="O27" s="75"/>
      <c r="Q27" s="75"/>
      <c r="S27" s="75">
        <f aca="true" t="shared" si="1" ref="S27:S33">O27*Q27</f>
        <v>0</v>
      </c>
    </row>
    <row r="28" spans="2:19" ht="12.75">
      <c r="B28" t="s">
        <v>157</v>
      </c>
      <c r="D28" t="s">
        <v>78</v>
      </c>
      <c r="E28" s="18" t="s">
        <v>81</v>
      </c>
      <c r="F28" s="13">
        <v>4</v>
      </c>
      <c r="G28" s="159">
        <f>Yr2!H27</f>
        <v>14.79</v>
      </c>
      <c r="H28" s="13"/>
      <c r="I28" s="13">
        <f t="shared" si="0"/>
        <v>59.16</v>
      </c>
      <c r="K28" t="s">
        <v>157</v>
      </c>
      <c r="M28" t="s">
        <v>78</v>
      </c>
      <c r="N28" s="18" t="s">
        <v>81</v>
      </c>
      <c r="O28" s="75"/>
      <c r="Q28" s="75"/>
      <c r="S28" s="75">
        <f t="shared" si="1"/>
        <v>0</v>
      </c>
    </row>
    <row r="29" spans="2:19" ht="12.75">
      <c r="B29" t="s">
        <v>271</v>
      </c>
      <c r="D29" t="s">
        <v>73</v>
      </c>
      <c r="E29" s="18" t="s">
        <v>81</v>
      </c>
      <c r="F29" s="13">
        <v>14</v>
      </c>
      <c r="G29" s="159">
        <f>Yr2!H28</f>
        <v>13.67</v>
      </c>
      <c r="H29" s="13"/>
      <c r="I29" s="13">
        <f t="shared" si="0"/>
        <v>191.38</v>
      </c>
      <c r="K29" t="s">
        <v>271</v>
      </c>
      <c r="M29" t="s">
        <v>73</v>
      </c>
      <c r="N29" s="18" t="s">
        <v>81</v>
      </c>
      <c r="O29" s="75"/>
      <c r="Q29" s="75"/>
      <c r="S29" s="75">
        <f t="shared" si="1"/>
        <v>0</v>
      </c>
    </row>
    <row r="30" spans="2:19" ht="12.75">
      <c r="B30" t="s">
        <v>171</v>
      </c>
      <c r="D30" t="s">
        <v>73</v>
      </c>
      <c r="E30" s="18" t="s">
        <v>81</v>
      </c>
      <c r="F30" s="13">
        <v>12</v>
      </c>
      <c r="G30" s="159">
        <f>Yr2!H29</f>
        <v>13.67</v>
      </c>
      <c r="H30" s="13"/>
      <c r="I30" s="13">
        <f t="shared" si="0"/>
        <v>164.04</v>
      </c>
      <c r="K30" t="s">
        <v>171</v>
      </c>
      <c r="M30" t="s">
        <v>73</v>
      </c>
      <c r="N30" s="18" t="s">
        <v>81</v>
      </c>
      <c r="O30" s="75"/>
      <c r="Q30" s="75"/>
      <c r="S30" s="75">
        <f t="shared" si="1"/>
        <v>0</v>
      </c>
    </row>
    <row r="31" spans="2:19" ht="12.75">
      <c r="B31" s="28" t="s">
        <v>218</v>
      </c>
      <c r="D31" t="s">
        <v>72</v>
      </c>
      <c r="E31" s="42" t="s">
        <v>81</v>
      </c>
      <c r="F31" s="13">
        <v>1210</v>
      </c>
      <c r="G31" s="159">
        <f>Yr2!H30</f>
        <v>10.39</v>
      </c>
      <c r="H31" s="13"/>
      <c r="I31" s="13">
        <f t="shared" si="0"/>
        <v>12571.900000000001</v>
      </c>
      <c r="K31" s="28" t="s">
        <v>218</v>
      </c>
      <c r="M31" t="s">
        <v>72</v>
      </c>
      <c r="N31" s="42" t="s">
        <v>81</v>
      </c>
      <c r="O31" s="75"/>
      <c r="Q31" s="75"/>
      <c r="S31" s="75">
        <f t="shared" si="1"/>
        <v>0</v>
      </c>
    </row>
    <row r="32" spans="2:19" ht="12.75">
      <c r="B32" s="28" t="s">
        <v>167</v>
      </c>
      <c r="E32" s="18" t="s">
        <v>81</v>
      </c>
      <c r="F32" s="13">
        <v>1</v>
      </c>
      <c r="G32" s="159">
        <f>Drip!I48</f>
        <v>70</v>
      </c>
      <c r="H32" s="13"/>
      <c r="I32" s="13">
        <f t="shared" si="0"/>
        <v>70</v>
      </c>
      <c r="K32" s="28" t="s">
        <v>167</v>
      </c>
      <c r="N32" s="18" t="s">
        <v>81</v>
      </c>
      <c r="O32" s="75"/>
      <c r="Q32" s="75"/>
      <c r="S32" s="75">
        <f t="shared" si="1"/>
        <v>0</v>
      </c>
    </row>
    <row r="33" spans="2:19" ht="12.75">
      <c r="B33" s="28" t="s">
        <v>165</v>
      </c>
      <c r="E33" s="18" t="s">
        <v>58</v>
      </c>
      <c r="F33" s="13">
        <f>SUM(I21:I32)</f>
        <v>13622.000000000002</v>
      </c>
      <c r="G33" s="159">
        <v>0.075</v>
      </c>
      <c r="H33" s="13"/>
      <c r="I33" s="13">
        <f t="shared" si="0"/>
        <v>1021.6500000000001</v>
      </c>
      <c r="K33" s="28" t="s">
        <v>165</v>
      </c>
      <c r="N33" s="18" t="s">
        <v>58</v>
      </c>
      <c r="O33" s="75"/>
      <c r="Q33" s="75"/>
      <c r="S33" s="75">
        <f t="shared" si="1"/>
        <v>0</v>
      </c>
    </row>
    <row r="34" spans="2:19" ht="13.5" thickBot="1">
      <c r="B34" s="6" t="s">
        <v>264</v>
      </c>
      <c r="E34" s="42" t="s">
        <v>58</v>
      </c>
      <c r="F34" s="13"/>
      <c r="G34" s="156"/>
      <c r="H34" s="13"/>
      <c r="I34" s="41">
        <f>SUM(I21:I33)</f>
        <v>14643.650000000001</v>
      </c>
      <c r="K34" s="6" t="s">
        <v>264</v>
      </c>
      <c r="N34" s="42" t="s">
        <v>58</v>
      </c>
      <c r="O34" s="75"/>
      <c r="Q34" s="75"/>
      <c r="S34" s="76">
        <f>SUM(S21:S33)</f>
        <v>0</v>
      </c>
    </row>
    <row r="35" spans="5:14" ht="13.5" thickTop="1">
      <c r="E35" s="18"/>
      <c r="F35" s="13"/>
      <c r="G35" s="156"/>
      <c r="H35" s="13"/>
      <c r="I35" s="13"/>
      <c r="N35" s="18"/>
    </row>
    <row r="36" spans="2:14" ht="12.75">
      <c r="B36" s="6" t="s">
        <v>150</v>
      </c>
      <c r="E36" s="18"/>
      <c r="F36" s="13"/>
      <c r="G36" s="156"/>
      <c r="H36" s="13"/>
      <c r="I36" s="13"/>
      <c r="K36" s="6" t="s">
        <v>150</v>
      </c>
      <c r="N36" s="18"/>
    </row>
    <row r="37" spans="2:19" ht="12.75">
      <c r="B37" t="s">
        <v>149</v>
      </c>
      <c r="E37" s="18" t="s">
        <v>153</v>
      </c>
      <c r="F37" s="13">
        <f>4000*0.95</f>
        <v>3800</v>
      </c>
      <c r="G37" s="159">
        <v>1.05</v>
      </c>
      <c r="H37" s="13"/>
      <c r="I37" s="13">
        <f>F37*G37</f>
        <v>3990</v>
      </c>
      <c r="K37" t="s">
        <v>149</v>
      </c>
      <c r="N37" s="18" t="s">
        <v>153</v>
      </c>
      <c r="O37" s="75"/>
      <c r="Q37" s="75"/>
      <c r="S37" s="75">
        <f>O37*Q37</f>
        <v>0</v>
      </c>
    </row>
    <row r="38" spans="2:19" ht="12.75">
      <c r="B38" t="s">
        <v>109</v>
      </c>
      <c r="E38" s="18" t="s">
        <v>173</v>
      </c>
      <c r="F38" s="13">
        <f>4000*0.95</f>
        <v>3800</v>
      </c>
      <c r="G38" s="159">
        <v>0.987</v>
      </c>
      <c r="H38" s="13"/>
      <c r="I38" s="13">
        <f>F38*G38</f>
        <v>3750.6</v>
      </c>
      <c r="K38" t="s">
        <v>109</v>
      </c>
      <c r="N38" s="18" t="s">
        <v>173</v>
      </c>
      <c r="O38" s="75"/>
      <c r="Q38" s="75"/>
      <c r="S38" s="75">
        <f>O38*Q38</f>
        <v>0</v>
      </c>
    </row>
    <row r="39" spans="2:19" ht="12.75">
      <c r="B39" t="s">
        <v>105</v>
      </c>
      <c r="E39" s="18" t="s">
        <v>173</v>
      </c>
      <c r="F39" s="13">
        <f>4000*0.95</f>
        <v>3800</v>
      </c>
      <c r="G39" s="159">
        <v>0.157</v>
      </c>
      <c r="H39" s="13"/>
      <c r="I39" s="13">
        <f>F39*G39</f>
        <v>596.6</v>
      </c>
      <c r="K39" t="s">
        <v>105</v>
      </c>
      <c r="N39" s="18" t="s">
        <v>173</v>
      </c>
      <c r="O39" s="75"/>
      <c r="Q39" s="75"/>
      <c r="S39" s="75">
        <f>O39*Q39</f>
        <v>0</v>
      </c>
    </row>
    <row r="40" spans="2:19" ht="13.5" thickBot="1">
      <c r="B40" s="6" t="s">
        <v>259</v>
      </c>
      <c r="C40" s="6"/>
      <c r="D40" s="6"/>
      <c r="E40" s="19"/>
      <c r="F40" s="14"/>
      <c r="G40" s="161"/>
      <c r="H40" s="14"/>
      <c r="I40" s="41">
        <f>SUM(I37:I39)</f>
        <v>8337.2</v>
      </c>
      <c r="K40" s="6" t="s">
        <v>259</v>
      </c>
      <c r="L40" s="6"/>
      <c r="M40" s="6"/>
      <c r="N40" s="19"/>
      <c r="O40" s="75"/>
      <c r="Q40" s="75"/>
      <c r="S40" s="76">
        <f>SUM(S37:S39)</f>
        <v>0</v>
      </c>
    </row>
    <row r="41" spans="2:19" ht="14.25" thickBot="1" thickTop="1">
      <c r="B41" s="35" t="s">
        <v>325</v>
      </c>
      <c r="C41" s="6"/>
      <c r="D41" s="6"/>
      <c r="E41" s="18"/>
      <c r="F41" s="13"/>
      <c r="G41" s="159"/>
      <c r="H41" s="13"/>
      <c r="I41" s="44">
        <f>I34+I40</f>
        <v>22980.850000000002</v>
      </c>
      <c r="K41" s="35" t="s">
        <v>325</v>
      </c>
      <c r="L41" s="6"/>
      <c r="M41" s="6"/>
      <c r="N41" s="18"/>
      <c r="O41" s="75"/>
      <c r="Q41" s="75"/>
      <c r="S41" s="76">
        <f>S34+S40</f>
        <v>0</v>
      </c>
    </row>
    <row r="42" spans="5:14" ht="13.5" thickTop="1">
      <c r="E42" s="18"/>
      <c r="F42" s="13"/>
      <c r="G42" s="159"/>
      <c r="H42" s="13"/>
      <c r="I42" s="13"/>
      <c r="N42" s="18"/>
    </row>
    <row r="43" spans="2:14" ht="12.75">
      <c r="B43" s="6" t="s">
        <v>134</v>
      </c>
      <c r="E43" s="18"/>
      <c r="F43" s="13"/>
      <c r="G43" s="159"/>
      <c r="H43" s="13"/>
      <c r="I43" s="13"/>
      <c r="K43" s="6" t="s">
        <v>134</v>
      </c>
      <c r="N43" s="18"/>
    </row>
    <row r="44" spans="2:19" ht="12.75">
      <c r="B44" t="s">
        <v>274</v>
      </c>
      <c r="E44" s="18" t="s">
        <v>81</v>
      </c>
      <c r="F44" s="13">
        <v>1</v>
      </c>
      <c r="G44" s="159">
        <f>FxdCost!E40</f>
        <v>746.6715</v>
      </c>
      <c r="H44" s="13"/>
      <c r="I44" s="13">
        <f>F44*G44</f>
        <v>746.6715</v>
      </c>
      <c r="K44" t="s">
        <v>274</v>
      </c>
      <c r="N44" s="18" t="s">
        <v>81</v>
      </c>
      <c r="O44" s="75"/>
      <c r="Q44" s="75"/>
      <c r="S44" s="75">
        <f>O44*Q44</f>
        <v>0</v>
      </c>
    </row>
    <row r="45" spans="2:19" ht="12.75">
      <c r="B45" t="s">
        <v>195</v>
      </c>
      <c r="E45" s="18" t="s">
        <v>58</v>
      </c>
      <c r="F45" s="13">
        <f>I34</f>
        <v>14643.650000000001</v>
      </c>
      <c r="G45" s="159">
        <v>0.15</v>
      </c>
      <c r="H45" s="13"/>
      <c r="I45" s="13">
        <f>F45*G45</f>
        <v>2196.5475</v>
      </c>
      <c r="K45" t="s">
        <v>195</v>
      </c>
      <c r="N45" s="18" t="s">
        <v>58</v>
      </c>
      <c r="O45" s="75"/>
      <c r="Q45" s="75"/>
      <c r="S45" s="75">
        <f>O45*Q45</f>
        <v>0</v>
      </c>
    </row>
    <row r="46" spans="2:19" ht="12.75">
      <c r="B46" t="s">
        <v>167</v>
      </c>
      <c r="E46" s="18" t="s">
        <v>81</v>
      </c>
      <c r="F46" s="13">
        <v>1</v>
      </c>
      <c r="G46" s="159">
        <f>Drip!I36</f>
        <v>170.84</v>
      </c>
      <c r="H46" s="13"/>
      <c r="I46" s="13">
        <f>F46*G46</f>
        <v>170.84</v>
      </c>
      <c r="K46" t="s">
        <v>167</v>
      </c>
      <c r="N46" s="18" t="s">
        <v>81</v>
      </c>
      <c r="O46" s="75"/>
      <c r="Q46" s="75"/>
      <c r="S46" s="75">
        <f>O46*Q46</f>
        <v>0</v>
      </c>
    </row>
    <row r="47" spans="2:19" ht="13.5" thickBot="1">
      <c r="B47" s="6" t="s">
        <v>256</v>
      </c>
      <c r="E47" s="18"/>
      <c r="F47" s="13"/>
      <c r="G47" s="156"/>
      <c r="H47" s="13"/>
      <c r="I47" s="41">
        <f>SUM(I44:I46)</f>
        <v>3114.059</v>
      </c>
      <c r="K47" s="6" t="s">
        <v>256</v>
      </c>
      <c r="N47" s="18"/>
      <c r="O47" s="75"/>
      <c r="Q47" s="75"/>
      <c r="S47" s="76">
        <f>SUM(S44:S46)</f>
        <v>0</v>
      </c>
    </row>
    <row r="48" spans="5:14" ht="13.5" thickTop="1">
      <c r="E48" s="18"/>
      <c r="F48" s="17"/>
      <c r="G48" s="158"/>
      <c r="H48" s="17"/>
      <c r="N48" s="18"/>
    </row>
    <row r="49" spans="2:19" ht="13.5" thickBot="1">
      <c r="B49" s="6" t="s">
        <v>143</v>
      </c>
      <c r="C49" s="6"/>
      <c r="D49" s="6"/>
      <c r="E49" s="84" t="s">
        <v>58</v>
      </c>
      <c r="F49" s="20"/>
      <c r="G49" s="160"/>
      <c r="H49" s="20"/>
      <c r="I49" s="81">
        <f>I34+I40+I47</f>
        <v>26094.909000000003</v>
      </c>
      <c r="K49" s="6" t="s">
        <v>143</v>
      </c>
      <c r="L49" s="6"/>
      <c r="M49" s="6"/>
      <c r="N49" s="19"/>
      <c r="O49" s="75"/>
      <c r="Q49" s="75"/>
      <c r="S49" s="76">
        <f>S34+S40+S47</f>
        <v>0</v>
      </c>
    </row>
    <row r="50" spans="2:19" ht="14.25" thickBot="1" thickTop="1">
      <c r="B50" s="6" t="s">
        <v>257</v>
      </c>
      <c r="E50" s="174" t="s">
        <v>58</v>
      </c>
      <c r="F50" s="17">
        <f>F37</f>
        <v>3800</v>
      </c>
      <c r="G50" s="159">
        <f>+MEDP</f>
        <v>3</v>
      </c>
      <c r="H50" s="17"/>
      <c r="I50" s="81">
        <f>F50*G50</f>
        <v>11400</v>
      </c>
      <c r="K50" s="6" t="s">
        <v>257</v>
      </c>
      <c r="N50" s="18"/>
      <c r="O50" s="75"/>
      <c r="Q50" s="75"/>
      <c r="S50" s="76">
        <f>O50*Q50</f>
        <v>0</v>
      </c>
    </row>
    <row r="51" spans="2:19" ht="14.25" thickBot="1" thickTop="1">
      <c r="B51" s="35" t="s">
        <v>326</v>
      </c>
      <c r="E51" s="18"/>
      <c r="F51" s="17"/>
      <c r="G51" s="17"/>
      <c r="H51" s="17"/>
      <c r="I51" s="41">
        <f>I49-I50</f>
        <v>14694.909000000003</v>
      </c>
      <c r="K51" s="35" t="s">
        <v>326</v>
      </c>
      <c r="N51" s="18"/>
      <c r="O51" s="75"/>
      <c r="Q51" s="75"/>
      <c r="S51" s="76">
        <f>S49-S50</f>
        <v>0</v>
      </c>
    </row>
    <row r="52" ht="13.5" thickTop="1">
      <c r="E52" s="18"/>
    </row>
    <row r="53" ht="12.75">
      <c r="B53" t="s">
        <v>123</v>
      </c>
    </row>
    <row r="54" spans="2:9" ht="12.75">
      <c r="B54" s="121" t="s">
        <v>384</v>
      </c>
      <c r="C54" s="60"/>
      <c r="D54" s="60"/>
      <c r="E54" s="60"/>
      <c r="F54" s="60"/>
      <c r="G54" s="60"/>
      <c r="H54" s="68"/>
      <c r="I54" s="60"/>
    </row>
    <row r="55" spans="2:9" ht="12.75">
      <c r="B55" s="175"/>
      <c r="C55" s="175"/>
      <c r="D55" s="175"/>
      <c r="E55" s="175"/>
      <c r="F55" s="175"/>
      <c r="G55" s="175"/>
      <c r="H55" s="175"/>
      <c r="I55" s="175"/>
    </row>
    <row r="56" spans="2:9" ht="12.75">
      <c r="B56" s="175"/>
      <c r="C56" s="175"/>
      <c r="D56" s="175"/>
      <c r="E56" s="175"/>
      <c r="F56" s="175"/>
      <c r="G56" s="175"/>
      <c r="H56" s="175"/>
      <c r="I56" s="175"/>
    </row>
    <row r="57" spans="2:9" ht="12.75">
      <c r="B57" s="31"/>
      <c r="C57" s="31"/>
      <c r="D57" s="31"/>
      <c r="E57" s="32"/>
      <c r="F57" s="32"/>
      <c r="G57" s="31"/>
      <c r="H57" s="31"/>
      <c r="I57" s="31"/>
    </row>
    <row r="58" spans="2:9" ht="12.75">
      <c r="B58" s="32"/>
      <c r="C58" s="31"/>
      <c r="D58" s="31"/>
      <c r="E58" s="31"/>
      <c r="F58" s="33"/>
      <c r="G58" s="33"/>
      <c r="H58" s="33"/>
      <c r="I58" s="33"/>
    </row>
    <row r="59" spans="2:9" ht="12.75">
      <c r="B59" s="31"/>
      <c r="C59" s="31"/>
      <c r="D59" s="31"/>
      <c r="E59" s="31"/>
      <c r="F59" s="33"/>
      <c r="G59" s="33"/>
      <c r="H59" s="33"/>
      <c r="I59" s="33"/>
    </row>
    <row r="60" spans="2:9" ht="12.75">
      <c r="B60" s="31"/>
      <c r="C60" s="31"/>
      <c r="D60" s="31"/>
      <c r="E60" s="31"/>
      <c r="F60" s="33"/>
      <c r="G60" s="33"/>
      <c r="H60" s="33"/>
      <c r="I60" s="33"/>
    </row>
    <row r="61" spans="2:9" ht="12.75">
      <c r="B61" s="31"/>
      <c r="C61" s="31"/>
      <c r="D61" s="31"/>
      <c r="E61" s="31"/>
      <c r="F61" s="33"/>
      <c r="G61" s="33"/>
      <c r="H61" s="33"/>
      <c r="I61" s="33"/>
    </row>
    <row r="62" spans="2:9" ht="12.75">
      <c r="B62" s="31"/>
      <c r="C62" s="31"/>
      <c r="D62" s="31"/>
      <c r="E62" s="31"/>
      <c r="F62" s="33"/>
      <c r="G62" s="33"/>
      <c r="H62" s="33"/>
      <c r="I62" s="33"/>
    </row>
    <row r="63" spans="2:9" ht="12.75">
      <c r="B63" s="31"/>
      <c r="C63" s="31"/>
      <c r="D63" s="31"/>
      <c r="E63" s="31"/>
      <c r="F63" s="33"/>
      <c r="G63" s="33"/>
      <c r="H63" s="33"/>
      <c r="I63" s="33"/>
    </row>
    <row r="64" spans="2:9" ht="12.75">
      <c r="B64" s="31"/>
      <c r="C64" s="31"/>
      <c r="D64" s="31"/>
      <c r="E64" s="31"/>
      <c r="F64" s="33"/>
      <c r="G64" s="33"/>
      <c r="H64" s="33"/>
      <c r="I64" s="33"/>
    </row>
    <row r="65" spans="2:9" ht="12.75">
      <c r="B65" s="32"/>
      <c r="C65" s="31"/>
      <c r="D65" s="31"/>
      <c r="E65" s="31"/>
      <c r="F65" s="31"/>
      <c r="G65" s="33"/>
      <c r="H65" s="33"/>
      <c r="I65" s="34"/>
    </row>
    <row r="66" spans="2:9" ht="12.75">
      <c r="B66" s="31"/>
      <c r="C66" s="31"/>
      <c r="D66" s="31"/>
      <c r="E66" s="31"/>
      <c r="F66" s="31"/>
      <c r="G66" s="33"/>
      <c r="H66" s="33"/>
      <c r="I66" s="33"/>
    </row>
    <row r="67" spans="2:9" ht="12.75">
      <c r="B67" s="31"/>
      <c r="C67" s="31"/>
      <c r="D67" s="31"/>
      <c r="E67" s="31"/>
      <c r="F67" s="31"/>
      <c r="G67" s="33"/>
      <c r="H67" s="33"/>
      <c r="I67" s="33"/>
    </row>
    <row r="68" spans="2:9" ht="12.75">
      <c r="B68" s="31"/>
      <c r="C68" s="31"/>
      <c r="D68" s="31"/>
      <c r="E68" s="31"/>
      <c r="F68" s="31"/>
      <c r="G68" s="33"/>
      <c r="H68" s="33"/>
      <c r="I68" s="33"/>
    </row>
    <row r="69" spans="2:9" ht="12.75">
      <c r="B69" s="32"/>
      <c r="C69" s="31"/>
      <c r="D69" s="31"/>
      <c r="E69" s="31"/>
      <c r="F69" s="31"/>
      <c r="G69" s="33"/>
      <c r="H69" s="33"/>
      <c r="I69" s="34"/>
    </row>
  </sheetData>
  <sheetProtection/>
  <mergeCells count="7">
    <mergeCell ref="B13:I13"/>
    <mergeCell ref="B14:I14"/>
    <mergeCell ref="B55:I55"/>
    <mergeCell ref="B56:I56"/>
    <mergeCell ref="B12:I12"/>
    <mergeCell ref="B1:H1"/>
    <mergeCell ref="B2:P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P52"/>
  <sheetViews>
    <sheetView zoomScalePageLayoutView="0" workbookViewId="0" topLeftCell="B1">
      <selection activeCell="B4" sqref="B4:G7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6" max="6" width="13.57421875" style="0" customWidth="1"/>
    <col min="7" max="7" width="15.7109375" style="0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2:16" ht="21">
      <c r="B2" s="183" t="s">
        <v>393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4" spans="2:10" ht="21">
      <c r="B4" s="145" t="s">
        <v>332</v>
      </c>
      <c r="C4" s="146"/>
      <c r="D4" s="146"/>
      <c r="E4" s="146"/>
      <c r="F4" s="146"/>
      <c r="G4" s="146"/>
      <c r="H4" s="146"/>
      <c r="I4" s="144"/>
      <c r="J4" s="27"/>
    </row>
    <row r="5" spans="2:10" ht="21">
      <c r="B5" s="146" t="s">
        <v>333</v>
      </c>
      <c r="C5" s="146"/>
      <c r="D5" s="146"/>
      <c r="E5" s="146"/>
      <c r="F5" s="146"/>
      <c r="G5" s="146"/>
      <c r="H5" s="146"/>
      <c r="I5" s="144"/>
      <c r="J5" s="27"/>
    </row>
    <row r="6" spans="2:10" ht="21">
      <c r="B6" s="146" t="s">
        <v>334</v>
      </c>
      <c r="C6" s="146"/>
      <c r="D6" s="146"/>
      <c r="E6" s="146"/>
      <c r="F6" s="146"/>
      <c r="G6" s="146"/>
      <c r="H6" s="146"/>
      <c r="I6" s="144"/>
      <c r="J6" s="27"/>
    </row>
    <row r="7" spans="2:10" ht="21">
      <c r="B7" s="33" t="s">
        <v>394</v>
      </c>
      <c r="C7" s="33"/>
      <c r="D7" s="33"/>
      <c r="E7" s="33"/>
      <c r="F7" s="33"/>
      <c r="G7" s="33"/>
      <c r="H7" s="33"/>
      <c r="I7" s="144"/>
      <c r="J7" s="27"/>
    </row>
    <row r="10" spans="2:8" ht="15">
      <c r="B10" s="182" t="s">
        <v>348</v>
      </c>
      <c r="C10" s="182"/>
      <c r="D10" s="182"/>
      <c r="E10" s="182"/>
      <c r="F10" s="182"/>
      <c r="G10" s="182"/>
      <c r="H10" s="71"/>
    </row>
    <row r="11" spans="2:7" ht="15">
      <c r="B11" s="188"/>
      <c r="C11" s="188"/>
      <c r="D11" s="188"/>
      <c r="E11" s="188"/>
      <c r="F11" s="188"/>
      <c r="G11" s="188"/>
    </row>
    <row r="12" spans="2:8" ht="12.75">
      <c r="B12" s="31"/>
      <c r="C12" s="187"/>
      <c r="D12" s="187"/>
      <c r="E12" s="187"/>
      <c r="F12" s="187"/>
      <c r="G12" s="187"/>
      <c r="H12" s="187"/>
    </row>
    <row r="15" spans="2:7" ht="12.75">
      <c r="B15" s="73" t="s">
        <v>396</v>
      </c>
      <c r="C15" s="7" t="s">
        <v>279</v>
      </c>
      <c r="D15" s="7"/>
      <c r="E15" s="7" t="s">
        <v>225</v>
      </c>
      <c r="F15" s="7" t="s">
        <v>216</v>
      </c>
      <c r="G15" s="7" t="s">
        <v>85</v>
      </c>
    </row>
    <row r="16" spans="2:7" ht="12.75">
      <c r="B16" s="19" t="s">
        <v>214</v>
      </c>
      <c r="F16" s="17"/>
      <c r="G16" s="17"/>
    </row>
    <row r="17" spans="2:7" ht="12.75">
      <c r="B17" s="19" t="s">
        <v>289</v>
      </c>
      <c r="C17" s="15"/>
      <c r="D17" s="9"/>
      <c r="E17" s="9"/>
      <c r="F17" s="12"/>
      <c r="G17" s="12"/>
    </row>
    <row r="18" spans="2:7" ht="12.75">
      <c r="B18" s="18" t="s">
        <v>211</v>
      </c>
      <c r="C18" s="9" t="s">
        <v>153</v>
      </c>
      <c r="D18" s="9"/>
      <c r="E18" s="4">
        <v>0</v>
      </c>
      <c r="F18" s="4">
        <v>0</v>
      </c>
      <c r="G18" s="12">
        <f aca="true" t="shared" si="0" ref="G18:G24">E18*F18</f>
        <v>0</v>
      </c>
    </row>
    <row r="19" spans="2:7" ht="12.75">
      <c r="B19" s="18" t="s">
        <v>209</v>
      </c>
      <c r="C19" s="9" t="s">
        <v>223</v>
      </c>
      <c r="D19" s="9"/>
      <c r="E19" s="4">
        <v>0</v>
      </c>
      <c r="F19" s="4">
        <v>0</v>
      </c>
      <c r="G19" s="12">
        <f t="shared" si="0"/>
        <v>0</v>
      </c>
    </row>
    <row r="20" spans="2:7" ht="12.75">
      <c r="B20" s="18" t="s">
        <v>210</v>
      </c>
      <c r="C20" s="9" t="s">
        <v>223</v>
      </c>
      <c r="D20" s="9"/>
      <c r="E20" s="4">
        <v>0</v>
      </c>
      <c r="F20" s="4">
        <v>0</v>
      </c>
      <c r="G20" s="12">
        <f t="shared" si="0"/>
        <v>0</v>
      </c>
    </row>
    <row r="21" spans="2:7" ht="12.75">
      <c r="B21" s="18" t="s">
        <v>207</v>
      </c>
      <c r="C21" s="9" t="s">
        <v>142</v>
      </c>
      <c r="D21" s="9"/>
      <c r="E21" s="4">
        <v>0</v>
      </c>
      <c r="F21" s="4">
        <v>0</v>
      </c>
      <c r="G21" s="12">
        <f t="shared" si="0"/>
        <v>0</v>
      </c>
    </row>
    <row r="22" spans="2:7" ht="12.75">
      <c r="B22" s="18" t="s">
        <v>270</v>
      </c>
      <c r="C22" s="9" t="s">
        <v>152</v>
      </c>
      <c r="D22" s="9"/>
      <c r="E22" s="4">
        <v>0</v>
      </c>
      <c r="F22" s="4">
        <v>0</v>
      </c>
      <c r="G22" s="12">
        <f t="shared" si="0"/>
        <v>0</v>
      </c>
    </row>
    <row r="23" spans="2:7" ht="12.75">
      <c r="B23" s="18" t="s">
        <v>231</v>
      </c>
      <c r="C23" s="9" t="s">
        <v>142</v>
      </c>
      <c r="D23" s="9"/>
      <c r="E23" s="4">
        <v>0</v>
      </c>
      <c r="F23" s="4">
        <v>0</v>
      </c>
      <c r="G23" s="12">
        <f t="shared" si="0"/>
        <v>0</v>
      </c>
    </row>
    <row r="24" spans="2:7" ht="12.75">
      <c r="B24" s="18" t="s">
        <v>232</v>
      </c>
      <c r="C24" s="9" t="s">
        <v>142</v>
      </c>
      <c r="D24" s="9"/>
      <c r="E24" s="4">
        <v>0</v>
      </c>
      <c r="F24" s="4">
        <v>0</v>
      </c>
      <c r="G24" s="12">
        <f t="shared" si="0"/>
        <v>0</v>
      </c>
    </row>
    <row r="25" spans="2:7" ht="13.5" thickBot="1">
      <c r="B25" s="84" t="s">
        <v>249</v>
      </c>
      <c r="C25" s="9"/>
      <c r="D25" s="9"/>
      <c r="E25" s="4"/>
      <c r="F25" s="4"/>
      <c r="G25" s="163">
        <f>SUM(G18:G24)</f>
        <v>0</v>
      </c>
    </row>
    <row r="26" spans="2:7" ht="13.5" thickTop="1">
      <c r="B26" s="18"/>
      <c r="C26" s="9"/>
      <c r="D26" s="9"/>
      <c r="E26" s="4"/>
      <c r="F26" s="4"/>
      <c r="G26" s="12"/>
    </row>
    <row r="27" spans="2:7" ht="12.75">
      <c r="B27" s="19" t="s">
        <v>200</v>
      </c>
      <c r="C27" s="15"/>
      <c r="D27" s="9"/>
      <c r="E27" s="4"/>
      <c r="F27" s="4"/>
      <c r="G27" s="12"/>
    </row>
    <row r="28" spans="2:7" ht="12.75">
      <c r="B28" s="18" t="s">
        <v>158</v>
      </c>
      <c r="C28" s="9" t="s">
        <v>153</v>
      </c>
      <c r="D28" s="9"/>
      <c r="E28" s="4">
        <v>0</v>
      </c>
      <c r="F28" s="4">
        <v>0</v>
      </c>
      <c r="G28" s="12">
        <f aca="true" t="shared" si="1" ref="G28:G37">E28*F28</f>
        <v>0</v>
      </c>
    </row>
    <row r="29" spans="2:7" ht="12.75">
      <c r="B29" s="18" t="s">
        <v>187</v>
      </c>
      <c r="C29" s="9" t="s">
        <v>153</v>
      </c>
      <c r="D29" s="9"/>
      <c r="E29" s="4">
        <v>0</v>
      </c>
      <c r="F29" s="4">
        <v>0</v>
      </c>
      <c r="G29" s="12">
        <f t="shared" si="1"/>
        <v>0</v>
      </c>
    </row>
    <row r="30" spans="2:7" ht="12.75">
      <c r="B30" s="18" t="s">
        <v>140</v>
      </c>
      <c r="C30" s="9" t="s">
        <v>196</v>
      </c>
      <c r="D30" s="9"/>
      <c r="E30" s="4">
        <v>0</v>
      </c>
      <c r="F30" s="4">
        <v>0</v>
      </c>
      <c r="G30" s="12">
        <f t="shared" si="1"/>
        <v>0</v>
      </c>
    </row>
    <row r="31" spans="2:7" ht="12.75">
      <c r="B31" s="18" t="s">
        <v>201</v>
      </c>
      <c r="C31" s="9" t="s">
        <v>220</v>
      </c>
      <c r="D31" s="9"/>
      <c r="E31" s="4">
        <v>0</v>
      </c>
      <c r="F31" s="4">
        <v>0</v>
      </c>
      <c r="G31" s="12">
        <f t="shared" si="1"/>
        <v>0</v>
      </c>
    </row>
    <row r="32" spans="2:8" ht="12.75">
      <c r="B32" s="18" t="s">
        <v>174</v>
      </c>
      <c r="C32" s="9" t="s">
        <v>153</v>
      </c>
      <c r="D32" s="9"/>
      <c r="E32" s="4">
        <v>0</v>
      </c>
      <c r="F32" s="4">
        <v>0</v>
      </c>
      <c r="G32" s="12">
        <f t="shared" si="1"/>
        <v>0</v>
      </c>
      <c r="H32" s="13"/>
    </row>
    <row r="33" spans="2:8" ht="12.75">
      <c r="B33" s="18" t="s">
        <v>97</v>
      </c>
      <c r="C33" s="9" t="s">
        <v>153</v>
      </c>
      <c r="D33" s="9"/>
      <c r="E33" s="4">
        <v>0</v>
      </c>
      <c r="F33" s="4">
        <v>0</v>
      </c>
      <c r="G33" s="12">
        <f t="shared" si="1"/>
        <v>0</v>
      </c>
      <c r="H33" s="13"/>
    </row>
    <row r="34" spans="2:8" ht="12.75">
      <c r="B34" s="18" t="s">
        <v>230</v>
      </c>
      <c r="C34" s="9" t="s">
        <v>135</v>
      </c>
      <c r="D34" s="9"/>
      <c r="E34" s="4">
        <v>0</v>
      </c>
      <c r="F34" s="4">
        <v>0</v>
      </c>
      <c r="G34" s="12">
        <f t="shared" si="1"/>
        <v>0</v>
      </c>
      <c r="H34" s="13"/>
    </row>
    <row r="35" spans="2:8" ht="12.75">
      <c r="B35" s="18" t="s">
        <v>193</v>
      </c>
      <c r="C35" s="9" t="s">
        <v>91</v>
      </c>
      <c r="D35" s="9"/>
      <c r="E35" s="4">
        <v>0</v>
      </c>
      <c r="F35" s="4">
        <v>0</v>
      </c>
      <c r="G35" s="12">
        <f t="shared" si="1"/>
        <v>0</v>
      </c>
      <c r="H35" s="13"/>
    </row>
    <row r="36" spans="2:8" ht="12.75">
      <c r="B36" s="18" t="s">
        <v>193</v>
      </c>
      <c r="C36" s="9" t="s">
        <v>91</v>
      </c>
      <c r="D36" s="9"/>
      <c r="E36" s="4">
        <v>0</v>
      </c>
      <c r="F36" s="4">
        <v>0</v>
      </c>
      <c r="G36" s="12">
        <f t="shared" si="1"/>
        <v>0</v>
      </c>
      <c r="H36" s="13"/>
    </row>
    <row r="37" spans="2:8" ht="12.75">
      <c r="B37" s="18" t="s">
        <v>193</v>
      </c>
      <c r="C37" s="9" t="s">
        <v>91</v>
      </c>
      <c r="D37" s="9"/>
      <c r="E37" s="4">
        <v>0</v>
      </c>
      <c r="F37" s="4">
        <v>0</v>
      </c>
      <c r="G37" s="12">
        <f t="shared" si="1"/>
        <v>0</v>
      </c>
      <c r="H37" s="13"/>
    </row>
    <row r="38" spans="2:8" ht="13.5" thickBot="1">
      <c r="B38" s="84" t="s">
        <v>249</v>
      </c>
      <c r="C38" s="9"/>
      <c r="D38" s="9"/>
      <c r="E38" s="4"/>
      <c r="F38" s="4"/>
      <c r="G38" s="163">
        <f>SUM(G28:G37)</f>
        <v>0</v>
      </c>
      <c r="H38" s="13"/>
    </row>
    <row r="39" spans="2:8" ht="13.5" thickTop="1">
      <c r="B39" s="18"/>
      <c r="C39" s="9"/>
      <c r="D39" s="9"/>
      <c r="E39" s="4"/>
      <c r="F39" s="4"/>
      <c r="G39" s="12"/>
      <c r="H39" s="13"/>
    </row>
    <row r="40" spans="2:8" ht="12.75">
      <c r="B40" s="18" t="s">
        <v>122</v>
      </c>
      <c r="C40" s="9" t="s">
        <v>153</v>
      </c>
      <c r="D40" s="9"/>
      <c r="E40" s="4">
        <v>0</v>
      </c>
      <c r="F40" s="4">
        <v>0</v>
      </c>
      <c r="G40" s="12">
        <f>E40*F40</f>
        <v>0</v>
      </c>
      <c r="H40" s="13"/>
    </row>
    <row r="41" spans="2:7" ht="12.75">
      <c r="B41" s="18" t="s">
        <v>205</v>
      </c>
      <c r="C41" s="9" t="s">
        <v>153</v>
      </c>
      <c r="D41" s="9"/>
      <c r="E41" s="4">
        <v>0</v>
      </c>
      <c r="F41" s="4">
        <v>0</v>
      </c>
      <c r="G41" s="12">
        <f>E41*F41</f>
        <v>0</v>
      </c>
    </row>
    <row r="42" spans="2:7" ht="12.75">
      <c r="B42" s="18" t="s">
        <v>272</v>
      </c>
      <c r="C42" s="9" t="s">
        <v>152</v>
      </c>
      <c r="D42" s="9"/>
      <c r="E42" s="4">
        <v>0</v>
      </c>
      <c r="F42" s="4">
        <v>0</v>
      </c>
      <c r="G42" s="12">
        <f>E42*F42</f>
        <v>0</v>
      </c>
    </row>
    <row r="43" spans="2:7" ht="12.75">
      <c r="B43" s="18"/>
      <c r="C43" s="9"/>
      <c r="D43" s="9"/>
      <c r="E43" s="4"/>
      <c r="F43" s="4"/>
      <c r="G43" s="164"/>
    </row>
    <row r="44" spans="2:7" ht="12.75">
      <c r="B44" s="18"/>
      <c r="C44" s="9"/>
      <c r="D44" s="9"/>
      <c r="E44" s="4"/>
      <c r="F44" s="4"/>
      <c r="G44" s="12"/>
    </row>
    <row r="45" spans="2:7" ht="13.5" thickBot="1">
      <c r="B45" s="82" t="s">
        <v>249</v>
      </c>
      <c r="C45" s="9"/>
      <c r="D45" s="9"/>
      <c r="E45" s="4"/>
      <c r="F45" s="4"/>
      <c r="G45" s="163">
        <f>G25+G38+G43</f>
        <v>0</v>
      </c>
    </row>
    <row r="46" spans="3:7" ht="13.5" thickTop="1">
      <c r="C46" s="9"/>
      <c r="D46" s="9"/>
      <c r="E46" s="9"/>
      <c r="F46" s="9"/>
      <c r="G46" s="12"/>
    </row>
    <row r="47" spans="3:7" ht="12.75">
      <c r="C47" s="9"/>
      <c r="D47" s="9"/>
      <c r="E47" s="9"/>
      <c r="F47" s="9"/>
      <c r="G47" s="9"/>
    </row>
    <row r="50" spans="2:8" ht="12.75">
      <c r="B50" s="60"/>
      <c r="C50" s="60"/>
      <c r="D50" s="60"/>
      <c r="E50" s="60"/>
      <c r="F50" s="60"/>
      <c r="G50" s="60"/>
      <c r="H50" s="60"/>
    </row>
    <row r="51" spans="2:8" ht="12.75">
      <c r="B51" s="175"/>
      <c r="C51" s="175"/>
      <c r="D51" s="175"/>
      <c r="E51" s="175"/>
      <c r="F51" s="175"/>
      <c r="G51" s="175"/>
      <c r="H51" s="175"/>
    </row>
    <row r="52" spans="1:8" ht="12.75">
      <c r="A52" t="s">
        <v>69</v>
      </c>
      <c r="B52" s="175"/>
      <c r="C52" s="175"/>
      <c r="D52" s="175"/>
      <c r="E52" s="175"/>
      <c r="F52" s="175"/>
      <c r="G52" s="175"/>
      <c r="H52" s="175"/>
    </row>
  </sheetData>
  <sheetProtection/>
  <mergeCells count="7">
    <mergeCell ref="C12:H12"/>
    <mergeCell ref="B51:H51"/>
    <mergeCell ref="B52:H52"/>
    <mergeCell ref="B10:G10"/>
    <mergeCell ref="B11:G11"/>
    <mergeCell ref="B1:H1"/>
    <mergeCell ref="B2:P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O69"/>
  <sheetViews>
    <sheetView zoomScalePageLayoutView="0" workbookViewId="0" topLeftCell="A32">
      <selection activeCell="N22" sqref="N22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3:9" ht="21">
      <c r="C2" s="181" t="s">
        <v>331</v>
      </c>
      <c r="D2" s="181"/>
      <c r="E2" s="181"/>
      <c r="F2" s="181"/>
      <c r="G2" s="181"/>
      <c r="H2" s="181"/>
      <c r="I2" s="181"/>
    </row>
    <row r="3" spans="1:15" ht="21">
      <c r="A3" s="183" t="s">
        <v>393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5" spans="2:7" ht="12.75">
      <c r="B5" s="145" t="s">
        <v>332</v>
      </c>
      <c r="C5" s="146"/>
      <c r="D5" s="146"/>
      <c r="E5" s="146"/>
      <c r="F5" s="146"/>
      <c r="G5" s="146"/>
    </row>
    <row r="6" spans="2:7" ht="12.75">
      <c r="B6" s="146" t="s">
        <v>333</v>
      </c>
      <c r="C6" s="146"/>
      <c r="D6" s="146"/>
      <c r="E6" s="146"/>
      <c r="F6" s="146"/>
      <c r="G6" s="146"/>
    </row>
    <row r="7" spans="2:7" ht="12.75">
      <c r="B7" s="146" t="s">
        <v>334</v>
      </c>
      <c r="C7" s="146"/>
      <c r="D7" s="146"/>
      <c r="E7" s="146"/>
      <c r="F7" s="146"/>
      <c r="G7" s="146"/>
    </row>
    <row r="8" spans="2:7" ht="12.75">
      <c r="B8" s="33" t="s">
        <v>394</v>
      </c>
      <c r="C8" s="33"/>
      <c r="D8" s="33"/>
      <c r="E8" s="33"/>
      <c r="F8" s="33"/>
      <c r="G8" s="33"/>
    </row>
    <row r="13" spans="2:11" ht="15">
      <c r="B13" s="190" t="s">
        <v>354</v>
      </c>
      <c r="C13" s="190"/>
      <c r="D13" s="190"/>
      <c r="E13" s="190"/>
      <c r="F13" s="190"/>
      <c r="G13" s="190"/>
      <c r="H13" s="190"/>
      <c r="I13" s="190"/>
      <c r="J13" s="190"/>
      <c r="K13" s="190"/>
    </row>
    <row r="14" spans="2:11" ht="15"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4:11" ht="12.75">
      <c r="D15" s="4"/>
      <c r="E15" s="4"/>
      <c r="F15" s="74" t="s">
        <v>132</v>
      </c>
      <c r="G15" s="4"/>
      <c r="H15" s="4"/>
      <c r="I15" s="4"/>
      <c r="J15" s="4"/>
      <c r="K15" s="4"/>
    </row>
    <row r="16" spans="2:11" ht="12.75">
      <c r="B16" s="189" t="s">
        <v>54</v>
      </c>
      <c r="C16" s="35"/>
      <c r="D16" s="73" t="s">
        <v>118</v>
      </c>
      <c r="E16" s="73" t="s">
        <v>132</v>
      </c>
      <c r="F16" s="74" t="s">
        <v>116</v>
      </c>
      <c r="G16" s="73" t="s">
        <v>82</v>
      </c>
      <c r="H16" s="73" t="s">
        <v>189</v>
      </c>
      <c r="I16" s="73" t="s">
        <v>137</v>
      </c>
      <c r="J16" s="73" t="s">
        <v>177</v>
      </c>
      <c r="K16" s="73" t="s">
        <v>170</v>
      </c>
    </row>
    <row r="17" spans="2:11" ht="12.75">
      <c r="B17" s="189"/>
      <c r="C17" s="35"/>
      <c r="D17" s="73" t="s">
        <v>291</v>
      </c>
      <c r="E17" s="73" t="s">
        <v>239</v>
      </c>
      <c r="F17" s="74" t="s">
        <v>60</v>
      </c>
      <c r="G17" s="73" t="s">
        <v>197</v>
      </c>
      <c r="H17" s="73" t="s">
        <v>247</v>
      </c>
      <c r="I17" s="73" t="s">
        <v>280</v>
      </c>
      <c r="J17" s="73" t="s">
        <v>226</v>
      </c>
      <c r="K17" s="73" t="s">
        <v>280</v>
      </c>
    </row>
    <row r="18" spans="2:11" ht="12.75">
      <c r="B18" s="189"/>
      <c r="C18" s="35"/>
      <c r="D18" s="73" t="s">
        <v>62</v>
      </c>
      <c r="E18" s="73" t="s">
        <v>65</v>
      </c>
      <c r="F18" s="4"/>
      <c r="G18" s="73" t="s">
        <v>151</v>
      </c>
      <c r="H18" s="73" t="s">
        <v>194</v>
      </c>
      <c r="I18" s="73" t="s">
        <v>63</v>
      </c>
      <c r="J18" s="73" t="s">
        <v>61</v>
      </c>
      <c r="K18" s="73" t="s">
        <v>64</v>
      </c>
    </row>
    <row r="19" spans="4:11" ht="12.75">
      <c r="D19" s="4"/>
      <c r="E19" s="4"/>
      <c r="G19" s="4"/>
      <c r="H19" s="4"/>
      <c r="I19" s="4"/>
      <c r="J19" s="4"/>
      <c r="K19" s="4"/>
    </row>
    <row r="20" spans="2:11" ht="12.75">
      <c r="B20" s="19" t="s">
        <v>212</v>
      </c>
      <c r="C20" s="18"/>
      <c r="D20" s="4"/>
      <c r="E20" s="4"/>
      <c r="F20" s="4"/>
      <c r="G20" s="4"/>
      <c r="H20" s="4"/>
      <c r="I20" s="4"/>
      <c r="J20" s="4"/>
      <c r="K20" s="4"/>
    </row>
    <row r="21" spans="2:11" ht="12.75">
      <c r="B21" s="42" t="s">
        <v>240</v>
      </c>
      <c r="C21" s="18"/>
      <c r="D21" s="4"/>
      <c r="E21" s="4"/>
      <c r="F21" s="4"/>
      <c r="G21" s="4" t="s">
        <v>0</v>
      </c>
      <c r="H21" s="8" t="s">
        <v>0</v>
      </c>
      <c r="I21" s="4"/>
      <c r="J21" s="4" t="s">
        <v>0</v>
      </c>
      <c r="K21" s="4" t="s">
        <v>0</v>
      </c>
    </row>
    <row r="22" spans="2:11" ht="12.75">
      <c r="B22" s="42" t="s">
        <v>349</v>
      </c>
      <c r="C22" s="18"/>
      <c r="D22" s="4">
        <v>20</v>
      </c>
      <c r="E22" s="4">
        <v>3</v>
      </c>
      <c r="F22" s="8">
        <v>70</v>
      </c>
      <c r="G22" s="4">
        <f>(D22*E22*(F22/100))/8.25</f>
        <v>5.090909090909091</v>
      </c>
      <c r="H22" s="8">
        <v>2</v>
      </c>
      <c r="I22" s="4">
        <f>(H22*(1/G22))*0.05*75</f>
        <v>1.4732142857142856</v>
      </c>
      <c r="J22" s="4">
        <f>(F52+F43)*(1/G22*H22)</f>
        <v>1.7188285714285712</v>
      </c>
      <c r="K22" s="4">
        <f>H22*(1/G22)*1.2</f>
        <v>0.4714285714285714</v>
      </c>
    </row>
    <row r="23" spans="2:11" ht="12.75">
      <c r="B23" s="42" t="s">
        <v>84</v>
      </c>
      <c r="C23" s="18"/>
      <c r="D23" s="4">
        <v>40</v>
      </c>
      <c r="E23" s="4">
        <v>2.5</v>
      </c>
      <c r="F23" s="8">
        <v>65</v>
      </c>
      <c r="G23" s="4">
        <f>(D23*E23*(F23/100))/8.25</f>
        <v>7.878787878787879</v>
      </c>
      <c r="H23" s="8">
        <v>12</v>
      </c>
      <c r="I23" s="4">
        <f>(H23*(1/G23))*0.05*325</f>
        <v>24.75</v>
      </c>
      <c r="J23" s="4">
        <f>(F53+F44)*(1/G23*H23)</f>
        <v>35.434384615384616</v>
      </c>
      <c r="K23" s="4">
        <f>H23*(1/G23)*1.2</f>
        <v>1.8276923076923075</v>
      </c>
    </row>
    <row r="24" spans="2:11" ht="12.75">
      <c r="B24" s="42" t="s">
        <v>350</v>
      </c>
      <c r="C24" s="18"/>
      <c r="D24" s="4">
        <v>15</v>
      </c>
      <c r="E24" s="4">
        <v>6</v>
      </c>
      <c r="F24" s="8">
        <v>95</v>
      </c>
      <c r="G24" s="4">
        <f>(D24*E24*(F24/100))/8.25</f>
        <v>10.363636363636363</v>
      </c>
      <c r="H24" s="8">
        <v>10</v>
      </c>
      <c r="I24" s="4">
        <f>(H24*(1/G24))*0.05*125</f>
        <v>6.030701754385967</v>
      </c>
      <c r="J24" s="4">
        <f>(F53+F45)*(1/G24*H24)</f>
        <v>4.144298245614036</v>
      </c>
      <c r="K24" s="4">
        <f>H24*(1/G24)*1.2</f>
        <v>1.1578947368421053</v>
      </c>
    </row>
    <row r="25" spans="2:3" ht="12.75">
      <c r="B25" s="18"/>
      <c r="C25" s="18"/>
    </row>
    <row r="26" spans="2:11" ht="12.75">
      <c r="B26" s="85" t="s">
        <v>265</v>
      </c>
      <c r="C26" s="18"/>
      <c r="D26" s="4"/>
      <c r="F26" s="4"/>
      <c r="G26" s="4"/>
      <c r="H26" s="4"/>
      <c r="I26" s="7">
        <f>SUM(I22:I25)</f>
        <v>32.25391604010025</v>
      </c>
      <c r="J26" s="7">
        <f>SUM(J22:J25)</f>
        <v>41.29751143242723</v>
      </c>
      <c r="K26" s="7">
        <f>SUM(K22:K25)</f>
        <v>3.4570156159629843</v>
      </c>
    </row>
    <row r="27" spans="2:11" ht="12.75">
      <c r="B27" s="22"/>
      <c r="C27" s="18"/>
      <c r="D27" s="4"/>
      <c r="E27" s="4"/>
      <c r="F27" s="4"/>
      <c r="G27" s="4"/>
      <c r="H27" s="4"/>
      <c r="I27" s="4"/>
      <c r="J27" s="4"/>
      <c r="K27" s="4"/>
    </row>
    <row r="28" spans="2:11" ht="12.75">
      <c r="B28" s="82" t="s">
        <v>147</v>
      </c>
      <c r="C28" s="18"/>
      <c r="D28" s="4"/>
      <c r="E28" s="4"/>
      <c r="F28" s="4"/>
      <c r="G28" s="4"/>
      <c r="H28" s="4"/>
      <c r="I28" s="4"/>
      <c r="J28" s="4"/>
      <c r="K28" s="4"/>
    </row>
    <row r="29" spans="2:11" ht="12.75">
      <c r="B29" s="87" t="s">
        <v>351</v>
      </c>
      <c r="C29" s="18"/>
      <c r="D29" s="8">
        <v>40</v>
      </c>
      <c r="E29" s="4">
        <v>1</v>
      </c>
      <c r="F29" s="8">
        <v>90</v>
      </c>
      <c r="G29" s="4">
        <f>(D29*E29*(F29/100))/8.25</f>
        <v>4.363636363636363</v>
      </c>
      <c r="H29" s="8">
        <v>3</v>
      </c>
      <c r="I29" s="4">
        <f>(H29*(1/G29))*0.05*90</f>
        <v>3.0937500000000004</v>
      </c>
      <c r="J29" s="4">
        <f>(H71+F54)*(1/G29*H29)</f>
        <v>5.5</v>
      </c>
      <c r="K29" s="4">
        <f>H29*(1/G29)*1.2</f>
        <v>0.825</v>
      </c>
    </row>
    <row r="30" spans="2:11" ht="12.75">
      <c r="B30" s="42" t="s">
        <v>352</v>
      </c>
      <c r="C30" s="18"/>
      <c r="D30" s="9">
        <v>10</v>
      </c>
      <c r="E30" s="4">
        <v>3</v>
      </c>
      <c r="F30" s="9">
        <v>90</v>
      </c>
      <c r="G30" s="4">
        <f>(D30*E30*(F30/100))/8.25</f>
        <v>3.272727272727273</v>
      </c>
      <c r="H30" s="8">
        <v>3</v>
      </c>
      <c r="I30" s="4">
        <f>(H30*(1/G30))*0.05*75</f>
        <v>3.4374999999999996</v>
      </c>
      <c r="J30" s="4">
        <f>(F48+F52)*(1/G30*H30)</f>
        <v>9.366224999999998</v>
      </c>
      <c r="K30" s="4">
        <f>H30*(1/G30)*1.2</f>
        <v>1.0999999999999999</v>
      </c>
    </row>
    <row r="31" spans="2:11" ht="12.75">
      <c r="B31" s="42" t="s">
        <v>147</v>
      </c>
      <c r="C31" s="18"/>
      <c r="D31" s="9">
        <v>10</v>
      </c>
      <c r="E31" s="4">
        <v>2</v>
      </c>
      <c r="F31" s="9">
        <v>80</v>
      </c>
      <c r="G31" s="4">
        <v>7</v>
      </c>
      <c r="H31" s="8">
        <v>3</v>
      </c>
      <c r="I31" s="4">
        <f>(H31*(1/G31))*0.05*125</f>
        <v>2.6785714285714284</v>
      </c>
      <c r="J31" s="4">
        <f>(F49+F53)*(1/G31*H31)</f>
        <v>4.894285714285714</v>
      </c>
      <c r="K31" s="4">
        <f>H31*(1/G31)*1.2</f>
        <v>0.5142857142857142</v>
      </c>
    </row>
    <row r="32" spans="2:11" ht="12.75">
      <c r="B32" s="42" t="s">
        <v>353</v>
      </c>
      <c r="C32" s="18"/>
      <c r="H32" s="8"/>
      <c r="I32" s="4">
        <v>5</v>
      </c>
      <c r="J32" s="4">
        <v>0.5</v>
      </c>
      <c r="K32" s="4">
        <v>1</v>
      </c>
    </row>
    <row r="33" spans="2:11" ht="12.75">
      <c r="B33" s="85" t="s">
        <v>258</v>
      </c>
      <c r="C33" s="18"/>
      <c r="I33" s="7">
        <f>SUM(I29:I32)</f>
        <v>14.209821428571429</v>
      </c>
      <c r="J33" s="7">
        <f>SUM(J29:J32)</f>
        <v>20.26051071428571</v>
      </c>
      <c r="K33" s="7">
        <f>SUM(K29:K32)</f>
        <v>3.439285714285714</v>
      </c>
    </row>
    <row r="40" spans="2:7" ht="12.75">
      <c r="B40" s="22"/>
      <c r="C40" s="22"/>
      <c r="D40" s="22" t="s">
        <v>107</v>
      </c>
      <c r="E40" s="22"/>
      <c r="F40" s="22" t="s">
        <v>233</v>
      </c>
      <c r="G40" s="22" t="s">
        <v>138</v>
      </c>
    </row>
    <row r="41" spans="2:7" ht="12.75">
      <c r="B41" s="22"/>
      <c r="C41" s="22"/>
      <c r="D41" s="22"/>
      <c r="E41" s="22"/>
      <c r="F41" s="22"/>
      <c r="G41" s="22"/>
    </row>
    <row r="42" spans="2:7" ht="12.75">
      <c r="B42" s="22" t="s">
        <v>113</v>
      </c>
      <c r="C42" s="23"/>
      <c r="D42" s="23">
        <v>600</v>
      </c>
      <c r="E42" s="13">
        <v>0.33</v>
      </c>
      <c r="F42" s="13">
        <f aca="true" t="shared" si="0" ref="F42:F54">D42/1000*E42</f>
        <v>0.198</v>
      </c>
      <c r="G42" s="13">
        <f aca="true" t="shared" si="1" ref="G42:G53">C42*0.05</f>
        <v>0</v>
      </c>
    </row>
    <row r="43" spans="2:7" ht="12.75">
      <c r="B43" s="22" t="s">
        <v>240</v>
      </c>
      <c r="C43" s="23">
        <v>200</v>
      </c>
      <c r="D43" s="23">
        <v>400</v>
      </c>
      <c r="E43" s="13">
        <v>0.75</v>
      </c>
      <c r="F43" s="13">
        <f t="shared" si="0"/>
        <v>0.30000000000000004</v>
      </c>
      <c r="G43" s="13">
        <f t="shared" si="1"/>
        <v>10</v>
      </c>
    </row>
    <row r="44" spans="2:7" ht="12.75">
      <c r="B44" s="22" t="s">
        <v>84</v>
      </c>
      <c r="C44" s="23"/>
      <c r="D44" s="23">
        <v>56700</v>
      </c>
      <c r="E44" s="13">
        <v>0.35000000000000003</v>
      </c>
      <c r="F44" s="13">
        <f t="shared" si="0"/>
        <v>19.845000000000002</v>
      </c>
      <c r="G44" s="13">
        <f t="shared" si="1"/>
        <v>0</v>
      </c>
    </row>
    <row r="45" spans="2:7" ht="12.75">
      <c r="B45" s="22" t="s">
        <v>186</v>
      </c>
      <c r="C45" s="23"/>
      <c r="D45" s="23">
        <v>3500</v>
      </c>
      <c r="E45" s="13">
        <v>0.25</v>
      </c>
      <c r="F45" s="13">
        <f t="shared" si="0"/>
        <v>0.875</v>
      </c>
      <c r="G45" s="13">
        <f t="shared" si="1"/>
        <v>0</v>
      </c>
    </row>
    <row r="46" spans="1:7" ht="12.75">
      <c r="A46" t="s">
        <v>69</v>
      </c>
      <c r="B46" s="18" t="s">
        <v>235</v>
      </c>
      <c r="C46" s="23">
        <v>90</v>
      </c>
      <c r="D46" s="23">
        <v>95000</v>
      </c>
      <c r="E46" s="17">
        <v>0.6</v>
      </c>
      <c r="F46" s="13">
        <f t="shared" si="0"/>
        <v>57</v>
      </c>
      <c r="G46" s="13">
        <f t="shared" si="1"/>
        <v>4.5</v>
      </c>
    </row>
    <row r="47" spans="2:7" ht="12.75">
      <c r="B47" s="18"/>
      <c r="C47" s="23"/>
      <c r="D47" s="17"/>
      <c r="E47" s="17"/>
      <c r="F47" s="13">
        <f t="shared" si="0"/>
        <v>0</v>
      </c>
      <c r="G47" s="13">
        <f t="shared" si="1"/>
        <v>0</v>
      </c>
    </row>
    <row r="48" spans="2:7" ht="12.75">
      <c r="B48" s="18" t="s">
        <v>242</v>
      </c>
      <c r="C48" s="23"/>
      <c r="D48" s="17">
        <v>15750</v>
      </c>
      <c r="E48" s="17">
        <v>0.39</v>
      </c>
      <c r="F48" s="13">
        <f t="shared" si="0"/>
        <v>6.1425</v>
      </c>
      <c r="G48" s="13">
        <f t="shared" si="1"/>
        <v>0</v>
      </c>
    </row>
    <row r="49" spans="2:7" ht="12.75">
      <c r="B49" s="18" t="s">
        <v>148</v>
      </c>
      <c r="C49" s="23"/>
      <c r="D49" s="17">
        <v>32000</v>
      </c>
      <c r="E49" s="17">
        <v>0.25</v>
      </c>
      <c r="F49" s="13">
        <f t="shared" si="0"/>
        <v>8</v>
      </c>
      <c r="G49" s="13">
        <f t="shared" si="1"/>
        <v>0</v>
      </c>
    </row>
    <row r="50" spans="2:7" ht="12.75">
      <c r="B50" s="18" t="s">
        <v>286</v>
      </c>
      <c r="C50" s="23"/>
      <c r="D50" s="17">
        <v>2500</v>
      </c>
      <c r="E50" s="17"/>
      <c r="F50" s="13">
        <f t="shared" si="0"/>
        <v>0</v>
      </c>
      <c r="G50" s="13">
        <f t="shared" si="1"/>
        <v>0</v>
      </c>
    </row>
    <row r="51" spans="2:7" ht="12.75">
      <c r="B51" s="22" t="s">
        <v>115</v>
      </c>
      <c r="C51" s="23"/>
      <c r="D51" s="23">
        <v>10000</v>
      </c>
      <c r="E51" s="13">
        <v>0.1</v>
      </c>
      <c r="F51" s="13">
        <f t="shared" si="0"/>
        <v>1</v>
      </c>
      <c r="G51" s="13">
        <f t="shared" si="1"/>
        <v>0</v>
      </c>
    </row>
    <row r="52" spans="2:7" ht="12.75">
      <c r="B52" s="22" t="s">
        <v>276</v>
      </c>
      <c r="C52" s="23">
        <v>75</v>
      </c>
      <c r="D52" s="23">
        <v>67920</v>
      </c>
      <c r="E52" s="13">
        <v>0.06</v>
      </c>
      <c r="F52" s="13">
        <f t="shared" si="0"/>
        <v>4.0752</v>
      </c>
      <c r="G52" s="13">
        <f t="shared" si="1"/>
        <v>3.75</v>
      </c>
    </row>
    <row r="53" spans="2:7" ht="12.75">
      <c r="B53" s="22" t="s">
        <v>277</v>
      </c>
      <c r="C53" s="23">
        <v>125</v>
      </c>
      <c r="D53" s="23">
        <v>57000</v>
      </c>
      <c r="E53" s="13">
        <v>0.06</v>
      </c>
      <c r="F53" s="13">
        <f t="shared" si="0"/>
        <v>3.42</v>
      </c>
      <c r="G53" s="13">
        <f t="shared" si="1"/>
        <v>6.25</v>
      </c>
    </row>
    <row r="54" spans="2:7" ht="12.75">
      <c r="B54" s="18" t="s">
        <v>278</v>
      </c>
      <c r="C54" s="23">
        <v>200</v>
      </c>
      <c r="D54" s="17">
        <v>20000</v>
      </c>
      <c r="E54" s="13">
        <v>0.4</v>
      </c>
      <c r="F54" s="13">
        <f t="shared" si="0"/>
        <v>8</v>
      </c>
      <c r="G54" s="13">
        <v>5.1</v>
      </c>
    </row>
    <row r="68" spans="5:6" ht="12.75">
      <c r="E68" s="2"/>
      <c r="F68" s="9"/>
    </row>
    <row r="69" ht="12.75">
      <c r="F69" s="9"/>
    </row>
  </sheetData>
  <sheetProtection/>
  <mergeCells count="5">
    <mergeCell ref="B16:B18"/>
    <mergeCell ref="B13:K13"/>
    <mergeCell ref="B14:K14"/>
    <mergeCell ref="C2:I2"/>
    <mergeCell ref="A3:O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U48"/>
  <sheetViews>
    <sheetView workbookViewId="0" topLeftCell="A1">
      <selection activeCell="B2" sqref="B2:P2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0.42578125" style="0" customWidth="1"/>
    <col min="4" max="4" width="8.00390625" style="0" customWidth="1"/>
    <col min="5" max="5" width="9.8515625" style="0" customWidth="1"/>
    <col min="6" max="6" width="9.140625" style="0" customWidth="1"/>
    <col min="7" max="7" width="8.57421875" style="0" customWidth="1"/>
    <col min="8" max="8" width="10.421875" style="0" customWidth="1"/>
    <col min="9" max="9" width="8.00390625" style="0" customWidth="1"/>
    <col min="10" max="10" width="8.8515625" style="0" customWidth="1"/>
    <col min="11" max="11" width="9.8515625" style="3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2:16" ht="21">
      <c r="B2" s="183" t="s">
        <v>393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4" spans="2:11" ht="12.75">
      <c r="B4" s="145" t="s">
        <v>332</v>
      </c>
      <c r="C4" s="146"/>
      <c r="D4" s="146"/>
      <c r="E4" s="146"/>
      <c r="F4" s="146"/>
      <c r="G4" s="146"/>
      <c r="K4"/>
    </row>
    <row r="5" spans="2:11" ht="12.75">
      <c r="B5" s="146" t="s">
        <v>333</v>
      </c>
      <c r="C5" s="146"/>
      <c r="D5" s="146"/>
      <c r="E5" s="146"/>
      <c r="F5" s="146"/>
      <c r="G5" s="146"/>
      <c r="K5"/>
    </row>
    <row r="6" spans="2:11" ht="12.75">
      <c r="B6" s="146" t="s">
        <v>334</v>
      </c>
      <c r="C6" s="146"/>
      <c r="D6" s="146"/>
      <c r="E6" s="146"/>
      <c r="F6" s="146"/>
      <c r="G6" s="146"/>
      <c r="K6"/>
    </row>
    <row r="7" spans="2:11" ht="12.75">
      <c r="B7" s="33" t="s">
        <v>394</v>
      </c>
      <c r="C7" s="33"/>
      <c r="D7" s="33"/>
      <c r="E7" s="33"/>
      <c r="F7" s="33"/>
      <c r="G7" s="33"/>
      <c r="K7"/>
    </row>
    <row r="12" ht="15" customHeight="1"/>
    <row r="14" spans="2:11" ht="15">
      <c r="B14" s="190" t="s">
        <v>304</v>
      </c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15">
      <c r="A15" s="27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ht="12.75">
      <c r="A16" s="27"/>
    </row>
    <row r="17" ht="12.75">
      <c r="A17" s="27"/>
    </row>
    <row r="18" spans="1:4" ht="12.75">
      <c r="A18" s="27"/>
      <c r="B18" t="s">
        <v>82</v>
      </c>
      <c r="D18" s="35">
        <v>20</v>
      </c>
    </row>
    <row r="19" spans="1:11" ht="12.75">
      <c r="A19" s="27"/>
      <c r="B19" t="s">
        <v>163</v>
      </c>
      <c r="D19" s="35">
        <v>0.075</v>
      </c>
      <c r="G19" s="27"/>
      <c r="H19" s="27"/>
      <c r="I19" s="27"/>
      <c r="J19" s="27"/>
      <c r="K19" s="59"/>
    </row>
    <row r="20" ht="12.75">
      <c r="A20" s="27"/>
    </row>
    <row r="21" ht="12.75">
      <c r="A21" s="27"/>
    </row>
    <row r="22" ht="12.75">
      <c r="A22" s="27"/>
    </row>
    <row r="23" spans="1:11" ht="12.75">
      <c r="A23" s="27"/>
      <c r="B23" s="29"/>
      <c r="C23" s="29"/>
      <c r="D23" s="73" t="s">
        <v>198</v>
      </c>
      <c r="E23" s="74" t="s">
        <v>0</v>
      </c>
      <c r="F23" s="29"/>
      <c r="G23" s="29"/>
      <c r="H23" s="29"/>
      <c r="I23" s="29"/>
      <c r="J23" s="29"/>
      <c r="K23" s="73"/>
    </row>
    <row r="24" spans="1:11" ht="12.75">
      <c r="A24" s="27"/>
      <c r="B24" s="29"/>
      <c r="C24" s="29"/>
      <c r="D24" s="73" t="s">
        <v>281</v>
      </c>
      <c r="E24" s="74" t="s">
        <v>0</v>
      </c>
      <c r="F24" s="29"/>
      <c r="G24" s="29"/>
      <c r="H24" s="29"/>
      <c r="I24" s="29"/>
      <c r="J24" s="29"/>
      <c r="K24" s="73"/>
    </row>
    <row r="25" spans="1:11" ht="12.75">
      <c r="A25" s="27"/>
      <c r="B25" s="29"/>
      <c r="C25" s="29"/>
      <c r="D25" s="73" t="s">
        <v>136</v>
      </c>
      <c r="E25" s="74" t="s">
        <v>222</v>
      </c>
      <c r="F25" s="73" t="s">
        <v>234</v>
      </c>
      <c r="G25" s="73" t="s">
        <v>298</v>
      </c>
      <c r="H25" s="29"/>
      <c r="I25" s="29"/>
      <c r="J25" s="29" t="s">
        <v>355</v>
      </c>
      <c r="K25" s="73"/>
    </row>
    <row r="26" spans="1:11" ht="12.75">
      <c r="A26" s="27"/>
      <c r="B26" s="73" t="s">
        <v>53</v>
      </c>
      <c r="C26" s="29"/>
      <c r="D26" s="73" t="s">
        <v>108</v>
      </c>
      <c r="E26" s="74" t="s">
        <v>216</v>
      </c>
      <c r="F26" s="73" t="s">
        <v>282</v>
      </c>
      <c r="G26" s="73" t="s">
        <v>176</v>
      </c>
      <c r="H26" s="73" t="s">
        <v>111</v>
      </c>
      <c r="I26" s="73" t="s">
        <v>162</v>
      </c>
      <c r="J26" s="73" t="s">
        <v>356</v>
      </c>
      <c r="K26" s="73" t="s">
        <v>121</v>
      </c>
    </row>
    <row r="27" spans="1:11" ht="12.75">
      <c r="A27" s="27"/>
      <c r="E27" s="17"/>
      <c r="F27" s="17"/>
      <c r="G27" s="17"/>
      <c r="H27" s="17"/>
      <c r="I27" s="17"/>
      <c r="J27" s="17"/>
      <c r="K27" s="13"/>
    </row>
    <row r="28" spans="1:255" ht="12.75">
      <c r="A28" s="58"/>
      <c r="B28" s="18" t="s">
        <v>56</v>
      </c>
      <c r="D28" s="11">
        <v>0.75</v>
      </c>
      <c r="E28" s="23">
        <v>6800</v>
      </c>
      <c r="F28" s="23">
        <f aca="true" t="shared" si="0" ref="F28:F35">E28*0.2</f>
        <v>1360</v>
      </c>
      <c r="G28" s="23">
        <v>15</v>
      </c>
      <c r="H28" s="23">
        <f>(E28-F28)/G28*D28</f>
        <v>272</v>
      </c>
      <c r="I28" s="23">
        <f aca="true" t="shared" si="1" ref="I28:I35">(E28+F28)/2*D$19*D28</f>
        <v>229.5</v>
      </c>
      <c r="J28" s="23">
        <f>(E28+F28)/2*0.04*D28</f>
        <v>122.4</v>
      </c>
      <c r="K28" s="13">
        <f>(H28+I28+J28)/$D$18</f>
        <v>31.195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11" ht="12.75">
      <c r="A29" s="27"/>
      <c r="B29" s="18" t="s">
        <v>57</v>
      </c>
      <c r="D29" s="11">
        <v>0.75</v>
      </c>
      <c r="E29" s="23">
        <v>15000</v>
      </c>
      <c r="F29" s="23">
        <f t="shared" si="0"/>
        <v>3000</v>
      </c>
      <c r="G29" s="23">
        <v>15</v>
      </c>
      <c r="H29" s="23">
        <f aca="true" t="shared" si="2" ref="H29:H35">(E29-F29)/G29*D29</f>
        <v>600</v>
      </c>
      <c r="I29" s="23">
        <f t="shared" si="1"/>
        <v>506.25</v>
      </c>
      <c r="J29" s="23">
        <f aca="true" t="shared" si="3" ref="J29:J35">(E29+F29)/2*0.014*D29</f>
        <v>94.5</v>
      </c>
      <c r="K29" s="13">
        <f aca="true" t="shared" si="4" ref="K29:K35">(H29+I29+J29)/$D$18</f>
        <v>60.0375</v>
      </c>
    </row>
    <row r="30" spans="1:11" ht="12.75">
      <c r="A30" s="27"/>
      <c r="B30" s="18" t="s">
        <v>55</v>
      </c>
      <c r="D30" s="11">
        <v>0.75</v>
      </c>
      <c r="E30" s="23">
        <v>22500</v>
      </c>
      <c r="F30" s="23">
        <f t="shared" si="0"/>
        <v>4500</v>
      </c>
      <c r="G30" s="23">
        <v>15</v>
      </c>
      <c r="H30" s="23">
        <f t="shared" si="2"/>
        <v>900</v>
      </c>
      <c r="I30" s="23">
        <f t="shared" si="1"/>
        <v>759.375</v>
      </c>
      <c r="J30" s="23">
        <f t="shared" si="3"/>
        <v>141.75</v>
      </c>
      <c r="K30" s="13">
        <f t="shared" si="4"/>
        <v>90.05625</v>
      </c>
    </row>
    <row r="31" spans="1:11" ht="12.75">
      <c r="A31" s="27"/>
      <c r="B31" s="22" t="s">
        <v>273</v>
      </c>
      <c r="C31" s="3"/>
      <c r="D31" s="11">
        <v>0.75</v>
      </c>
      <c r="E31" s="23">
        <v>95000</v>
      </c>
      <c r="F31" s="23">
        <f t="shared" si="0"/>
        <v>19000</v>
      </c>
      <c r="G31" s="23">
        <v>20</v>
      </c>
      <c r="H31" s="23">
        <f t="shared" si="2"/>
        <v>2850</v>
      </c>
      <c r="I31" s="23">
        <f t="shared" si="1"/>
        <v>3206.25</v>
      </c>
      <c r="J31" s="23">
        <f t="shared" si="3"/>
        <v>598.5</v>
      </c>
      <c r="K31" s="13">
        <f t="shared" si="4"/>
        <v>332.7375</v>
      </c>
    </row>
    <row r="32" spans="1:11" ht="12.75">
      <c r="A32" s="27"/>
      <c r="B32" s="22" t="s">
        <v>278</v>
      </c>
      <c r="C32" s="3"/>
      <c r="D32" s="11">
        <v>0.75</v>
      </c>
      <c r="E32" s="23">
        <v>50000</v>
      </c>
      <c r="F32" s="23">
        <f t="shared" si="0"/>
        <v>10000</v>
      </c>
      <c r="G32" s="23">
        <v>15</v>
      </c>
      <c r="H32" s="23">
        <f t="shared" si="2"/>
        <v>2000</v>
      </c>
      <c r="I32" s="23">
        <f t="shared" si="1"/>
        <v>1687.5</v>
      </c>
      <c r="J32" s="23">
        <f t="shared" si="3"/>
        <v>315</v>
      </c>
      <c r="K32" s="13">
        <f t="shared" si="4"/>
        <v>200.125</v>
      </c>
    </row>
    <row r="33" spans="1:11" ht="12.75">
      <c r="A33" s="27"/>
      <c r="B33" s="22" t="s">
        <v>131</v>
      </c>
      <c r="C33" s="3"/>
      <c r="D33" s="11">
        <v>0.75</v>
      </c>
      <c r="E33" s="23">
        <v>5500</v>
      </c>
      <c r="F33" s="23">
        <f t="shared" si="0"/>
        <v>1100</v>
      </c>
      <c r="G33" s="23">
        <v>15</v>
      </c>
      <c r="H33" s="23">
        <f t="shared" si="2"/>
        <v>220</v>
      </c>
      <c r="I33" s="23">
        <f t="shared" si="1"/>
        <v>185.625</v>
      </c>
      <c r="J33" s="23">
        <f t="shared" si="3"/>
        <v>34.650000000000006</v>
      </c>
      <c r="K33" s="13">
        <f t="shared" si="4"/>
        <v>22.013749999999998</v>
      </c>
    </row>
    <row r="34" spans="1:11" ht="12.75">
      <c r="A34" s="27"/>
      <c r="B34" s="22" t="s">
        <v>145</v>
      </c>
      <c r="C34" s="3"/>
      <c r="D34" s="11">
        <v>0.75</v>
      </c>
      <c r="E34" s="142">
        <v>2500</v>
      </c>
      <c r="F34" s="23">
        <f t="shared" si="0"/>
        <v>500</v>
      </c>
      <c r="G34" s="17">
        <v>15</v>
      </c>
      <c r="H34" s="23">
        <f t="shared" si="2"/>
        <v>100</v>
      </c>
      <c r="I34" s="23">
        <f t="shared" si="1"/>
        <v>84.375</v>
      </c>
      <c r="J34" s="23">
        <f t="shared" si="3"/>
        <v>15.75</v>
      </c>
      <c r="K34" s="13">
        <f t="shared" si="4"/>
        <v>10.00625</v>
      </c>
    </row>
    <row r="35" spans="1:11" ht="12.75">
      <c r="A35" s="27"/>
      <c r="B35" s="3" t="s">
        <v>144</v>
      </c>
      <c r="C35" s="3"/>
      <c r="D35" s="11">
        <v>0.75</v>
      </c>
      <c r="E35" s="23">
        <v>100</v>
      </c>
      <c r="F35" s="23">
        <f t="shared" si="0"/>
        <v>20</v>
      </c>
      <c r="G35" s="17">
        <v>10</v>
      </c>
      <c r="H35" s="23">
        <f t="shared" si="2"/>
        <v>6</v>
      </c>
      <c r="I35" s="23">
        <f t="shared" si="1"/>
        <v>3.375</v>
      </c>
      <c r="J35" s="23">
        <f t="shared" si="3"/>
        <v>0.63</v>
      </c>
      <c r="K35" s="13">
        <f t="shared" si="4"/>
        <v>0.5002500000000001</v>
      </c>
    </row>
    <row r="36" spans="1:11" ht="12.75">
      <c r="A36" s="27"/>
      <c r="B36" s="3"/>
      <c r="C36" s="3"/>
      <c r="D36" s="9"/>
      <c r="E36" s="8"/>
      <c r="F36" s="8"/>
      <c r="K36"/>
    </row>
    <row r="37" spans="1:11" ht="13.5" thickBot="1">
      <c r="A37" s="27"/>
      <c r="B37" s="5" t="s">
        <v>261</v>
      </c>
      <c r="D37" s="9"/>
      <c r="E37" s="45">
        <f>SUM(E28:E36)</f>
        <v>197400</v>
      </c>
      <c r="F37" s="46">
        <f>SUM(F28:F36)</f>
        <v>39480</v>
      </c>
      <c r="G37" s="6"/>
      <c r="H37" s="47">
        <f>SUM(H28:H36)</f>
        <v>6948</v>
      </c>
      <c r="I37" s="47">
        <f>SUM(I28:I36)</f>
        <v>6662.25</v>
      </c>
      <c r="J37" s="47">
        <f>SUM(J28:J36)</f>
        <v>1323.1800000000003</v>
      </c>
      <c r="K37" s="47">
        <f>SUM(K28:K36)</f>
        <v>746.6715</v>
      </c>
    </row>
    <row r="38" spans="1:11" ht="13.5" thickTop="1">
      <c r="A38" s="27"/>
      <c r="D38" s="9"/>
      <c r="E38" s="9"/>
      <c r="F38" s="9"/>
      <c r="G38" s="9"/>
      <c r="H38" s="9"/>
      <c r="I38" s="9"/>
      <c r="J38" s="9"/>
      <c r="K38" s="4"/>
    </row>
    <row r="39" spans="1:11" ht="13.5" thickBot="1">
      <c r="A39" s="27"/>
      <c r="B39" s="5" t="s">
        <v>256</v>
      </c>
      <c r="E39" s="90">
        <f>H37+I37+J37</f>
        <v>14933.43</v>
      </c>
      <c r="F39" s="9"/>
      <c r="G39" s="9"/>
      <c r="H39" s="9"/>
      <c r="I39" s="8"/>
      <c r="J39" s="9"/>
      <c r="K39" s="4"/>
    </row>
    <row r="40" spans="1:11" ht="14.25" thickBot="1" thickTop="1">
      <c r="A40" s="27"/>
      <c r="B40" s="5" t="s">
        <v>397</v>
      </c>
      <c r="E40" s="89">
        <f>E39/D18</f>
        <v>746.6715</v>
      </c>
      <c r="F40" s="9"/>
      <c r="G40" s="9"/>
      <c r="H40" s="9"/>
      <c r="J40" s="9"/>
      <c r="K40" s="4"/>
    </row>
    <row r="41" spans="4:11" ht="13.5" thickTop="1">
      <c r="D41" s="9"/>
      <c r="E41" s="9"/>
      <c r="F41" s="9"/>
      <c r="G41" s="9"/>
      <c r="H41" s="9"/>
      <c r="J41" s="9"/>
      <c r="K41" s="4"/>
    </row>
    <row r="42" spans="4:11" ht="12.75">
      <c r="D42" s="9"/>
      <c r="E42" s="9"/>
      <c r="F42" s="9"/>
      <c r="G42" s="9"/>
      <c r="H42" s="9"/>
      <c r="J42" s="9"/>
      <c r="K42" s="4"/>
    </row>
    <row r="43" spans="2:11" ht="12.75">
      <c r="B43" s="28" t="s">
        <v>357</v>
      </c>
      <c r="D43" s="9"/>
      <c r="E43" s="9"/>
      <c r="F43" s="9"/>
      <c r="G43" s="9"/>
      <c r="H43" s="9"/>
      <c r="J43" s="9"/>
      <c r="K43" s="4"/>
    </row>
    <row r="44" spans="4:11" ht="12.75">
      <c r="D44" s="9"/>
      <c r="E44" s="9"/>
      <c r="F44" s="9"/>
      <c r="G44" s="9"/>
      <c r="H44" s="9"/>
      <c r="J44" s="9"/>
      <c r="K44" s="4"/>
    </row>
    <row r="45" spans="2:11" ht="12.75">
      <c r="B45" s="60"/>
      <c r="C45" s="60"/>
      <c r="D45" s="60"/>
      <c r="E45" s="60"/>
      <c r="F45" s="60"/>
      <c r="G45" s="60"/>
      <c r="H45" s="60"/>
      <c r="J45" s="61"/>
      <c r="K45" s="4"/>
    </row>
    <row r="46" spans="2:11" ht="12.75">
      <c r="B46" s="175"/>
      <c r="C46" s="175"/>
      <c r="D46" s="175"/>
      <c r="E46" s="175"/>
      <c r="F46" s="175"/>
      <c r="G46" s="175"/>
      <c r="H46" s="175"/>
      <c r="I46" s="175"/>
      <c r="J46" s="175"/>
      <c r="K46" s="4"/>
    </row>
    <row r="47" spans="2:11" ht="12.75">
      <c r="B47" s="175"/>
      <c r="C47" s="175"/>
      <c r="D47" s="175"/>
      <c r="E47" s="175"/>
      <c r="F47" s="175"/>
      <c r="G47" s="175"/>
      <c r="H47" s="175"/>
      <c r="I47" s="175"/>
      <c r="J47" s="175"/>
      <c r="K47" s="4"/>
    </row>
    <row r="48" spans="4:11" ht="12.75">
      <c r="D48" s="9"/>
      <c r="E48" s="9"/>
      <c r="F48" s="9"/>
      <c r="G48" s="9"/>
      <c r="H48" s="9"/>
      <c r="I48" s="9"/>
      <c r="J48" s="9"/>
      <c r="K48" s="4"/>
    </row>
    <row r="59" ht="12.75"/>
    <row r="60" ht="12.75"/>
  </sheetData>
  <sheetProtection/>
  <mergeCells count="6">
    <mergeCell ref="B46:J46"/>
    <mergeCell ref="B47:J47"/>
    <mergeCell ref="B15:K15"/>
    <mergeCell ref="B14:K14"/>
    <mergeCell ref="B1:H1"/>
    <mergeCell ref="B2:P2"/>
  </mergeCells>
  <printOptions/>
  <pageMargins left="0.75" right="0.75" top="1" bottom="1" header="0.5" footer="0.5"/>
  <pageSetup horizontalDpi="600" verticalDpi="600" orientation="portrait" r:id="rId2"/>
  <colBreaks count="1" manualBreakCount="1">
    <brk id="11" min="10" max="5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70"/>
  <sheetViews>
    <sheetView zoomScale="108" zoomScaleNormal="108" zoomScalePageLayoutView="0" workbookViewId="0" topLeftCell="A3">
      <selection activeCell="B1" sqref="B1:H1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13.7109375" style="0" customWidth="1"/>
    <col min="5" max="5" width="13.00390625" style="0" customWidth="1"/>
    <col min="6" max="6" width="10.8515625" style="0" customWidth="1"/>
    <col min="7" max="7" width="13.00390625" style="0" customWidth="1"/>
    <col min="8" max="8" width="14.421875" style="0" customWidth="1"/>
    <col min="9" max="9" width="10.140625" style="0" customWidth="1"/>
    <col min="10" max="10" width="8.140625" style="0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1:15" ht="21">
      <c r="A2" s="183" t="s">
        <v>393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5" spans="2:9" ht="21">
      <c r="B5" s="145" t="s">
        <v>332</v>
      </c>
      <c r="C5" s="146"/>
      <c r="D5" s="146"/>
      <c r="E5" s="146"/>
      <c r="F5" s="146"/>
      <c r="G5" s="146"/>
      <c r="H5" s="146"/>
      <c r="I5" s="144"/>
    </row>
    <row r="6" spans="2:9" ht="21">
      <c r="B6" s="146" t="s">
        <v>333</v>
      </c>
      <c r="C6" s="146"/>
      <c r="D6" s="146"/>
      <c r="E6" s="146"/>
      <c r="F6" s="146"/>
      <c r="G6" s="146"/>
      <c r="H6" s="146"/>
      <c r="I6" s="144"/>
    </row>
    <row r="7" spans="2:9" ht="21">
      <c r="B7" s="146" t="s">
        <v>334</v>
      </c>
      <c r="C7" s="146"/>
      <c r="D7" s="146"/>
      <c r="E7" s="146"/>
      <c r="F7" s="146"/>
      <c r="G7" s="146"/>
      <c r="H7" s="146"/>
      <c r="I7" s="144"/>
    </row>
    <row r="8" spans="2:9" ht="21">
      <c r="B8" s="33" t="s">
        <v>394</v>
      </c>
      <c r="C8" s="33"/>
      <c r="D8" s="33"/>
      <c r="E8" s="33"/>
      <c r="F8" s="33"/>
      <c r="G8" s="33"/>
      <c r="H8" s="33"/>
      <c r="I8" s="144"/>
    </row>
    <row r="11" ht="15" customHeight="1">
      <c r="J11" s="70"/>
    </row>
    <row r="12" spans="1:10" ht="12.75" customHeight="1">
      <c r="A12" s="3"/>
      <c r="B12" s="184" t="s">
        <v>387</v>
      </c>
      <c r="C12" s="184"/>
      <c r="D12" s="184"/>
      <c r="E12" s="184"/>
      <c r="F12" s="184"/>
      <c r="G12" s="184"/>
      <c r="H12" s="184"/>
      <c r="I12" s="184"/>
      <c r="J12" s="91"/>
    </row>
    <row r="13" spans="1:9" ht="15">
      <c r="A13" s="3"/>
      <c r="B13" s="188"/>
      <c r="C13" s="188"/>
      <c r="D13" s="188"/>
      <c r="E13" s="188"/>
      <c r="F13" s="188"/>
      <c r="G13" s="188"/>
      <c r="H13" s="188"/>
      <c r="I13" s="188"/>
    </row>
    <row r="14" ht="12.75">
      <c r="A14" s="3"/>
    </row>
    <row r="15" spans="1:8" ht="12.75">
      <c r="A15" s="3"/>
      <c r="C15" s="26"/>
      <c r="D15" s="26"/>
      <c r="E15" s="26"/>
      <c r="F15" s="26"/>
      <c r="G15" s="26"/>
      <c r="H15" s="26"/>
    </row>
    <row r="16" spans="1:8" ht="12.75">
      <c r="A16" s="3"/>
      <c r="B16" t="s">
        <v>94</v>
      </c>
      <c r="F16" s="35">
        <v>20</v>
      </c>
      <c r="G16" s="39" t="s">
        <v>82</v>
      </c>
      <c r="H16" s="26"/>
    </row>
    <row r="17" spans="1:7" ht="12.75">
      <c r="A17" s="3"/>
      <c r="B17" t="s">
        <v>238</v>
      </c>
      <c r="F17" s="88" t="s">
        <v>358</v>
      </c>
      <c r="G17" s="6"/>
    </row>
    <row r="18" spans="1:8" ht="12.75">
      <c r="A18" s="3"/>
      <c r="B18" t="s">
        <v>164</v>
      </c>
      <c r="F18" s="92">
        <v>0.075</v>
      </c>
      <c r="H18" s="26"/>
    </row>
    <row r="19" spans="1:6" ht="12.75">
      <c r="A19" s="3"/>
      <c r="B19" t="s">
        <v>243</v>
      </c>
      <c r="F19" s="35">
        <v>0.015</v>
      </c>
    </row>
    <row r="20" spans="1:8" ht="12.75">
      <c r="A20" s="3"/>
      <c r="B20" t="s">
        <v>112</v>
      </c>
      <c r="F20" s="35">
        <v>600</v>
      </c>
      <c r="H20" s="24"/>
    </row>
    <row r="21" ht="12.75">
      <c r="A21" s="3"/>
    </row>
    <row r="22" ht="12.75">
      <c r="A22" s="3"/>
    </row>
    <row r="23" spans="1:2" ht="12.75">
      <c r="A23" s="3"/>
      <c r="B23" s="6" t="s">
        <v>166</v>
      </c>
    </row>
    <row r="24" spans="1:9" ht="12.75">
      <c r="A24" s="3"/>
      <c r="E24" s="30" t="s">
        <v>363</v>
      </c>
      <c r="F24" s="30" t="s">
        <v>362</v>
      </c>
      <c r="G24" s="9"/>
      <c r="H24" s="9"/>
      <c r="I24" s="30" t="s">
        <v>365</v>
      </c>
    </row>
    <row r="25" spans="1:9" ht="12.75">
      <c r="A25" s="3"/>
      <c r="B25" s="35" t="s">
        <v>359</v>
      </c>
      <c r="E25" s="30" t="s">
        <v>107</v>
      </c>
      <c r="F25" s="30" t="s">
        <v>176</v>
      </c>
      <c r="G25" s="30" t="s">
        <v>364</v>
      </c>
      <c r="H25" s="94" t="s">
        <v>163</v>
      </c>
      <c r="I25" s="94" t="s">
        <v>356</v>
      </c>
    </row>
    <row r="26" spans="1:9" ht="12.75">
      <c r="A26" s="3"/>
      <c r="B26" t="s">
        <v>168</v>
      </c>
      <c r="E26" s="8">
        <v>10815</v>
      </c>
      <c r="F26" s="8">
        <v>20</v>
      </c>
      <c r="G26" s="8">
        <f aca="true" t="shared" si="0" ref="G26:G31">E26/F26</f>
        <v>540.75</v>
      </c>
      <c r="H26" s="8">
        <f>(E26/2)*F18</f>
        <v>405.5625</v>
      </c>
      <c r="I26" s="8">
        <f>(E26/2)*F19</f>
        <v>81.1125</v>
      </c>
    </row>
    <row r="27" spans="1:9" ht="12.75">
      <c r="A27" s="3"/>
      <c r="B27" t="s">
        <v>155</v>
      </c>
      <c r="E27" s="8">
        <v>5250</v>
      </c>
      <c r="F27" s="8">
        <v>10</v>
      </c>
      <c r="G27" s="8">
        <f t="shared" si="0"/>
        <v>525</v>
      </c>
      <c r="H27" s="8">
        <f>(E27/2)*F19</f>
        <v>39.375</v>
      </c>
      <c r="I27" s="8">
        <f>(E27/2)*F19</f>
        <v>39.375</v>
      </c>
    </row>
    <row r="28" spans="1:9" ht="12.75">
      <c r="A28" s="3"/>
      <c r="B28" t="s">
        <v>290</v>
      </c>
      <c r="E28" s="8">
        <v>12000</v>
      </c>
      <c r="F28" s="8">
        <v>25</v>
      </c>
      <c r="G28" s="8">
        <f t="shared" si="0"/>
        <v>480</v>
      </c>
      <c r="H28" s="8">
        <f>(E28/2)*F18</f>
        <v>450</v>
      </c>
      <c r="I28" s="8">
        <f>(E28/2)*F19</f>
        <v>90</v>
      </c>
    </row>
    <row r="29" spans="1:9" ht="12.75">
      <c r="A29" s="3"/>
      <c r="B29" t="s">
        <v>128</v>
      </c>
      <c r="E29" s="8">
        <v>1050</v>
      </c>
      <c r="F29" s="8">
        <v>15</v>
      </c>
      <c r="G29" s="8">
        <f t="shared" si="0"/>
        <v>70</v>
      </c>
      <c r="H29" s="8">
        <f>(E29/2)*F18</f>
        <v>39.375</v>
      </c>
      <c r="I29" s="8">
        <f>(E29/2)*F19</f>
        <v>7.875</v>
      </c>
    </row>
    <row r="30" spans="1:9" ht="12.75">
      <c r="A30" s="3"/>
      <c r="B30" t="s">
        <v>184</v>
      </c>
      <c r="E30" s="8"/>
      <c r="F30" s="8">
        <v>20</v>
      </c>
      <c r="G30" s="8">
        <f t="shared" si="0"/>
        <v>0</v>
      </c>
      <c r="H30" s="8">
        <f>(E30/2)*F18</f>
        <v>0</v>
      </c>
      <c r="I30" s="8">
        <f>(E30/2)*F19</f>
        <v>0</v>
      </c>
    </row>
    <row r="31" spans="1:9" ht="12.75">
      <c r="A31" s="3"/>
      <c r="B31" t="s">
        <v>161</v>
      </c>
      <c r="E31" s="8">
        <v>6825</v>
      </c>
      <c r="F31" s="8">
        <v>20</v>
      </c>
      <c r="G31" s="8">
        <f t="shared" si="0"/>
        <v>341.25</v>
      </c>
      <c r="H31" s="8">
        <f>(E31/2)*F18</f>
        <v>255.9375</v>
      </c>
      <c r="I31" s="8">
        <f>(E31/2)*F19</f>
        <v>51.1875</v>
      </c>
    </row>
    <row r="32" spans="1:9" ht="13.5" thickBot="1">
      <c r="A32" s="3"/>
      <c r="B32" s="6" t="s">
        <v>262</v>
      </c>
      <c r="E32" s="37">
        <f>SUM(E26:E31)</f>
        <v>35940</v>
      </c>
      <c r="F32" s="9"/>
      <c r="G32" s="93">
        <f>SUM(G26:G31)</f>
        <v>1957</v>
      </c>
      <c r="H32" s="93">
        <f>SUM(H26:H31)</f>
        <v>1190.25</v>
      </c>
      <c r="I32" s="93">
        <f>SUM(I26:I31)</f>
        <v>269.55</v>
      </c>
    </row>
    <row r="33" spans="1:8" ht="13.5" thickTop="1">
      <c r="A33" s="3"/>
      <c r="E33" s="9"/>
      <c r="F33" s="9"/>
      <c r="G33" s="9"/>
      <c r="H33" s="9"/>
    </row>
    <row r="34" spans="1:9" ht="13.5" thickBot="1">
      <c r="A34" s="3"/>
      <c r="B34" s="6" t="s">
        <v>252</v>
      </c>
      <c r="E34" s="9"/>
      <c r="F34" s="9"/>
      <c r="G34" s="9"/>
      <c r="H34" s="9"/>
      <c r="I34" s="37">
        <f>G32+H32+I32</f>
        <v>3416.8</v>
      </c>
    </row>
    <row r="35" spans="1:9" ht="13.5" thickTop="1">
      <c r="A35" s="3"/>
      <c r="E35" s="9"/>
      <c r="F35" s="9"/>
      <c r="G35" s="9"/>
      <c r="H35" s="9"/>
      <c r="I35" s="9"/>
    </row>
    <row r="36" spans="1:9" ht="13.5" thickBot="1">
      <c r="A36" s="3"/>
      <c r="B36" s="6" t="s">
        <v>88</v>
      </c>
      <c r="E36" s="9"/>
      <c r="F36" s="9"/>
      <c r="G36" s="9"/>
      <c r="H36" s="9"/>
      <c r="I36" s="37">
        <f>I34/F16</f>
        <v>170.84</v>
      </c>
    </row>
    <row r="37" ht="13.5" thickTop="1">
      <c r="A37" s="3"/>
    </row>
    <row r="38" spans="1:9" ht="12.75">
      <c r="A38" s="3"/>
      <c r="B38" s="6" t="s">
        <v>191</v>
      </c>
      <c r="E38" s="9"/>
      <c r="F38" s="9"/>
      <c r="G38" s="9"/>
      <c r="H38" s="9"/>
      <c r="I38" s="9"/>
    </row>
    <row r="39" spans="1:9" ht="12.75">
      <c r="A39" s="3"/>
      <c r="E39" s="9"/>
      <c r="F39" s="9"/>
      <c r="G39" s="9"/>
      <c r="H39" s="9"/>
      <c r="I39" s="9"/>
    </row>
    <row r="40" spans="1:9" ht="12.75">
      <c r="A40" s="3"/>
      <c r="B40" t="s">
        <v>185</v>
      </c>
      <c r="E40" s="9"/>
      <c r="F40" s="9"/>
      <c r="G40" s="8">
        <f>IF(F16&lt;=40,5,IF(F16&lt;=100,20,IF(F16&lt;=200,40,80)))</f>
        <v>5</v>
      </c>
      <c r="H40" s="9"/>
      <c r="I40" s="9"/>
    </row>
    <row r="41" spans="1:9" ht="12.75">
      <c r="A41" s="3"/>
      <c r="B41" t="s">
        <v>227</v>
      </c>
      <c r="E41" s="9"/>
      <c r="F41" s="9"/>
      <c r="G41" s="8">
        <v>800</v>
      </c>
      <c r="H41" s="9"/>
      <c r="I41" s="9"/>
    </row>
    <row r="42" spans="1:9" ht="12.75">
      <c r="A42" s="3"/>
      <c r="B42" t="s">
        <v>89</v>
      </c>
      <c r="E42" s="9"/>
      <c r="F42" s="9"/>
      <c r="G42" s="8">
        <v>1080</v>
      </c>
      <c r="H42" s="9"/>
      <c r="I42" s="9"/>
    </row>
    <row r="43" spans="1:9" ht="12.75">
      <c r="A43" s="3"/>
      <c r="B43" t="s">
        <v>117</v>
      </c>
      <c r="E43" s="9"/>
      <c r="F43" s="9"/>
      <c r="G43" s="8"/>
      <c r="H43" s="9"/>
      <c r="I43" s="9"/>
    </row>
    <row r="44" spans="1:9" ht="12.75">
      <c r="A44" s="3"/>
      <c r="B44" s="28" t="s">
        <v>360</v>
      </c>
      <c r="E44" s="9"/>
      <c r="F44" s="9"/>
      <c r="G44" s="8">
        <f>G40*0</f>
        <v>0</v>
      </c>
      <c r="H44" s="9"/>
      <c r="I44" s="9"/>
    </row>
    <row r="45" spans="1:9" ht="12.75">
      <c r="A45" s="3"/>
      <c r="B45" s="28" t="s">
        <v>361</v>
      </c>
      <c r="E45" s="9"/>
      <c r="F45" s="9"/>
      <c r="G45" s="4">
        <v>0.12</v>
      </c>
      <c r="H45" s="9"/>
      <c r="I45" s="9"/>
    </row>
    <row r="46" spans="1:9" ht="12.75">
      <c r="A46" s="3"/>
      <c r="B46" t="s">
        <v>86</v>
      </c>
      <c r="E46" s="9"/>
      <c r="F46" s="9"/>
      <c r="G46" s="8">
        <v>600</v>
      </c>
      <c r="H46" s="9"/>
      <c r="I46" s="9"/>
    </row>
    <row r="47" spans="1:9" ht="12.75">
      <c r="A47" s="3"/>
      <c r="B47" t="s">
        <v>87</v>
      </c>
      <c r="E47" s="9"/>
      <c r="F47" s="9"/>
      <c r="G47" s="9"/>
      <c r="H47" s="9"/>
      <c r="I47" s="4">
        <f>G46/F16</f>
        <v>30</v>
      </c>
    </row>
    <row r="48" spans="1:9" ht="13.5" thickBot="1">
      <c r="A48" s="3"/>
      <c r="B48" s="6" t="s">
        <v>190</v>
      </c>
      <c r="E48" s="9"/>
      <c r="F48" s="9"/>
      <c r="G48" s="9"/>
      <c r="H48" s="9"/>
      <c r="I48" s="48">
        <f>(G41+G46)/F16</f>
        <v>70</v>
      </c>
    </row>
    <row r="49" spans="1:9" ht="13.5" thickTop="1">
      <c r="A49" s="3"/>
      <c r="B49" s="24"/>
      <c r="C49" s="24"/>
      <c r="D49" s="24"/>
      <c r="E49" s="25"/>
      <c r="F49" s="25"/>
      <c r="G49" s="25"/>
      <c r="H49" s="25"/>
      <c r="I49" s="25"/>
    </row>
    <row r="50" spans="1:9" ht="12.75">
      <c r="A50" s="3"/>
      <c r="E50" s="9"/>
      <c r="F50" s="9"/>
      <c r="G50" s="9"/>
      <c r="H50" s="9"/>
      <c r="I50" s="9"/>
    </row>
    <row r="51" spans="1:9" ht="13.5" thickBot="1">
      <c r="A51" s="3"/>
      <c r="B51" s="6" t="s">
        <v>251</v>
      </c>
      <c r="E51" s="9"/>
      <c r="F51" s="9"/>
      <c r="G51" s="9"/>
      <c r="H51" s="9"/>
      <c r="I51" s="48">
        <f>I36+I48</f>
        <v>240.84</v>
      </c>
    </row>
    <row r="52" ht="13.5" thickTop="1">
      <c r="A52" s="3"/>
    </row>
    <row r="53" spans="1:9" ht="12.75">
      <c r="A53" s="3"/>
      <c r="B53" s="28" t="s">
        <v>367</v>
      </c>
      <c r="E53" s="9"/>
      <c r="F53" s="9"/>
      <c r="G53" s="9"/>
      <c r="H53" s="9"/>
      <c r="I53" s="9"/>
    </row>
    <row r="54" spans="1:9" ht="12.75">
      <c r="A54" s="3"/>
      <c r="B54" s="28" t="s">
        <v>366</v>
      </c>
      <c r="E54" s="9"/>
      <c r="F54" s="9"/>
      <c r="G54" s="9"/>
      <c r="H54" s="9"/>
      <c r="I54" s="9"/>
    </row>
    <row r="55" ht="12.75">
      <c r="A55" s="3"/>
    </row>
    <row r="56" ht="12.75">
      <c r="A56" s="3"/>
    </row>
    <row r="57" spans="1:9" ht="12.75">
      <c r="A57" s="3"/>
      <c r="E57" s="9"/>
      <c r="F57" s="9"/>
      <c r="G57" s="9"/>
      <c r="H57" s="9"/>
      <c r="I57" s="9"/>
    </row>
    <row r="58" spans="1:9" ht="12.75">
      <c r="A58" s="3"/>
      <c r="E58" s="9"/>
      <c r="F58" s="9"/>
      <c r="G58" s="9"/>
      <c r="H58" s="9"/>
      <c r="I58" s="9"/>
    </row>
    <row r="59" spans="1:9" ht="12.75">
      <c r="A59" s="3"/>
      <c r="E59" s="9"/>
      <c r="F59" s="9"/>
      <c r="G59" s="9"/>
      <c r="H59" s="9"/>
      <c r="I59" s="9"/>
    </row>
    <row r="60" ht="12.75">
      <c r="A60" s="3"/>
    </row>
    <row r="61" ht="12.75">
      <c r="A61" s="3"/>
    </row>
    <row r="62" spans="1:9" ht="12.75">
      <c r="A62" s="3"/>
      <c r="E62" s="9"/>
      <c r="F62" s="9"/>
      <c r="G62" s="9"/>
      <c r="H62" s="9"/>
      <c r="I62" s="9"/>
    </row>
    <row r="63" spans="1:9" ht="12.75">
      <c r="A63" s="3"/>
      <c r="E63" s="9"/>
      <c r="F63" s="9"/>
      <c r="G63" s="9"/>
      <c r="H63" s="9"/>
      <c r="I63" s="9"/>
    </row>
    <row r="64" spans="1:9" ht="12.75">
      <c r="A64" s="3"/>
      <c r="E64" s="9"/>
      <c r="F64" s="9"/>
      <c r="G64" s="9"/>
      <c r="H64" s="9"/>
      <c r="I64" s="9"/>
    </row>
    <row r="68" spans="2:10" ht="12.75">
      <c r="B68" s="60"/>
      <c r="C68" s="60"/>
      <c r="D68" s="60"/>
      <c r="E68" s="60"/>
      <c r="F68" s="60"/>
      <c r="G68" s="60"/>
      <c r="H68" s="60"/>
      <c r="I68" s="60"/>
      <c r="J68" s="61"/>
    </row>
    <row r="69" spans="2:10" ht="12.75">
      <c r="B69" s="175"/>
      <c r="C69" s="175"/>
      <c r="D69" s="175"/>
      <c r="E69" s="175"/>
      <c r="F69" s="175"/>
      <c r="G69" s="175"/>
      <c r="H69" s="175"/>
      <c r="I69" s="175"/>
      <c r="J69" s="175"/>
    </row>
    <row r="70" spans="2:10" ht="12.75">
      <c r="B70" s="175"/>
      <c r="C70" s="175"/>
      <c r="D70" s="175"/>
      <c r="E70" s="175"/>
      <c r="F70" s="175"/>
      <c r="G70" s="175"/>
      <c r="H70" s="175"/>
      <c r="I70" s="175"/>
      <c r="J70" s="175"/>
    </row>
  </sheetData>
  <sheetProtection/>
  <mergeCells count="6">
    <mergeCell ref="B13:I13"/>
    <mergeCell ref="B12:I12"/>
    <mergeCell ref="B70:J70"/>
    <mergeCell ref="B69:J69"/>
    <mergeCell ref="B1:H1"/>
    <mergeCell ref="A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O74"/>
  <sheetViews>
    <sheetView zoomScale="130" zoomScaleNormal="130" workbookViewId="0" topLeftCell="A41">
      <selection activeCell="L19" sqref="L19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1" spans="2:8" ht="21">
      <c r="B1" s="181" t="s">
        <v>331</v>
      </c>
      <c r="C1" s="181"/>
      <c r="D1" s="181"/>
      <c r="E1" s="181"/>
      <c r="F1" s="181"/>
      <c r="G1" s="181"/>
      <c r="H1" s="181"/>
    </row>
    <row r="2" spans="1:15" ht="21">
      <c r="A2" s="183" t="s">
        <v>393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4" spans="2:8" ht="12.75">
      <c r="B4" s="145" t="s">
        <v>332</v>
      </c>
      <c r="C4" s="146"/>
      <c r="D4" s="146"/>
      <c r="E4" s="146"/>
      <c r="F4" s="146"/>
      <c r="G4" s="146"/>
      <c r="H4" s="146"/>
    </row>
    <row r="5" spans="2:8" ht="12.75">
      <c r="B5" s="146" t="s">
        <v>333</v>
      </c>
      <c r="C5" s="146"/>
      <c r="D5" s="146"/>
      <c r="E5" s="146"/>
      <c r="F5" s="146"/>
      <c r="G5" s="146"/>
      <c r="H5" s="146"/>
    </row>
    <row r="6" spans="2:8" ht="12.75">
      <c r="B6" s="146" t="s">
        <v>334</v>
      </c>
      <c r="C6" s="146"/>
      <c r="D6" s="146"/>
      <c r="E6" s="146"/>
      <c r="F6" s="146"/>
      <c r="G6" s="146"/>
      <c r="H6" s="146"/>
    </row>
    <row r="7" spans="2:8" ht="12.75">
      <c r="B7" s="33" t="s">
        <v>394</v>
      </c>
      <c r="C7" s="33"/>
      <c r="D7" s="33"/>
      <c r="E7" s="33"/>
      <c r="F7" s="33"/>
      <c r="G7" s="33"/>
      <c r="H7" s="33"/>
    </row>
    <row r="11" spans="2:8" ht="15">
      <c r="B11" s="184" t="s">
        <v>317</v>
      </c>
      <c r="C11" s="184"/>
      <c r="D11" s="184"/>
      <c r="E11" s="184"/>
      <c r="F11" s="184"/>
      <c r="G11" s="184"/>
      <c r="H11" s="184"/>
    </row>
    <row r="12" spans="2:8" ht="15">
      <c r="B12" s="188"/>
      <c r="C12" s="188"/>
      <c r="D12" s="188"/>
      <c r="E12" s="188"/>
      <c r="F12" s="188"/>
      <c r="G12" s="188"/>
      <c r="H12" s="188"/>
    </row>
    <row r="13" spans="3:7" ht="15">
      <c r="C13" s="191"/>
      <c r="D13" s="192"/>
      <c r="E13" s="192"/>
      <c r="F13" s="192"/>
      <c r="G13" s="192"/>
    </row>
    <row r="14" spans="2:9" ht="15">
      <c r="B14" t="s">
        <v>94</v>
      </c>
      <c r="E14" s="16">
        <v>20</v>
      </c>
      <c r="F14" s="4" t="s">
        <v>83</v>
      </c>
      <c r="I14" s="71"/>
    </row>
    <row r="15" spans="2:6" ht="12.75">
      <c r="B15" s="28" t="s">
        <v>369</v>
      </c>
      <c r="E15" s="30" t="s">
        <v>372</v>
      </c>
      <c r="F15" s="9"/>
    </row>
    <row r="16" spans="2:6" ht="12.75">
      <c r="B16" t="s">
        <v>164</v>
      </c>
      <c r="E16" s="9"/>
      <c r="F16" s="21">
        <v>0.075</v>
      </c>
    </row>
    <row r="17" spans="2:6" ht="12.75">
      <c r="B17" t="s">
        <v>243</v>
      </c>
      <c r="E17" s="9"/>
      <c r="F17" s="9">
        <v>0.015</v>
      </c>
    </row>
    <row r="18" spans="2:6" ht="12.75">
      <c r="B18" t="s">
        <v>112</v>
      </c>
      <c r="E18" s="9"/>
      <c r="F18" s="8">
        <v>600</v>
      </c>
    </row>
    <row r="19" spans="1:2" ht="12.75">
      <c r="A19" s="27"/>
      <c r="B19" s="6" t="s">
        <v>166</v>
      </c>
    </row>
    <row r="20" spans="1:8" ht="12.75">
      <c r="A20" s="27"/>
      <c r="D20" s="29" t="s">
        <v>363</v>
      </c>
      <c r="E20" s="29" t="s">
        <v>362</v>
      </c>
      <c r="F20" s="29" t="s">
        <v>364</v>
      </c>
      <c r="G20" s="73" t="s">
        <v>163</v>
      </c>
      <c r="H20" s="73" t="s">
        <v>355</v>
      </c>
    </row>
    <row r="21" spans="1:8" ht="12.75">
      <c r="A21" s="27"/>
      <c r="D21" s="15" t="s">
        <v>107</v>
      </c>
      <c r="E21" s="29" t="s">
        <v>176</v>
      </c>
      <c r="F21" s="9"/>
      <c r="G21" s="9"/>
      <c r="H21" s="29" t="s">
        <v>368</v>
      </c>
    </row>
    <row r="22" spans="1:8" ht="12.75">
      <c r="A22" s="27"/>
      <c r="B22" s="28" t="s">
        <v>301</v>
      </c>
      <c r="D22" s="8">
        <v>10080</v>
      </c>
      <c r="E22" s="8">
        <v>20</v>
      </c>
      <c r="F22" s="8">
        <f aca="true" t="shared" si="0" ref="F22:F32">D22/E22</f>
        <v>504</v>
      </c>
      <c r="G22" s="8">
        <f>(D22/2)*F16</f>
        <v>378</v>
      </c>
      <c r="H22" s="8">
        <f>(D22/2)*F17</f>
        <v>75.6</v>
      </c>
    </row>
    <row r="23" spans="1:8" ht="12.75">
      <c r="A23" s="27"/>
      <c r="B23" s="28" t="s">
        <v>302</v>
      </c>
      <c r="D23" s="8">
        <v>1470</v>
      </c>
      <c r="E23" s="8">
        <v>10</v>
      </c>
      <c r="F23" s="8">
        <f t="shared" si="0"/>
        <v>147</v>
      </c>
      <c r="G23" s="8">
        <f>(D23/2)*F16</f>
        <v>55.125</v>
      </c>
      <c r="H23" s="8">
        <f>(D23/2)*F17</f>
        <v>11.025</v>
      </c>
    </row>
    <row r="24" spans="1:8" ht="12.75">
      <c r="A24" s="27"/>
      <c r="B24" s="28" t="s">
        <v>303</v>
      </c>
      <c r="D24" s="8">
        <v>52500</v>
      </c>
      <c r="E24" s="8">
        <v>25</v>
      </c>
      <c r="F24" s="8">
        <f t="shared" si="0"/>
        <v>2100</v>
      </c>
      <c r="G24" s="8">
        <f>(D24/2)*F16</f>
        <v>1968.75</v>
      </c>
      <c r="H24" s="8">
        <f>(D24/2)*F17</f>
        <v>393.75</v>
      </c>
    </row>
    <row r="25" spans="1:14" ht="12.75">
      <c r="A25" s="27"/>
      <c r="B25" t="s">
        <v>221</v>
      </c>
      <c r="D25" s="8">
        <v>16800</v>
      </c>
      <c r="E25" s="8">
        <v>15</v>
      </c>
      <c r="F25" s="8">
        <f t="shared" si="0"/>
        <v>1120</v>
      </c>
      <c r="G25" s="8">
        <f>(D25/2)*F16</f>
        <v>630</v>
      </c>
      <c r="H25" s="8">
        <f>(D25/2)*F$17</f>
        <v>126</v>
      </c>
      <c r="N25" s="27"/>
    </row>
    <row r="26" spans="1:8" ht="12.75">
      <c r="A26" s="27"/>
      <c r="B26" t="s">
        <v>103</v>
      </c>
      <c r="D26" s="8">
        <v>1.05</v>
      </c>
      <c r="E26" s="8">
        <v>10</v>
      </c>
      <c r="F26" s="8">
        <f t="shared" si="0"/>
        <v>0.10500000000000001</v>
      </c>
      <c r="G26" s="8">
        <f>(D27/2)*F16</f>
        <v>78.75</v>
      </c>
      <c r="H26" s="8">
        <f>(D26/2)*F17</f>
        <v>0.007875</v>
      </c>
    </row>
    <row r="27" spans="1:8" ht="12.75">
      <c r="A27" s="27"/>
      <c r="B27" t="s">
        <v>133</v>
      </c>
      <c r="D27" s="8">
        <v>2100</v>
      </c>
      <c r="E27" s="8">
        <v>5</v>
      </c>
      <c r="F27" s="8">
        <f t="shared" si="0"/>
        <v>420</v>
      </c>
      <c r="G27" s="8">
        <f>(D27/2)*F16</f>
        <v>78.75</v>
      </c>
      <c r="H27" s="8">
        <f>(D27/2)*F$17</f>
        <v>15.75</v>
      </c>
    </row>
    <row r="28" spans="1:8" ht="12.75">
      <c r="A28" s="27"/>
      <c r="B28" t="s">
        <v>181</v>
      </c>
      <c r="D28" s="8">
        <v>2100</v>
      </c>
      <c r="E28" s="8">
        <v>5</v>
      </c>
      <c r="F28" s="8">
        <f t="shared" si="0"/>
        <v>420</v>
      </c>
      <c r="G28" s="8">
        <f>(D28/2)*F16</f>
        <v>78.75</v>
      </c>
      <c r="H28" s="8">
        <f>(D28/2)*F$17</f>
        <v>15.75</v>
      </c>
    </row>
    <row r="29" spans="1:8" ht="12.75">
      <c r="A29" s="27"/>
      <c r="B29" t="s">
        <v>110</v>
      </c>
      <c r="D29" s="8">
        <v>525</v>
      </c>
      <c r="E29" s="8">
        <v>5</v>
      </c>
      <c r="F29" s="8">
        <f t="shared" si="0"/>
        <v>105</v>
      </c>
      <c r="G29" s="8">
        <f>(D29/2)*F16</f>
        <v>19.6875</v>
      </c>
      <c r="H29" s="8">
        <f>(D29/2)*F$17</f>
        <v>3.9375</v>
      </c>
    </row>
    <row r="30" spans="1:8" ht="12.75">
      <c r="A30" s="27"/>
      <c r="B30" t="s">
        <v>287</v>
      </c>
      <c r="D30" s="8">
        <v>1575</v>
      </c>
      <c r="E30" s="8">
        <v>20</v>
      </c>
      <c r="F30" s="8">
        <f t="shared" si="0"/>
        <v>78.75</v>
      </c>
      <c r="G30" s="8">
        <f>(D30/2)*F16</f>
        <v>59.0625</v>
      </c>
      <c r="H30" s="8">
        <f>(D30/2)*F17</f>
        <v>11.8125</v>
      </c>
    </row>
    <row r="31" spans="1:8" ht="12.75">
      <c r="A31" s="27"/>
      <c r="B31" t="s">
        <v>183</v>
      </c>
      <c r="D31" s="8">
        <v>656</v>
      </c>
      <c r="E31" s="8">
        <v>5</v>
      </c>
      <c r="F31" s="8">
        <f t="shared" si="0"/>
        <v>131.2</v>
      </c>
      <c r="G31" s="8">
        <f>(D31/2)*F16</f>
        <v>24.599999999999998</v>
      </c>
      <c r="H31" s="8">
        <f>(D31/2)*F17</f>
        <v>4.92</v>
      </c>
    </row>
    <row r="32" spans="1:8" ht="12.75">
      <c r="A32" s="27"/>
      <c r="B32" t="s">
        <v>160</v>
      </c>
      <c r="D32" s="8">
        <v>3150</v>
      </c>
      <c r="E32" s="8">
        <v>20</v>
      </c>
      <c r="F32" s="8">
        <f t="shared" si="0"/>
        <v>157.5</v>
      </c>
      <c r="G32" s="8">
        <f>(D32/2)*F16</f>
        <v>118.125</v>
      </c>
      <c r="H32" s="8">
        <f>(D32/2)*F17</f>
        <v>23.625</v>
      </c>
    </row>
    <row r="33" spans="1:8" ht="13.5" thickBot="1">
      <c r="A33" s="27"/>
      <c r="B33" s="6" t="s">
        <v>262</v>
      </c>
      <c r="D33" s="37">
        <f>SUM(D22:D32)</f>
        <v>90957.05</v>
      </c>
      <c r="E33" s="9"/>
      <c r="F33" s="93">
        <f>SUM(F22:F32)</f>
        <v>5183.554999999999</v>
      </c>
      <c r="G33" s="93">
        <f>SUM(G22:G32)</f>
        <v>3489.6</v>
      </c>
      <c r="H33" s="93">
        <f>SUM(H22:H32)</f>
        <v>682.177875</v>
      </c>
    </row>
    <row r="34" spans="1:8" ht="13.5" thickTop="1">
      <c r="A34" s="27"/>
      <c r="D34" s="9"/>
      <c r="E34" s="9"/>
      <c r="F34" s="9"/>
      <c r="G34" s="9"/>
      <c r="H34" s="9"/>
    </row>
    <row r="35" spans="1:8" ht="13.5" thickBot="1">
      <c r="A35" s="27"/>
      <c r="B35" s="6" t="s">
        <v>252</v>
      </c>
      <c r="D35" s="9"/>
      <c r="E35" s="9"/>
      <c r="F35" s="9"/>
      <c r="G35" s="9"/>
      <c r="H35" s="37">
        <f>F33+G33+H33</f>
        <v>9355.332874999998</v>
      </c>
    </row>
    <row r="36" spans="1:8" ht="14.25" thickBot="1" thickTop="1">
      <c r="A36" s="27"/>
      <c r="B36" s="6" t="s">
        <v>88</v>
      </c>
      <c r="D36" s="9"/>
      <c r="E36" s="9"/>
      <c r="F36" s="9"/>
      <c r="G36" s="9"/>
      <c r="H36" s="48">
        <f>H35/E14</f>
        <v>467.7666437499999</v>
      </c>
    </row>
    <row r="37" spans="1:8" ht="13.5" thickTop="1">
      <c r="A37" s="27"/>
      <c r="B37" s="6" t="s">
        <v>191</v>
      </c>
      <c r="D37" s="9"/>
      <c r="E37" s="9"/>
      <c r="F37" s="9"/>
      <c r="G37" s="9"/>
      <c r="H37" s="9"/>
    </row>
    <row r="38" spans="1:8" ht="12.75">
      <c r="A38" s="27"/>
      <c r="B38" t="s">
        <v>185</v>
      </c>
      <c r="D38" s="9"/>
      <c r="E38" s="9"/>
      <c r="F38" s="9">
        <v>50</v>
      </c>
      <c r="G38" s="9"/>
      <c r="H38" s="9"/>
    </row>
    <row r="39" spans="1:8" ht="12.75">
      <c r="A39" s="27"/>
      <c r="B39" t="s">
        <v>227</v>
      </c>
      <c r="D39" s="9"/>
      <c r="E39" s="9"/>
      <c r="F39" s="8">
        <v>625</v>
      </c>
      <c r="G39" s="9"/>
      <c r="H39" s="9"/>
    </row>
    <row r="40" spans="1:8" ht="12.75">
      <c r="A40" s="27"/>
      <c r="B40" t="s">
        <v>89</v>
      </c>
      <c r="D40" s="9"/>
      <c r="E40" s="9"/>
      <c r="F40" s="9">
        <v>100</v>
      </c>
      <c r="G40" s="9"/>
      <c r="H40" s="9"/>
    </row>
    <row r="41" spans="1:8" ht="12.75">
      <c r="A41" s="27"/>
      <c r="B41" t="s">
        <v>117</v>
      </c>
      <c r="D41" s="9"/>
      <c r="E41" s="9"/>
      <c r="F41" s="9"/>
      <c r="G41" s="9"/>
      <c r="H41" s="9"/>
    </row>
    <row r="42" spans="1:8" ht="12.75">
      <c r="A42" s="27"/>
      <c r="B42" t="s">
        <v>12</v>
      </c>
      <c r="D42" s="9"/>
      <c r="E42" s="9"/>
      <c r="F42" s="9">
        <v>1100</v>
      </c>
      <c r="G42" s="9"/>
      <c r="H42" s="9"/>
    </row>
    <row r="43" spans="1:8" ht="12.75">
      <c r="A43" s="27"/>
      <c r="B43" t="s">
        <v>32</v>
      </c>
      <c r="D43" s="9"/>
      <c r="E43" s="9"/>
      <c r="F43" s="9">
        <v>0.12</v>
      </c>
      <c r="G43" s="9"/>
      <c r="H43" s="9"/>
    </row>
    <row r="44" spans="1:8" ht="12.75">
      <c r="A44" s="27"/>
      <c r="B44" t="s">
        <v>86</v>
      </c>
      <c r="D44" s="9"/>
      <c r="E44" s="9"/>
      <c r="F44" s="8">
        <v>1245</v>
      </c>
      <c r="G44" s="9"/>
      <c r="H44" s="9"/>
    </row>
    <row r="45" spans="1:8" ht="12.75">
      <c r="A45" s="27"/>
      <c r="B45" t="s">
        <v>87</v>
      </c>
      <c r="D45" s="9"/>
      <c r="E45" s="9"/>
      <c r="F45" s="9"/>
      <c r="G45" s="9"/>
      <c r="H45" s="4">
        <f>F44/E14</f>
        <v>62.25</v>
      </c>
    </row>
    <row r="46" spans="1:8" ht="13.5" thickBot="1">
      <c r="A46" s="27"/>
      <c r="B46" s="6" t="s">
        <v>190</v>
      </c>
      <c r="D46" s="9"/>
      <c r="E46" s="9"/>
      <c r="F46" s="9"/>
      <c r="G46" s="9"/>
      <c r="H46" s="48">
        <f>(F39+F44)/E14</f>
        <v>93.5</v>
      </c>
    </row>
    <row r="47" spans="1:8" ht="13.5" thickTop="1">
      <c r="A47" s="27"/>
      <c r="D47" s="9"/>
      <c r="E47" s="9"/>
      <c r="F47" s="9"/>
      <c r="G47" s="9"/>
      <c r="H47" s="9"/>
    </row>
    <row r="48" spans="1:8" ht="13.5" thickBot="1">
      <c r="A48" s="27"/>
      <c r="B48" s="6" t="s">
        <v>251</v>
      </c>
      <c r="D48" s="9"/>
      <c r="E48" s="9"/>
      <c r="F48" s="9"/>
      <c r="G48" s="9"/>
      <c r="H48" s="48">
        <f>H36+H46</f>
        <v>561.26664375</v>
      </c>
    </row>
    <row r="49" ht="13.5" thickTop="1">
      <c r="A49" s="27"/>
    </row>
    <row r="50" spans="1:8" ht="12.75">
      <c r="A50" s="27"/>
      <c r="B50" s="95" t="s">
        <v>71</v>
      </c>
      <c r="C50" s="95"/>
      <c r="D50" s="95"/>
      <c r="E50" s="95"/>
      <c r="F50" s="95"/>
      <c r="G50" s="95"/>
      <c r="H50" s="95"/>
    </row>
    <row r="51" spans="1:8" ht="12.75">
      <c r="A51" s="27"/>
      <c r="B51" s="95" t="s">
        <v>327</v>
      </c>
      <c r="C51" s="95"/>
      <c r="D51" s="95"/>
      <c r="E51" s="95"/>
      <c r="F51" s="95"/>
      <c r="G51" s="95"/>
      <c r="H51" s="95"/>
    </row>
    <row r="52" spans="1:8" ht="12.75">
      <c r="A52" s="27"/>
      <c r="B52" s="95" t="s">
        <v>7</v>
      </c>
      <c r="C52" s="95"/>
      <c r="D52" s="95"/>
      <c r="E52" s="95"/>
      <c r="F52" s="95"/>
      <c r="G52" s="95"/>
      <c r="H52" s="95"/>
    </row>
    <row r="53" spans="1:8" ht="12.75">
      <c r="A53" s="27"/>
      <c r="B53" s="95" t="s">
        <v>6</v>
      </c>
      <c r="C53" s="95"/>
      <c r="D53" s="95"/>
      <c r="E53" s="95"/>
      <c r="F53" s="95"/>
      <c r="G53" s="95"/>
      <c r="H53" s="95"/>
    </row>
    <row r="54" spans="1:9" ht="12.75">
      <c r="A54" s="27"/>
      <c r="I54" s="95"/>
    </row>
    <row r="55" spans="1:9" ht="12.75">
      <c r="A55" s="27"/>
      <c r="B55" s="95" t="s">
        <v>371</v>
      </c>
      <c r="I55" s="95"/>
    </row>
    <row r="56" spans="1:9" ht="12.75">
      <c r="A56" s="27"/>
      <c r="B56" s="95" t="s">
        <v>370</v>
      </c>
      <c r="I56" s="95"/>
    </row>
    <row r="57" spans="1:9" ht="12.75">
      <c r="A57" s="27"/>
      <c r="I57" s="95"/>
    </row>
    <row r="58" spans="1:9" ht="12.75">
      <c r="A58" s="27"/>
      <c r="B58" s="95"/>
      <c r="C58" s="95"/>
      <c r="D58" s="95"/>
      <c r="E58" s="95"/>
      <c r="F58" s="95"/>
      <c r="G58" s="95"/>
      <c r="H58" s="95"/>
      <c r="I58" s="95"/>
    </row>
    <row r="59" spans="1:9" ht="12.75">
      <c r="A59" s="27"/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7"/>
      <c r="C60" s="95"/>
      <c r="D60" s="95"/>
      <c r="E60" s="95"/>
      <c r="F60" s="95"/>
      <c r="G60" s="95"/>
      <c r="H60" s="95"/>
      <c r="I60" s="95"/>
    </row>
    <row r="61" spans="1:8" ht="12.75">
      <c r="A61" s="27"/>
      <c r="D61" s="9"/>
      <c r="E61" s="9"/>
      <c r="F61" s="9"/>
      <c r="G61" s="9"/>
      <c r="H61" s="9"/>
    </row>
    <row r="62" spans="1:10" ht="12.75">
      <c r="A62" s="27"/>
      <c r="J62" s="31"/>
    </row>
    <row r="63" spans="1:10" ht="12.75">
      <c r="A63" s="27"/>
      <c r="J63" s="31"/>
    </row>
    <row r="64" spans="1:10" ht="12.75">
      <c r="A64" s="27"/>
      <c r="J64" s="31"/>
    </row>
    <row r="65" ht="12.75">
      <c r="J65" s="31"/>
    </row>
    <row r="66" ht="12.75">
      <c r="J66" s="31"/>
    </row>
    <row r="67" ht="12.75">
      <c r="J67" s="31"/>
    </row>
    <row r="68" ht="12.75">
      <c r="J68" s="31"/>
    </row>
    <row r="72" spans="2:10" ht="12.75">
      <c r="B72" s="60"/>
      <c r="C72" s="60"/>
      <c r="D72" s="60"/>
      <c r="E72" s="60"/>
      <c r="F72" s="60"/>
      <c r="G72" s="60"/>
      <c r="H72" s="60"/>
      <c r="I72" s="60"/>
      <c r="J72" s="61"/>
    </row>
    <row r="73" spans="2:10" ht="12.75">
      <c r="B73" s="175"/>
      <c r="C73" s="175"/>
      <c r="D73" s="175"/>
      <c r="E73" s="175"/>
      <c r="F73" s="175"/>
      <c r="G73" s="175"/>
      <c r="H73" s="175"/>
      <c r="I73" s="175"/>
      <c r="J73" s="175"/>
    </row>
    <row r="74" spans="2:10" ht="12.75">
      <c r="B74" s="175"/>
      <c r="C74" s="175"/>
      <c r="D74" s="175"/>
      <c r="E74" s="175"/>
      <c r="F74" s="175"/>
      <c r="G74" s="175"/>
      <c r="H74" s="175"/>
      <c r="I74" s="175"/>
      <c r="J74" s="175"/>
    </row>
  </sheetData>
  <sheetProtection/>
  <mergeCells count="7">
    <mergeCell ref="B74:J74"/>
    <mergeCell ref="C13:G13"/>
    <mergeCell ref="B73:J73"/>
    <mergeCell ref="B11:H11"/>
    <mergeCell ref="B12:H12"/>
    <mergeCell ref="B1:H1"/>
    <mergeCell ref="A2:O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2020-03-12T17:29:33Z</cp:lastPrinted>
  <dcterms:created xsi:type="dcterms:W3CDTF">2017-06-26T16:31:50Z</dcterms:created>
  <dcterms:modified xsi:type="dcterms:W3CDTF">2023-02-27T17:43:12Z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