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3.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4"/>
  <workbookPr autoCompressPictures="0"/>
  <mc:AlternateContent xmlns:mc="http://schemas.openxmlformats.org/markup-compatibility/2006">
    <mc:Choice Requires="x15">
      <x15ac:absPath xmlns:x15ac="http://schemas.microsoft.com/office/spreadsheetml/2010/11/ac" url="/Users/ASmith/Desktop/2024 M&amp;B/"/>
    </mc:Choice>
  </mc:AlternateContent>
  <xr:revisionPtr revIDLastSave="0" documentId="13_ncr:1_{F510C3C4-6A99-644D-8DE1-5218B713E265}" xr6:coauthVersionLast="47" xr6:coauthVersionMax="47" xr10:uidLastSave="{00000000-0000-0000-0000-000000000000}"/>
  <bookViews>
    <workbookView xWindow="1120" yWindow="500" windowWidth="39140" windowHeight="19400" tabRatio="790" activeTab="1" xr2:uid="{00000000-000D-0000-FFFF-FFFF00000000}"/>
  </bookViews>
  <sheets>
    <sheet name="Sheet1" sheetId="18" state="hidden" r:id="rId1"/>
    <sheet name="Conventional" sheetId="1" r:id="rId2"/>
    <sheet name="Prices" sheetId="10" state="hidden" r:id="rId3"/>
    <sheet name="Strip-Till" sheetId="2" r:id="rId4"/>
    <sheet name="Peanut Price Calculator" sheetId="17" r:id="rId5"/>
    <sheet name="Price Comparison" sheetId="14" r:id="rId6"/>
    <sheet name="CTillCharts" sheetId="11" r:id="rId7"/>
    <sheet name="STillCharts" sheetId="16" r:id="rId8"/>
    <sheet name="Irrigated" sheetId="7" state="hidden" r:id="rId9"/>
    <sheet name="Dryland" sheetId="3" state="hidden" r:id="rId10"/>
    <sheet name="Irrigated ST" sheetId="9" state="hidden" r:id="rId11"/>
    <sheet name="Dryland ST" sheetId="8" state="hidden" r:id="rId12"/>
  </sheets>
  <definedNames>
    <definedName name="_xlnm.Print_Area" localSheetId="1">Conventional!$A$1:$AA$48</definedName>
    <definedName name="_xlnm.Print_Area" localSheetId="6">CTillCharts!$A$1:$M$408</definedName>
    <definedName name="_xlnm.Print_Area" localSheetId="9">Dryland!$A$6:$M$38</definedName>
    <definedName name="_xlnm.Print_Area" localSheetId="11">'Dryland ST'!$A$6:$M$38</definedName>
    <definedName name="_xlnm.Print_Area" localSheetId="8">Irrigated!$A$4:$M$38</definedName>
    <definedName name="_xlnm.Print_Area" localSheetId="10">'Irrigated ST'!$A$3:$M$38</definedName>
    <definedName name="_xlnm.Print_Area" localSheetId="4">'Peanut Price Calculator'!$A$9:$I$28</definedName>
    <definedName name="_xlnm.Print_Area" localSheetId="5">'Price Comparison'!$A$1:$I$18</definedName>
    <definedName name="_xlnm.Print_Area" localSheetId="7">STillCharts!$A$1:$M$408</definedName>
    <definedName name="_xlnm.Print_Area" localSheetId="3">'Strip-Till'!$A$1:$U$50</definedName>
    <definedName name="TVC" localSheetId="7">Dryland!#REF!</definedName>
    <definedName name="TVC">Dryland!#REF!</definedName>
    <definedName name="yield" localSheetId="7">Dryland!#REF!</definedName>
    <definedName name="yield">Dryland!#REF!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35" i="1" l="1"/>
  <c r="B36" i="2"/>
  <c r="L28" i="2"/>
  <c r="B28" i="2"/>
  <c r="B23" i="2"/>
  <c r="L21" i="2"/>
  <c r="B21" i="2"/>
  <c r="L16" i="2"/>
  <c r="B16" i="2"/>
  <c r="B22" i="1" l="1"/>
  <c r="L22" i="1"/>
  <c r="L19" i="1"/>
  <c r="L20" i="1"/>
  <c r="L15" i="1"/>
  <c r="L13" i="1" l="1"/>
  <c r="B35" i="1" l="1"/>
  <c r="B20" i="1"/>
  <c r="B19" i="1"/>
  <c r="B15" i="1"/>
  <c r="L27" i="1"/>
  <c r="B27" i="1"/>
  <c r="B13" i="1"/>
  <c r="L11" i="2" l="1"/>
  <c r="L11" i="1"/>
  <c r="H16" i="2" l="1"/>
  <c r="H36" i="2"/>
  <c r="H21" i="2"/>
  <c r="R16" i="2"/>
  <c r="R15" i="1" l="1"/>
  <c r="R13" i="1"/>
  <c r="H13" i="1"/>
  <c r="H35" i="1"/>
  <c r="H20" i="1"/>
  <c r="R19" i="1"/>
  <c r="H19" i="1"/>
  <c r="H15" i="1"/>
  <c r="J35" i="1"/>
  <c r="J20" i="1"/>
  <c r="J19" i="1"/>
  <c r="T15" i="1"/>
  <c r="J15" i="1"/>
  <c r="T13" i="1"/>
  <c r="J13" i="1"/>
  <c r="J36" i="2"/>
  <c r="J21" i="2"/>
  <c r="J16" i="2"/>
  <c r="T16" i="2"/>
  <c r="P16" i="2" l="1"/>
  <c r="F16" i="2"/>
  <c r="F15" i="1" l="1"/>
  <c r="F13" i="1"/>
  <c r="P15" i="1"/>
  <c r="P13" i="1"/>
  <c r="X15" i="1"/>
  <c r="X13" i="1"/>
  <c r="V20" i="1"/>
  <c r="V15" i="1"/>
  <c r="V13" i="1"/>
  <c r="N16" i="2" l="1"/>
  <c r="N14" i="2"/>
  <c r="D20" i="1"/>
  <c r="D26" i="1" s="1"/>
  <c r="D15" i="1"/>
  <c r="N13" i="1"/>
  <c r="X26" i="1"/>
  <c r="V26" i="1"/>
  <c r="P26" i="1"/>
  <c r="J26" i="1"/>
  <c r="H26" i="1"/>
  <c r="F26" i="1"/>
  <c r="B26" i="1"/>
  <c r="N15" i="1"/>
  <c r="D13" i="1"/>
  <c r="D16" i="2" l="1"/>
  <c r="D14" i="2"/>
  <c r="J21" i="1" l="1"/>
  <c r="H21" i="1"/>
  <c r="F21" i="1"/>
  <c r="D21" i="1"/>
  <c r="B21" i="1"/>
  <c r="T19" i="1" l="1"/>
  <c r="F36" i="2" l="1"/>
  <c r="F21" i="2"/>
  <c r="P19" i="1"/>
  <c r="F35" i="1"/>
  <c r="F20" i="1"/>
  <c r="F19" i="1"/>
  <c r="R11" i="1"/>
  <c r="R11" i="2" l="1"/>
  <c r="X35" i="1"/>
  <c r="V35" i="1"/>
  <c r="X19" i="1"/>
  <c r="V19" i="1"/>
  <c r="X20" i="1"/>
  <c r="T23" i="2" l="1"/>
  <c r="N23" i="2"/>
  <c r="L23" i="2"/>
  <c r="T20" i="1"/>
  <c r="T26" i="1" s="1"/>
  <c r="R20" i="1"/>
  <c r="R26" i="1" s="1"/>
  <c r="P20" i="1"/>
  <c r="N20" i="1"/>
  <c r="N26" i="1" s="1"/>
  <c r="L26" i="1"/>
  <c r="T35" i="1"/>
  <c r="R35" i="1"/>
  <c r="P35" i="1"/>
  <c r="N35" i="1"/>
  <c r="T21" i="2"/>
  <c r="R21" i="2"/>
  <c r="P21" i="2"/>
  <c r="N21" i="2"/>
  <c r="T36" i="2"/>
  <c r="R36" i="2"/>
  <c r="P36" i="2"/>
  <c r="N36" i="2"/>
  <c r="D36" i="2"/>
  <c r="D21" i="2"/>
  <c r="D35" i="1"/>
  <c r="N11" i="2"/>
  <c r="B23" i="17" l="1"/>
  <c r="N19" i="1"/>
  <c r="D19" i="1"/>
  <c r="H11" i="2"/>
  <c r="L36" i="2" l="1"/>
  <c r="A23" i="17" l="1"/>
  <c r="A12" i="17"/>
  <c r="F8" i="2"/>
  <c r="B12" i="1" l="1"/>
  <c r="J8" i="2" l="1"/>
  <c r="H8" i="2"/>
  <c r="H24" i="2" l="1"/>
  <c r="D48" i="2" l="1"/>
  <c r="N24" i="2" l="1"/>
  <c r="P24" i="2"/>
  <c r="D24" i="2"/>
  <c r="F24" i="2"/>
  <c r="D4" i="9"/>
  <c r="T24" i="2"/>
  <c r="L24" i="2"/>
  <c r="J24" i="2"/>
  <c r="B24" i="2"/>
  <c r="B8" i="2"/>
  <c r="B4" i="9" s="1"/>
  <c r="F48" i="2"/>
  <c r="L14" i="2" s="1"/>
  <c r="H48" i="2"/>
  <c r="A27" i="17"/>
  <c r="A16" i="17"/>
  <c r="B17" i="17" s="1"/>
  <c r="D8" i="1" s="1"/>
  <c r="X8" i="1"/>
  <c r="X9" i="1" s="1"/>
  <c r="A2" i="2"/>
  <c r="B50" i="2"/>
  <c r="T29" i="2"/>
  <c r="T8" i="2"/>
  <c r="T9" i="2" s="1"/>
  <c r="R24" i="2"/>
  <c r="R8" i="2"/>
  <c r="E4" i="8" s="1"/>
  <c r="P29" i="2"/>
  <c r="P8" i="2"/>
  <c r="P9" i="2" s="1"/>
  <c r="J29" i="2"/>
  <c r="J9" i="2"/>
  <c r="E4" i="9"/>
  <c r="F29" i="2"/>
  <c r="N18" i="2"/>
  <c r="N19" i="2"/>
  <c r="N7" i="2"/>
  <c r="N29" i="2" s="1"/>
  <c r="D18" i="2"/>
  <c r="D7" i="2"/>
  <c r="D29" i="2" s="1"/>
  <c r="L18" i="2"/>
  <c r="L19" i="2"/>
  <c r="L13" i="2"/>
  <c r="L8" i="2"/>
  <c r="L9" i="2" s="1"/>
  <c r="B18" i="2"/>
  <c r="B19" i="2"/>
  <c r="B13" i="2"/>
  <c r="A33" i="2"/>
  <c r="A34" i="2"/>
  <c r="X28" i="1"/>
  <c r="V28" i="1"/>
  <c r="T28" i="1"/>
  <c r="T8" i="1"/>
  <c r="T9" i="1" s="1"/>
  <c r="R8" i="1"/>
  <c r="R9" i="1" s="1"/>
  <c r="P28" i="1"/>
  <c r="P8" i="1"/>
  <c r="P9" i="1" s="1"/>
  <c r="N7" i="1"/>
  <c r="N28" i="1" s="1"/>
  <c r="L12" i="1"/>
  <c r="L8" i="1"/>
  <c r="L9" i="1" s="1"/>
  <c r="J28" i="1"/>
  <c r="F28" i="1"/>
  <c r="D7" i="1"/>
  <c r="B269" i="11" s="1"/>
  <c r="D10" i="18"/>
  <c r="D11" i="18" s="1"/>
  <c r="D12" i="18" s="1"/>
  <c r="A10" i="18"/>
  <c r="A11" i="18" s="1"/>
  <c r="A12" i="18" s="1"/>
  <c r="E10" i="18"/>
  <c r="E11" i="18" s="1"/>
  <c r="E12" i="18" s="1"/>
  <c r="C10" i="18"/>
  <c r="C11" i="18" s="1"/>
  <c r="C12" i="18" s="1"/>
  <c r="B10" i="18"/>
  <c r="B11" i="18" s="1"/>
  <c r="B12" i="18" s="1"/>
  <c r="D3" i="18"/>
  <c r="D4" i="18" s="1"/>
  <c r="D5" i="18" s="1"/>
  <c r="A3" i="18"/>
  <c r="A4" i="18" s="1"/>
  <c r="A5" i="18" s="1"/>
  <c r="E3" i="18"/>
  <c r="E4" i="18" s="1"/>
  <c r="E5" i="18" s="1"/>
  <c r="C3" i="18"/>
  <c r="C4" i="18" s="1"/>
  <c r="C5" i="18" s="1"/>
  <c r="B3" i="18"/>
  <c r="B4" i="18" s="1"/>
  <c r="B5" i="18" s="1"/>
  <c r="J37" i="2"/>
  <c r="A3" i="2"/>
  <c r="B3" i="9"/>
  <c r="K13" i="9" s="1"/>
  <c r="I13" i="9" s="1"/>
  <c r="B37" i="2"/>
  <c r="B372" i="11"/>
  <c r="A1" i="2"/>
  <c r="D37" i="2"/>
  <c r="F37" i="2"/>
  <c r="H37" i="2"/>
  <c r="B4" i="17"/>
  <c r="B6" i="17" s="1"/>
  <c r="A49" i="2"/>
  <c r="B406" i="16"/>
  <c r="B405" i="16"/>
  <c r="B337" i="16"/>
  <c r="B336" i="16"/>
  <c r="B304" i="16"/>
  <c r="B303" i="16"/>
  <c r="B236" i="16"/>
  <c r="B235" i="16"/>
  <c r="B100" i="16"/>
  <c r="B99" i="16"/>
  <c r="B66" i="16"/>
  <c r="B65" i="16"/>
  <c r="B406" i="11"/>
  <c r="B405" i="11"/>
  <c r="B337" i="11"/>
  <c r="B336" i="11"/>
  <c r="B304" i="11"/>
  <c r="B303" i="11"/>
  <c r="B236" i="11"/>
  <c r="B235" i="11"/>
  <c r="B100" i="11"/>
  <c r="B99" i="11"/>
  <c r="B66" i="11"/>
  <c r="B65" i="11"/>
  <c r="D67" i="10"/>
  <c r="E67" i="10"/>
  <c r="B67" i="10"/>
  <c r="E46" i="10"/>
  <c r="D46" i="10"/>
  <c r="B46" i="10"/>
  <c r="T77" i="10"/>
  <c r="T78" i="10" s="1"/>
  <c r="T79" i="10" s="1"/>
  <c r="T80" i="10" s="1"/>
  <c r="T81" i="10" s="1"/>
  <c r="T82" i="10" s="1"/>
  <c r="T83" i="10" s="1"/>
  <c r="T84" i="10" s="1"/>
  <c r="N77" i="10"/>
  <c r="N78" i="10" s="1"/>
  <c r="N79" i="10" s="1"/>
  <c r="N80" i="10" s="1"/>
  <c r="N81" i="10" s="1"/>
  <c r="N82" i="10" s="1"/>
  <c r="N83" i="10" s="1"/>
  <c r="N84" i="10" s="1"/>
  <c r="B77" i="10"/>
  <c r="B78" i="10" s="1"/>
  <c r="B79" i="10" s="1"/>
  <c r="B80" i="10" s="1"/>
  <c r="B81" i="10" s="1"/>
  <c r="B82" i="10" s="1"/>
  <c r="B83" i="10" s="1"/>
  <c r="B84" i="10" s="1"/>
  <c r="T56" i="10"/>
  <c r="T57" i="10" s="1"/>
  <c r="T58" i="10" s="1"/>
  <c r="T59" i="10" s="1"/>
  <c r="N56" i="10"/>
  <c r="N57" i="10" s="1"/>
  <c r="N58" i="10" s="1"/>
  <c r="N59" i="10" s="1"/>
  <c r="N60" i="10" s="1"/>
  <c r="N61" i="10" s="1"/>
  <c r="N62" i="10" s="1"/>
  <c r="N63" i="10" s="1"/>
  <c r="B56" i="10"/>
  <c r="B57" i="10" s="1"/>
  <c r="B58" i="10" s="1"/>
  <c r="B59" i="10" s="1"/>
  <c r="B60" i="10" s="1"/>
  <c r="B61" i="10" s="1"/>
  <c r="B62" i="10" s="1"/>
  <c r="B63" i="10" s="1"/>
  <c r="B35" i="10"/>
  <c r="B34" i="10" s="1"/>
  <c r="B33" i="10" s="1"/>
  <c r="N14" i="10"/>
  <c r="N15" i="10" s="1"/>
  <c r="N16" i="10" s="1"/>
  <c r="N17" i="10" s="1"/>
  <c r="N18" i="10" s="1"/>
  <c r="N19" i="10" s="1"/>
  <c r="N20" i="10" s="1"/>
  <c r="N21" i="10" s="1"/>
  <c r="T14" i="10"/>
  <c r="T13" i="10" s="1"/>
  <c r="T12" i="10" s="1"/>
  <c r="T11" i="10" s="1"/>
  <c r="T10" i="10" s="1"/>
  <c r="T9" i="10" s="1"/>
  <c r="T8" i="10" s="1"/>
  <c r="T7" i="10" s="1"/>
  <c r="T35" i="10"/>
  <c r="T36" i="10" s="1"/>
  <c r="T37" i="10" s="1"/>
  <c r="N35" i="10"/>
  <c r="N36" i="10" s="1"/>
  <c r="N37" i="10" s="1"/>
  <c r="N38" i="10" s="1"/>
  <c r="N39" i="10" s="1"/>
  <c r="N40" i="10" s="1"/>
  <c r="N41" i="10" s="1"/>
  <c r="N42" i="10" s="1"/>
  <c r="E25" i="10"/>
  <c r="D25" i="10"/>
  <c r="B25" i="10"/>
  <c r="B14" i="10"/>
  <c r="B15" i="10" s="1"/>
  <c r="B16" i="10" s="1"/>
  <c r="B17" i="10" s="1"/>
  <c r="E4" i="10"/>
  <c r="D4" i="10"/>
  <c r="B4" i="10"/>
  <c r="E4" i="7"/>
  <c r="A36" i="7" s="1"/>
  <c r="A36" i="3" s="1"/>
  <c r="D3" i="9"/>
  <c r="D13" i="9" s="1"/>
  <c r="E3" i="9"/>
  <c r="D33" i="9" s="1"/>
  <c r="F3" i="9"/>
  <c r="D23" i="9" s="1"/>
  <c r="D3" i="8"/>
  <c r="D13" i="8" s="1"/>
  <c r="E3" i="8"/>
  <c r="D33" i="8" s="1"/>
  <c r="F3" i="8"/>
  <c r="D23" i="8" s="1"/>
  <c r="B3" i="8"/>
  <c r="K13" i="8" s="1"/>
  <c r="B2" i="8"/>
  <c r="C2" i="8"/>
  <c r="D2" i="8"/>
  <c r="E2" i="8"/>
  <c r="F2" i="8"/>
  <c r="B2" i="9"/>
  <c r="C2" i="9"/>
  <c r="D2" i="9"/>
  <c r="E2" i="9"/>
  <c r="F2" i="9"/>
  <c r="B2" i="7"/>
  <c r="C2" i="7"/>
  <c r="D2" i="7"/>
  <c r="E2" i="7"/>
  <c r="F2" i="7"/>
  <c r="G2" i="7"/>
  <c r="B3" i="7"/>
  <c r="K13" i="7" s="1"/>
  <c r="D3" i="7"/>
  <c r="D13" i="7" s="1"/>
  <c r="E3" i="7"/>
  <c r="D33" i="7" s="1"/>
  <c r="F3" i="7"/>
  <c r="D23" i="7" s="1"/>
  <c r="G3" i="7"/>
  <c r="K33" i="7" s="1"/>
  <c r="B4" i="7"/>
  <c r="H16" i="7" s="1"/>
  <c r="D4" i="7"/>
  <c r="A16" i="7" s="1"/>
  <c r="G4" i="7"/>
  <c r="H36" i="7" s="1"/>
  <c r="G3" i="3"/>
  <c r="K33" i="3" s="1"/>
  <c r="F3" i="3"/>
  <c r="D23" i="3" s="1"/>
  <c r="E3" i="3"/>
  <c r="D33" i="3" s="1"/>
  <c r="F33" i="3" s="1"/>
  <c r="D3" i="3"/>
  <c r="D13" i="3" s="1"/>
  <c r="B3" i="3"/>
  <c r="K13" i="3" s="1"/>
  <c r="I13" i="3" s="1"/>
  <c r="B2" i="3"/>
  <c r="C2" i="3"/>
  <c r="D2" i="3"/>
  <c r="E2" i="3"/>
  <c r="F2" i="3"/>
  <c r="G2" i="3"/>
  <c r="V9" i="1"/>
  <c r="H9" i="1"/>
  <c r="B9" i="1"/>
  <c r="F9" i="1"/>
  <c r="B270" i="16"/>
  <c r="B134" i="11"/>
  <c r="F4" i="7"/>
  <c r="A26" i="7" s="1"/>
  <c r="J9" i="1"/>
  <c r="B371" i="11"/>
  <c r="B202" i="11"/>
  <c r="F9" i="2"/>
  <c r="C25" i="10"/>
  <c r="B32" i="11"/>
  <c r="J14" i="2" l="1"/>
  <c r="B20" i="2"/>
  <c r="L20" i="2"/>
  <c r="L27" i="2" s="1"/>
  <c r="H20" i="2"/>
  <c r="J20" i="2"/>
  <c r="F22" i="2"/>
  <c r="B22" i="2"/>
  <c r="J22" i="2"/>
  <c r="D22" i="2"/>
  <c r="H22" i="2"/>
  <c r="T14" i="2"/>
  <c r="F14" i="2"/>
  <c r="D27" i="2"/>
  <c r="H14" i="2"/>
  <c r="H27" i="2" s="1"/>
  <c r="R14" i="2"/>
  <c r="P14" i="2"/>
  <c r="B14" i="2"/>
  <c r="T20" i="2"/>
  <c r="T27" i="2" s="1"/>
  <c r="R20" i="2"/>
  <c r="R27" i="2" s="1"/>
  <c r="B133" i="11"/>
  <c r="B269" i="16"/>
  <c r="B201" i="11"/>
  <c r="C4" i="10"/>
  <c r="C3" i="9"/>
  <c r="K23" i="9" s="1"/>
  <c r="I23" i="9" s="1"/>
  <c r="D28" i="1"/>
  <c r="B167" i="11"/>
  <c r="B371" i="16"/>
  <c r="C3" i="7"/>
  <c r="K23" i="7" s="1"/>
  <c r="L23" i="7" s="1"/>
  <c r="B31" i="11"/>
  <c r="B133" i="16"/>
  <c r="N20" i="2"/>
  <c r="N27" i="2" s="1"/>
  <c r="D20" i="2"/>
  <c r="C46" i="10"/>
  <c r="B31" i="16"/>
  <c r="B201" i="16"/>
  <c r="B167" i="16"/>
  <c r="B168" i="16"/>
  <c r="X30" i="1"/>
  <c r="E4" i="3"/>
  <c r="E5" i="3" s="1"/>
  <c r="E5" i="7"/>
  <c r="B76" i="10"/>
  <c r="B75" i="10" s="1"/>
  <c r="B74" i="10" s="1"/>
  <c r="B73" i="10" s="1"/>
  <c r="B72" i="10" s="1"/>
  <c r="B71" i="10" s="1"/>
  <c r="B70" i="10" s="1"/>
  <c r="B5" i="7"/>
  <c r="F33" i="9"/>
  <c r="E33" i="9"/>
  <c r="I13" i="7"/>
  <c r="L13" i="7"/>
  <c r="L30" i="1"/>
  <c r="D29" i="1"/>
  <c r="T55" i="10"/>
  <c r="T54" i="10" s="1"/>
  <c r="T53" i="10" s="1"/>
  <c r="T52" i="10" s="1"/>
  <c r="T51" i="10" s="1"/>
  <c r="T50" i="10" s="1"/>
  <c r="T49" i="10" s="1"/>
  <c r="B4" i="8"/>
  <c r="B5" i="8" s="1"/>
  <c r="D5" i="7"/>
  <c r="G4" i="3"/>
  <c r="G5" i="3" s="1"/>
  <c r="L13" i="3"/>
  <c r="M13" i="7"/>
  <c r="R9" i="2"/>
  <c r="F4" i="9"/>
  <c r="F5" i="9" s="1"/>
  <c r="L13" i="9"/>
  <c r="B36" i="10"/>
  <c r="B37" i="10" s="1"/>
  <c r="B38" i="10" s="1"/>
  <c r="B39" i="10" s="1"/>
  <c r="B40" i="10" s="1"/>
  <c r="D4" i="8"/>
  <c r="D5" i="8" s="1"/>
  <c r="N13" i="10"/>
  <c r="N12" i="10" s="1"/>
  <c r="N11" i="10" s="1"/>
  <c r="N76" i="10"/>
  <c r="N75" i="10" s="1"/>
  <c r="N74" i="10" s="1"/>
  <c r="N73" i="10" s="1"/>
  <c r="N72" i="10" s="1"/>
  <c r="N71" i="10" s="1"/>
  <c r="N70" i="10" s="1"/>
  <c r="B202" i="16"/>
  <c r="C33" i="7"/>
  <c r="B33" i="7"/>
  <c r="E33" i="7"/>
  <c r="M13" i="3"/>
  <c r="A37" i="7"/>
  <c r="A37" i="9" s="1"/>
  <c r="E33" i="3"/>
  <c r="C33" i="9"/>
  <c r="M13" i="9"/>
  <c r="T15" i="10"/>
  <c r="T16" i="10" s="1"/>
  <c r="T17" i="10" s="1"/>
  <c r="T76" i="10"/>
  <c r="T75" i="10" s="1"/>
  <c r="T74" i="10" s="1"/>
  <c r="T73" i="10" s="1"/>
  <c r="J13" i="3"/>
  <c r="J13" i="9"/>
  <c r="J13" i="7"/>
  <c r="E5" i="8"/>
  <c r="N55" i="10"/>
  <c r="N54" i="10" s="1"/>
  <c r="N53" i="10" s="1"/>
  <c r="E5" i="9"/>
  <c r="D5" i="9"/>
  <c r="B4" i="3"/>
  <c r="B5" i="3" s="1"/>
  <c r="P30" i="1"/>
  <c r="B9" i="2"/>
  <c r="B55" i="10"/>
  <c r="B54" i="10" s="1"/>
  <c r="B53" i="10" s="1"/>
  <c r="B52" i="10" s="1"/>
  <c r="B51" i="10" s="1"/>
  <c r="B50" i="10" s="1"/>
  <c r="B49" i="10" s="1"/>
  <c r="F4" i="8"/>
  <c r="F5" i="8" s="1"/>
  <c r="F4" i="3"/>
  <c r="F5" i="3" s="1"/>
  <c r="F5" i="7"/>
  <c r="D4" i="3"/>
  <c r="D5" i="3" s="1"/>
  <c r="N34" i="10"/>
  <c r="N33" i="10" s="1"/>
  <c r="N32" i="10" s="1"/>
  <c r="N31" i="10" s="1"/>
  <c r="N30" i="10" s="1"/>
  <c r="A38" i="7"/>
  <c r="A36" i="9"/>
  <c r="A35" i="7"/>
  <c r="A36" i="8"/>
  <c r="A34" i="7"/>
  <c r="A34" i="8" s="1"/>
  <c r="T34" i="10"/>
  <c r="T33" i="10" s="1"/>
  <c r="T32" i="10" s="1"/>
  <c r="H9" i="2"/>
  <c r="C67" i="10"/>
  <c r="B168" i="11"/>
  <c r="B270" i="11"/>
  <c r="B32" i="16"/>
  <c r="C3" i="8"/>
  <c r="K23" i="8" s="1"/>
  <c r="J23" i="8" s="1"/>
  <c r="C3" i="3"/>
  <c r="K23" i="3" s="1"/>
  <c r="L23" i="3" s="1"/>
  <c r="B372" i="16"/>
  <c r="B134" i="16"/>
  <c r="B13" i="7"/>
  <c r="C13" i="7"/>
  <c r="E13" i="7"/>
  <c r="F13" i="7"/>
  <c r="H16" i="3"/>
  <c r="H15" i="7"/>
  <c r="H14" i="7"/>
  <c r="H18" i="7"/>
  <c r="H16" i="9"/>
  <c r="H16" i="8"/>
  <c r="H17" i="7"/>
  <c r="F13" i="8"/>
  <c r="E13" i="8"/>
  <c r="C13" i="8"/>
  <c r="B13" i="8"/>
  <c r="A24" i="7"/>
  <c r="A26" i="9"/>
  <c r="A26" i="3"/>
  <c r="A28" i="7"/>
  <c r="A26" i="8"/>
  <c r="A25" i="7"/>
  <c r="A27" i="7"/>
  <c r="H35" i="7"/>
  <c r="H35" i="3" s="1"/>
  <c r="H34" i="7"/>
  <c r="H34" i="3" s="1"/>
  <c r="H36" i="3"/>
  <c r="H38" i="7"/>
  <c r="H38" i="3" s="1"/>
  <c r="H37" i="7"/>
  <c r="H37" i="3" s="1"/>
  <c r="B23" i="7"/>
  <c r="C23" i="7"/>
  <c r="E23" i="7"/>
  <c r="F23" i="7"/>
  <c r="B13" i="9"/>
  <c r="E13" i="9"/>
  <c r="C13" i="9"/>
  <c r="F13" i="9"/>
  <c r="C23" i="3"/>
  <c r="E23" i="3"/>
  <c r="F23" i="3"/>
  <c r="B23" i="3"/>
  <c r="B23" i="9"/>
  <c r="C23" i="9"/>
  <c r="E23" i="9"/>
  <c r="F23" i="9"/>
  <c r="F33" i="7"/>
  <c r="H30" i="1"/>
  <c r="H38" i="1" s="1"/>
  <c r="H39" i="1" s="1"/>
  <c r="H41" i="1" s="1"/>
  <c r="B13" i="10"/>
  <c r="B12" i="10" s="1"/>
  <c r="T30" i="1"/>
  <c r="B33" i="3"/>
  <c r="B33" i="9"/>
  <c r="N29" i="1"/>
  <c r="N30" i="2"/>
  <c r="C33" i="3"/>
  <c r="G5" i="7"/>
  <c r="B30" i="1"/>
  <c r="B3" i="10" s="1"/>
  <c r="F30" i="1"/>
  <c r="J33" i="7"/>
  <c r="I33" i="7"/>
  <c r="M33" i="7"/>
  <c r="L33" i="7"/>
  <c r="E13" i="3"/>
  <c r="F13" i="3"/>
  <c r="C13" i="3"/>
  <c r="B13" i="3"/>
  <c r="L13" i="8"/>
  <c r="J13" i="8"/>
  <c r="I13" i="8"/>
  <c r="M13" i="8"/>
  <c r="M33" i="3"/>
  <c r="I33" i="3"/>
  <c r="L33" i="3"/>
  <c r="J33" i="3"/>
  <c r="T60" i="10"/>
  <c r="D8" i="2"/>
  <c r="F23" i="8"/>
  <c r="E23" i="8"/>
  <c r="C23" i="8"/>
  <c r="B23" i="8"/>
  <c r="B5" i="9"/>
  <c r="C33" i="8"/>
  <c r="E33" i="8"/>
  <c r="B33" i="8"/>
  <c r="F33" i="8"/>
  <c r="B32" i="10"/>
  <c r="A16" i="9"/>
  <c r="A15" i="7"/>
  <c r="A16" i="3"/>
  <c r="A17" i="7"/>
  <c r="A16" i="8"/>
  <c r="A18" i="7"/>
  <c r="A14" i="7"/>
  <c r="B18" i="10"/>
  <c r="T38" i="10"/>
  <c r="P20" i="2"/>
  <c r="J30" i="1"/>
  <c r="V30" i="1"/>
  <c r="F20" i="2"/>
  <c r="D30" i="2"/>
  <c r="B28" i="17"/>
  <c r="R30" i="1"/>
  <c r="P27" i="2" l="1"/>
  <c r="F27" i="2"/>
  <c r="J27" i="2"/>
  <c r="B27" i="2"/>
  <c r="B31" i="2" s="1"/>
  <c r="R31" i="2"/>
  <c r="H31" i="2"/>
  <c r="D31" i="2"/>
  <c r="I23" i="7"/>
  <c r="J23" i="7"/>
  <c r="M23" i="7"/>
  <c r="M23" i="9"/>
  <c r="L23" i="9"/>
  <c r="D30" i="1"/>
  <c r="C3" i="10" s="1"/>
  <c r="C18" i="10" s="1"/>
  <c r="J23" i="9"/>
  <c r="P31" i="2"/>
  <c r="J31" i="2"/>
  <c r="F31" i="2"/>
  <c r="T31" i="2"/>
  <c r="L31" i="2"/>
  <c r="B6" i="3"/>
  <c r="I16" i="3" s="1"/>
  <c r="L33" i="1"/>
  <c r="L31" i="1"/>
  <c r="B24" i="10"/>
  <c r="L32" i="1"/>
  <c r="L38" i="1"/>
  <c r="L39" i="1" s="1"/>
  <c r="L41" i="1" s="1"/>
  <c r="L45" i="1" s="1"/>
  <c r="A37" i="3"/>
  <c r="A37" i="8"/>
  <c r="L23" i="8"/>
  <c r="M23" i="8"/>
  <c r="I23" i="8"/>
  <c r="E6" i="7"/>
  <c r="B38" i="7" s="1"/>
  <c r="E3" i="10"/>
  <c r="H32" i="1"/>
  <c r="B33" i="1"/>
  <c r="B32" i="1"/>
  <c r="A34" i="9"/>
  <c r="A34" i="3"/>
  <c r="A35" i="9"/>
  <c r="A35" i="3"/>
  <c r="A35" i="8"/>
  <c r="A38" i="8"/>
  <c r="A38" i="3"/>
  <c r="A38" i="9"/>
  <c r="N30" i="1"/>
  <c r="N38" i="1" s="1"/>
  <c r="N39" i="1" s="1"/>
  <c r="N41" i="1" s="1"/>
  <c r="I23" i="3"/>
  <c r="J23" i="3"/>
  <c r="M23" i="3"/>
  <c r="X32" i="1"/>
  <c r="X33" i="1"/>
  <c r="X31" i="1"/>
  <c r="X38" i="1"/>
  <c r="X39" i="1" s="1"/>
  <c r="X41" i="1" s="1"/>
  <c r="X42" i="1" s="1"/>
  <c r="G6" i="3"/>
  <c r="I38" i="3" s="1"/>
  <c r="A24" i="8"/>
  <c r="A24" i="3"/>
  <c r="A24" i="9"/>
  <c r="H18" i="3"/>
  <c r="H18" i="9"/>
  <c r="H18" i="8"/>
  <c r="B6" i="7"/>
  <c r="I16" i="7" s="1"/>
  <c r="H31" i="1"/>
  <c r="H33" i="1"/>
  <c r="A28" i="9"/>
  <c r="A28" i="8"/>
  <c r="A28" i="3"/>
  <c r="H17" i="8"/>
  <c r="H17" i="3"/>
  <c r="H17" i="9"/>
  <c r="H14" i="3"/>
  <c r="H14" i="9"/>
  <c r="H14" i="8"/>
  <c r="A27" i="3"/>
  <c r="A27" i="9"/>
  <c r="A27" i="8"/>
  <c r="H15" i="9"/>
  <c r="H15" i="8"/>
  <c r="H15" i="3"/>
  <c r="B38" i="1"/>
  <c r="B39" i="1" s="1"/>
  <c r="B41" i="1" s="1"/>
  <c r="B45" i="1" s="1"/>
  <c r="B31" i="1"/>
  <c r="A25" i="8"/>
  <c r="A25" i="9"/>
  <c r="A25" i="3"/>
  <c r="V32" i="1"/>
  <c r="V33" i="1"/>
  <c r="G6" i="7"/>
  <c r="L38" i="7" s="1"/>
  <c r="V38" i="1"/>
  <c r="V39" i="1" s="1"/>
  <c r="V41" i="1" s="1"/>
  <c r="V31" i="1"/>
  <c r="R38" i="1"/>
  <c r="R39" i="1" s="1"/>
  <c r="R41" i="1" s="1"/>
  <c r="R33" i="1"/>
  <c r="R31" i="1"/>
  <c r="E6" i="3"/>
  <c r="R32" i="1"/>
  <c r="E24" i="10"/>
  <c r="F6" i="7"/>
  <c r="J33" i="1"/>
  <c r="J38" i="1"/>
  <c r="J39" i="1" s="1"/>
  <c r="J41" i="1" s="1"/>
  <c r="J32" i="1"/>
  <c r="J31" i="1"/>
  <c r="A17" i="9"/>
  <c r="A17" i="8"/>
  <c r="A17" i="3"/>
  <c r="T33" i="1"/>
  <c r="T38" i="1"/>
  <c r="T39" i="1" s="1"/>
  <c r="T41" i="1" s="1"/>
  <c r="T31" i="1"/>
  <c r="F6" i="3"/>
  <c r="T32" i="1"/>
  <c r="B31" i="10"/>
  <c r="B41" i="10"/>
  <c r="B11" i="10"/>
  <c r="P33" i="1"/>
  <c r="P31" i="1"/>
  <c r="P38" i="1"/>
  <c r="P39" i="1" s="1"/>
  <c r="P41" i="1" s="1"/>
  <c r="P32" i="1"/>
  <c r="D24" i="10"/>
  <c r="D6" i="3"/>
  <c r="D16" i="3" s="1"/>
  <c r="A15" i="3"/>
  <c r="A15" i="9"/>
  <c r="A15" i="8"/>
  <c r="T61" i="10"/>
  <c r="B19" i="10"/>
  <c r="N10" i="10"/>
  <c r="H45" i="1"/>
  <c r="H42" i="1"/>
  <c r="H44" i="1"/>
  <c r="D9" i="2"/>
  <c r="C4" i="9"/>
  <c r="C5" i="9" s="1"/>
  <c r="T31" i="10"/>
  <c r="F32" i="1"/>
  <c r="F33" i="1"/>
  <c r="D6" i="7"/>
  <c r="B15" i="7" s="1"/>
  <c r="F31" i="1"/>
  <c r="F38" i="1"/>
  <c r="F39" i="1" s="1"/>
  <c r="F41" i="1" s="1"/>
  <c r="D3" i="10"/>
  <c r="N52" i="10"/>
  <c r="N8" i="2"/>
  <c r="N8" i="1"/>
  <c r="N31" i="2"/>
  <c r="T39" i="10"/>
  <c r="N29" i="10"/>
  <c r="A14" i="9"/>
  <c r="A14" i="8"/>
  <c r="A14" i="3"/>
  <c r="A18" i="3"/>
  <c r="A18" i="8"/>
  <c r="A18" i="9"/>
  <c r="D9" i="1"/>
  <c r="H77" i="10"/>
  <c r="H14" i="10"/>
  <c r="C4" i="7"/>
  <c r="H56" i="10"/>
  <c r="H35" i="10"/>
  <c r="T18" i="10"/>
  <c r="T72" i="10"/>
  <c r="C17" i="10" l="1"/>
  <c r="D38" i="1"/>
  <c r="D39" i="1" s="1"/>
  <c r="D41" i="1" s="1"/>
  <c r="D45" i="1" s="1"/>
  <c r="C6" i="7"/>
  <c r="C12" i="10"/>
  <c r="C13" i="10"/>
  <c r="R12" i="10"/>
  <c r="C15" i="10"/>
  <c r="D32" i="1"/>
  <c r="C14" i="10"/>
  <c r="D33" i="1"/>
  <c r="C16" i="10"/>
  <c r="J16" i="3"/>
  <c r="K16" i="3"/>
  <c r="J18" i="3"/>
  <c r="M16" i="3"/>
  <c r="K14" i="3"/>
  <c r="J37" i="3"/>
  <c r="L15" i="3"/>
  <c r="I14" i="3"/>
  <c r="L16" i="3"/>
  <c r="M18" i="3"/>
  <c r="D37" i="7"/>
  <c r="B34" i="7"/>
  <c r="K17" i="3"/>
  <c r="F38" i="7"/>
  <c r="C38" i="7"/>
  <c r="L42" i="1"/>
  <c r="E16" i="10"/>
  <c r="R9" i="10"/>
  <c r="L44" i="1"/>
  <c r="E32" i="10"/>
  <c r="L30" i="10"/>
  <c r="R11" i="10"/>
  <c r="E14" i="10"/>
  <c r="E15" i="10"/>
  <c r="R8" i="10"/>
  <c r="Q14" i="10"/>
  <c r="R17" i="10"/>
  <c r="R7" i="10"/>
  <c r="E17" i="10"/>
  <c r="R14" i="10"/>
  <c r="I18" i="3"/>
  <c r="K18" i="3"/>
  <c r="J34" i="3"/>
  <c r="C24" i="10"/>
  <c r="C40" i="10" s="1"/>
  <c r="N32" i="1"/>
  <c r="N33" i="1"/>
  <c r="J17" i="3"/>
  <c r="L17" i="3"/>
  <c r="X44" i="1"/>
  <c r="M17" i="3"/>
  <c r="E36" i="7"/>
  <c r="D36" i="7"/>
  <c r="B35" i="7"/>
  <c r="D38" i="7"/>
  <c r="F36" i="7"/>
  <c r="X45" i="1"/>
  <c r="E35" i="7"/>
  <c r="C34" i="7"/>
  <c r="C37" i="7"/>
  <c r="F35" i="7"/>
  <c r="B37" i="7"/>
  <c r="E37" i="7"/>
  <c r="D34" i="7"/>
  <c r="C35" i="7"/>
  <c r="F34" i="7"/>
  <c r="C36" i="7"/>
  <c r="J14" i="3"/>
  <c r="Q10" i="10"/>
  <c r="E38" i="7"/>
  <c r="B36" i="7"/>
  <c r="D35" i="7"/>
  <c r="F37" i="7"/>
  <c r="E34" i="7"/>
  <c r="R16" i="10"/>
  <c r="Q9" i="10"/>
  <c r="I37" i="3"/>
  <c r="Q8" i="10"/>
  <c r="E12" i="10"/>
  <c r="R10" i="10"/>
  <c r="J35" i="3"/>
  <c r="C6" i="3"/>
  <c r="M36" i="3"/>
  <c r="Q11" i="10"/>
  <c r="Q7" i="10"/>
  <c r="R15" i="10"/>
  <c r="Q17" i="10"/>
  <c r="J38" i="3"/>
  <c r="E13" i="10"/>
  <c r="E18" i="10"/>
  <c r="Q12" i="10"/>
  <c r="Q13" i="10"/>
  <c r="R13" i="10"/>
  <c r="Q15" i="10"/>
  <c r="Q16" i="10"/>
  <c r="J36" i="3"/>
  <c r="M38" i="3"/>
  <c r="I34" i="3"/>
  <c r="M15" i="3"/>
  <c r="M14" i="3"/>
  <c r="I15" i="3"/>
  <c r="J15" i="3"/>
  <c r="K15" i="3"/>
  <c r="I38" i="7"/>
  <c r="I35" i="7"/>
  <c r="I37" i="7"/>
  <c r="L36" i="3"/>
  <c r="E35" i="10"/>
  <c r="E14" i="7"/>
  <c r="J38" i="7"/>
  <c r="E37" i="10"/>
  <c r="E34" i="10"/>
  <c r="J36" i="7"/>
  <c r="B18" i="7"/>
  <c r="F14" i="7"/>
  <c r="L35" i="3"/>
  <c r="L36" i="7"/>
  <c r="J35" i="7"/>
  <c r="L37" i="7"/>
  <c r="J37" i="7"/>
  <c r="D36" i="10"/>
  <c r="M34" i="7"/>
  <c r="M35" i="7"/>
  <c r="M36" i="7"/>
  <c r="D33" i="10"/>
  <c r="Q32" i="10"/>
  <c r="E36" i="10"/>
  <c r="F15" i="7"/>
  <c r="B42" i="1"/>
  <c r="J18" i="7"/>
  <c r="L15" i="7"/>
  <c r="J16" i="7"/>
  <c r="I17" i="7"/>
  <c r="I18" i="7"/>
  <c r="K15" i="7"/>
  <c r="I15" i="7"/>
  <c r="J17" i="7"/>
  <c r="K14" i="7"/>
  <c r="M14" i="7"/>
  <c r="J14" i="7"/>
  <c r="M18" i="7"/>
  <c r="B44" i="1"/>
  <c r="L14" i="3"/>
  <c r="F16" i="3"/>
  <c r="K37" i="3"/>
  <c r="K34" i="3"/>
  <c r="M37" i="3"/>
  <c r="K35" i="3"/>
  <c r="O30" i="10"/>
  <c r="M35" i="3"/>
  <c r="D15" i="7"/>
  <c r="C16" i="3"/>
  <c r="L34" i="3"/>
  <c r="M37" i="7"/>
  <c r="I36" i="3"/>
  <c r="D40" i="10"/>
  <c r="L14" i="7"/>
  <c r="M15" i="7"/>
  <c r="K16" i="7"/>
  <c r="J15" i="7"/>
  <c r="L17" i="7"/>
  <c r="I14" i="7"/>
  <c r="M16" i="7"/>
  <c r="D34" i="10"/>
  <c r="B14" i="7"/>
  <c r="D37" i="10"/>
  <c r="D35" i="10"/>
  <c r="I17" i="3"/>
  <c r="K38" i="3"/>
  <c r="C14" i="7"/>
  <c r="L18" i="3"/>
  <c r="J34" i="7"/>
  <c r="K36" i="3"/>
  <c r="I34" i="7"/>
  <c r="L37" i="3"/>
  <c r="S32" i="10"/>
  <c r="M34" i="3"/>
  <c r="E16" i="3"/>
  <c r="L38" i="3"/>
  <c r="M38" i="7"/>
  <c r="I35" i="3"/>
  <c r="E40" i="10"/>
  <c r="L16" i="7"/>
  <c r="K17" i="7"/>
  <c r="L18" i="7"/>
  <c r="K18" i="7"/>
  <c r="M17" i="7"/>
  <c r="D33" i="2"/>
  <c r="C6" i="9"/>
  <c r="C45" i="10"/>
  <c r="D39" i="2"/>
  <c r="D40" i="2" s="1"/>
  <c r="D42" i="2" s="1"/>
  <c r="D43" i="2" s="1"/>
  <c r="D34" i="2"/>
  <c r="B34" i="2"/>
  <c r="B33" i="2"/>
  <c r="B32" i="2"/>
  <c r="B6" i="9"/>
  <c r="B45" i="10"/>
  <c r="B39" i="2"/>
  <c r="B40" i="2" s="1"/>
  <c r="B42" i="2" s="1"/>
  <c r="L14" i="10"/>
  <c r="M16" i="10"/>
  <c r="O17" i="10"/>
  <c r="L16" i="10"/>
  <c r="M17" i="10"/>
  <c r="O16" i="10"/>
  <c r="M19" i="10"/>
  <c r="L13" i="10"/>
  <c r="M21" i="10"/>
  <c r="L18" i="10"/>
  <c r="L19" i="10"/>
  <c r="M14" i="10"/>
  <c r="L17" i="10"/>
  <c r="L15" i="10"/>
  <c r="M13" i="10"/>
  <c r="M15" i="10"/>
  <c r="O19" i="10"/>
  <c r="O18" i="10"/>
  <c r="O12" i="10"/>
  <c r="O14" i="10"/>
  <c r="O20" i="10"/>
  <c r="O13" i="10"/>
  <c r="O15" i="10"/>
  <c r="L20" i="10"/>
  <c r="O21" i="10"/>
  <c r="M20" i="10"/>
  <c r="D13" i="10"/>
  <c r="L21" i="10"/>
  <c r="L12" i="10"/>
  <c r="M12" i="10"/>
  <c r="M18" i="10"/>
  <c r="O11" i="10"/>
  <c r="H36" i="10"/>
  <c r="H34" i="10"/>
  <c r="J34" i="2"/>
  <c r="J33" i="2"/>
  <c r="J32" i="2"/>
  <c r="J39" i="2"/>
  <c r="J40" i="2" s="1"/>
  <c r="J42" i="2" s="1"/>
  <c r="F6" i="9"/>
  <c r="D18" i="10"/>
  <c r="S15" i="10"/>
  <c r="D15" i="10"/>
  <c r="L11" i="10"/>
  <c r="S14" i="10"/>
  <c r="T71" i="10"/>
  <c r="F34" i="2"/>
  <c r="D6" i="9"/>
  <c r="F18" i="9" s="1"/>
  <c r="F39" i="2"/>
  <c r="F40" i="2" s="1"/>
  <c r="F42" i="2" s="1"/>
  <c r="F32" i="2"/>
  <c r="F33" i="2"/>
  <c r="D45" i="10"/>
  <c r="B16" i="7"/>
  <c r="D16" i="7"/>
  <c r="E16" i="7"/>
  <c r="F16" i="7"/>
  <c r="C16" i="7"/>
  <c r="P34" i="2"/>
  <c r="P32" i="2"/>
  <c r="P39" i="2"/>
  <c r="P40" i="2" s="1"/>
  <c r="P42" i="2" s="1"/>
  <c r="D6" i="8"/>
  <c r="B18" i="8" s="1"/>
  <c r="P33" i="2"/>
  <c r="D66" i="10"/>
  <c r="S7" i="10"/>
  <c r="T45" i="1"/>
  <c r="T42" i="1"/>
  <c r="T44" i="1"/>
  <c r="D27" i="7"/>
  <c r="B25" i="7"/>
  <c r="C24" i="7"/>
  <c r="E27" i="7"/>
  <c r="C28" i="7"/>
  <c r="F26" i="7"/>
  <c r="D26" i="7"/>
  <c r="F28" i="7"/>
  <c r="D28" i="7"/>
  <c r="B26" i="7"/>
  <c r="B27" i="7"/>
  <c r="E28" i="7"/>
  <c r="D24" i="7"/>
  <c r="C25" i="7"/>
  <c r="C26" i="7"/>
  <c r="E25" i="7"/>
  <c r="C27" i="7"/>
  <c r="F27" i="7"/>
  <c r="E24" i="7"/>
  <c r="F24" i="7"/>
  <c r="B28" i="7"/>
  <c r="B24" i="7"/>
  <c r="E26" i="7"/>
  <c r="D25" i="7"/>
  <c r="F25" i="7"/>
  <c r="V42" i="1"/>
  <c r="V45" i="1"/>
  <c r="V44" i="1"/>
  <c r="R34" i="2"/>
  <c r="R33" i="2"/>
  <c r="E6" i="8"/>
  <c r="R32" i="2"/>
  <c r="E66" i="10"/>
  <c r="R39" i="2"/>
  <c r="R40" i="2" s="1"/>
  <c r="R42" i="2" s="1"/>
  <c r="S9" i="10"/>
  <c r="C17" i="3"/>
  <c r="D17" i="3"/>
  <c r="F17" i="3"/>
  <c r="E17" i="3"/>
  <c r="B17" i="3"/>
  <c r="F45" i="1"/>
  <c r="F44" i="1"/>
  <c r="F42" i="1"/>
  <c r="P44" i="1"/>
  <c r="P45" i="1"/>
  <c r="P42" i="1"/>
  <c r="N34" i="2"/>
  <c r="C6" i="8"/>
  <c r="C66" i="10"/>
  <c r="N33" i="2"/>
  <c r="N39" i="2"/>
  <c r="N40" i="2" s="1"/>
  <c r="N42" i="2" s="1"/>
  <c r="R42" i="1"/>
  <c r="R44" i="1"/>
  <c r="R45" i="1"/>
  <c r="C18" i="3"/>
  <c r="B18" i="3"/>
  <c r="D18" i="3"/>
  <c r="F18" i="3"/>
  <c r="E18" i="3"/>
  <c r="N9" i="10"/>
  <c r="M10" i="10"/>
  <c r="O10" i="10"/>
  <c r="L10" i="10"/>
  <c r="T30" i="10"/>
  <c r="Q31" i="10"/>
  <c r="S31" i="10"/>
  <c r="C18" i="7"/>
  <c r="B14" i="3"/>
  <c r="C14" i="3"/>
  <c r="E14" i="3"/>
  <c r="F14" i="3"/>
  <c r="D14" i="3"/>
  <c r="D15" i="3"/>
  <c r="C15" i="3"/>
  <c r="B15" i="3"/>
  <c r="F15" i="3"/>
  <c r="E15" i="3"/>
  <c r="C11" i="10"/>
  <c r="B10" i="10"/>
  <c r="E11" i="10"/>
  <c r="D11" i="10"/>
  <c r="D17" i="7"/>
  <c r="Q35" i="10"/>
  <c r="S35" i="10"/>
  <c r="Q37" i="10"/>
  <c r="S34" i="10"/>
  <c r="S37" i="10"/>
  <c r="S36" i="10"/>
  <c r="Q36" i="10"/>
  <c r="Q34" i="10"/>
  <c r="E38" i="10"/>
  <c r="Q33" i="10"/>
  <c r="E33" i="10"/>
  <c r="E39" i="10"/>
  <c r="S33" i="10"/>
  <c r="K36" i="7"/>
  <c r="K35" i="7"/>
  <c r="K38" i="7"/>
  <c r="K37" i="7"/>
  <c r="K34" i="7"/>
  <c r="T40" i="10"/>
  <c r="Q39" i="10"/>
  <c r="S39" i="10"/>
  <c r="B30" i="10"/>
  <c r="D31" i="10"/>
  <c r="E31" i="10"/>
  <c r="M11" i="10"/>
  <c r="D25" i="3"/>
  <c r="D27" i="3"/>
  <c r="B25" i="3"/>
  <c r="C24" i="3"/>
  <c r="F24" i="3"/>
  <c r="E27" i="3"/>
  <c r="C26" i="3"/>
  <c r="D24" i="3"/>
  <c r="E25" i="3"/>
  <c r="F27" i="3"/>
  <c r="B27" i="3"/>
  <c r="C28" i="3"/>
  <c r="E26" i="3"/>
  <c r="B28" i="3"/>
  <c r="E28" i="3"/>
  <c r="B26" i="3"/>
  <c r="C25" i="3"/>
  <c r="C27" i="3"/>
  <c r="E24" i="3"/>
  <c r="D26" i="3"/>
  <c r="D28" i="3"/>
  <c r="F26" i="3"/>
  <c r="F25" i="3"/>
  <c r="F28" i="3"/>
  <c r="B24" i="3"/>
  <c r="D12" i="10"/>
  <c r="H32" i="2"/>
  <c r="E6" i="9"/>
  <c r="H33" i="2"/>
  <c r="H39" i="2"/>
  <c r="H40" i="2" s="1"/>
  <c r="H42" i="2" s="1"/>
  <c r="H34" i="2"/>
  <c r="E45" i="10"/>
  <c r="E17" i="7"/>
  <c r="H57" i="10"/>
  <c r="H55" i="10"/>
  <c r="F18" i="7"/>
  <c r="T34" i="2"/>
  <c r="T32" i="2"/>
  <c r="T39" i="2"/>
  <c r="T40" i="2" s="1"/>
  <c r="T42" i="2" s="1"/>
  <c r="T33" i="2"/>
  <c r="F6" i="8"/>
  <c r="F17" i="7"/>
  <c r="N51" i="10"/>
  <c r="G14" i="10"/>
  <c r="H13" i="10"/>
  <c r="H15" i="10"/>
  <c r="J14" i="10"/>
  <c r="I14" i="10"/>
  <c r="S38" i="10"/>
  <c r="I36" i="7"/>
  <c r="D32" i="2"/>
  <c r="N45" i="1"/>
  <c r="N44" i="1"/>
  <c r="C15" i="7"/>
  <c r="S16" i="10"/>
  <c r="S13" i="10"/>
  <c r="S11" i="10"/>
  <c r="B16" i="3"/>
  <c r="L34" i="7"/>
  <c r="B17" i="7"/>
  <c r="D31" i="1"/>
  <c r="D17" i="10"/>
  <c r="N28" i="10"/>
  <c r="O29" i="10"/>
  <c r="L29" i="10"/>
  <c r="D14" i="10"/>
  <c r="B20" i="10"/>
  <c r="C19" i="10"/>
  <c r="E19" i="10"/>
  <c r="D19" i="10"/>
  <c r="J42" i="1"/>
  <c r="J44" i="1"/>
  <c r="J45" i="1"/>
  <c r="S17" i="10"/>
  <c r="D16" i="10"/>
  <c r="D14" i="7"/>
  <c r="N9" i="1"/>
  <c r="C4" i="3"/>
  <c r="C5" i="3" s="1"/>
  <c r="T62" i="10"/>
  <c r="H26" i="7"/>
  <c r="C5" i="7"/>
  <c r="N9" i="2"/>
  <c r="C4" i="8"/>
  <c r="C5" i="8" s="1"/>
  <c r="L34" i="2"/>
  <c r="L32" i="2"/>
  <c r="B66" i="10"/>
  <c r="L33" i="2"/>
  <c r="L39" i="2"/>
  <c r="L40" i="2" s="1"/>
  <c r="L42" i="2" s="1"/>
  <c r="B6" i="8"/>
  <c r="B42" i="10"/>
  <c r="E41" i="10"/>
  <c r="D41" i="10"/>
  <c r="T19" i="10"/>
  <c r="R18" i="10"/>
  <c r="Q18" i="10"/>
  <c r="S18" i="10"/>
  <c r="E18" i="7"/>
  <c r="H78" i="10"/>
  <c r="H76" i="10"/>
  <c r="D18" i="7"/>
  <c r="Q38" i="10"/>
  <c r="E15" i="7"/>
  <c r="L41" i="10"/>
  <c r="O36" i="10"/>
  <c r="L36" i="10"/>
  <c r="O42" i="10"/>
  <c r="O31" i="10"/>
  <c r="L42" i="10"/>
  <c r="L40" i="10"/>
  <c r="O39" i="10"/>
  <c r="O34" i="10"/>
  <c r="O40" i="10"/>
  <c r="L38" i="10"/>
  <c r="O35" i="10"/>
  <c r="L39" i="10"/>
  <c r="L34" i="10"/>
  <c r="O41" i="10"/>
  <c r="L35" i="10"/>
  <c r="O37" i="10"/>
  <c r="L33" i="10"/>
  <c r="L37" i="10"/>
  <c r="O38" i="10"/>
  <c r="L32" i="10"/>
  <c r="D39" i="10"/>
  <c r="O32" i="10"/>
  <c r="O33" i="10"/>
  <c r="L31" i="10"/>
  <c r="D38" i="10"/>
  <c r="S12" i="10"/>
  <c r="S10" i="10"/>
  <c r="S8" i="10"/>
  <c r="D32" i="10"/>
  <c r="L35" i="7"/>
  <c r="C17" i="7"/>
  <c r="F36" i="3"/>
  <c r="E35" i="3"/>
  <c r="B37" i="3"/>
  <c r="B38" i="3"/>
  <c r="F38" i="3"/>
  <c r="E37" i="3"/>
  <c r="C37" i="3"/>
  <c r="C36" i="3"/>
  <c r="D37" i="3"/>
  <c r="C35" i="3"/>
  <c r="C38" i="3"/>
  <c r="E34" i="3"/>
  <c r="E38" i="3"/>
  <c r="F35" i="3"/>
  <c r="C34" i="3"/>
  <c r="E36" i="3"/>
  <c r="B35" i="3"/>
  <c r="D34" i="3"/>
  <c r="D35" i="3"/>
  <c r="B36" i="3"/>
  <c r="D36" i="3"/>
  <c r="B34" i="3"/>
  <c r="F34" i="3"/>
  <c r="F37" i="3"/>
  <c r="D38" i="3"/>
  <c r="D42" i="1" l="1"/>
  <c r="D44" i="1"/>
  <c r="R39" i="10"/>
  <c r="C37" i="10"/>
  <c r="M29" i="10"/>
  <c r="C38" i="10"/>
  <c r="M33" i="10"/>
  <c r="M31" i="10"/>
  <c r="M35" i="10"/>
  <c r="R34" i="10"/>
  <c r="M41" i="10"/>
  <c r="C34" i="10"/>
  <c r="M37" i="10"/>
  <c r="C31" i="10"/>
  <c r="C35" i="10"/>
  <c r="M32" i="10"/>
  <c r="M36" i="10"/>
  <c r="M34" i="10"/>
  <c r="C41" i="10"/>
  <c r="R37" i="10"/>
  <c r="R36" i="10"/>
  <c r="I35" i="10"/>
  <c r="R31" i="10"/>
  <c r="M38" i="10"/>
  <c r="M40" i="10"/>
  <c r="M39" i="10"/>
  <c r="G35" i="10"/>
  <c r="R38" i="10"/>
  <c r="C33" i="10"/>
  <c r="M42" i="10"/>
  <c r="C39" i="10"/>
  <c r="R33" i="10"/>
  <c r="R35" i="10"/>
  <c r="J35" i="10"/>
  <c r="C36" i="10"/>
  <c r="C32" i="10"/>
  <c r="R32" i="10"/>
  <c r="M30" i="10"/>
  <c r="G56" i="10"/>
  <c r="I56" i="10"/>
  <c r="E17" i="8"/>
  <c r="F14" i="8"/>
  <c r="E18" i="8"/>
  <c r="D18" i="8"/>
  <c r="F15" i="8"/>
  <c r="E14" i="8"/>
  <c r="C14" i="8"/>
  <c r="C18" i="8"/>
  <c r="D15" i="9"/>
  <c r="B18" i="9"/>
  <c r="L52" i="10"/>
  <c r="E17" i="9"/>
  <c r="M52" i="10"/>
  <c r="O52" i="10"/>
  <c r="D14" i="9"/>
  <c r="Q72" i="10"/>
  <c r="G77" i="10"/>
  <c r="R72" i="10"/>
  <c r="E42" i="10"/>
  <c r="C42" i="10"/>
  <c r="D42" i="10"/>
  <c r="C15" i="9"/>
  <c r="E18" i="9"/>
  <c r="E14" i="9"/>
  <c r="B15" i="9"/>
  <c r="N31" i="1"/>
  <c r="N42" i="1"/>
  <c r="R55" i="10"/>
  <c r="Q53" i="10"/>
  <c r="R57" i="10"/>
  <c r="Q55" i="10"/>
  <c r="R56" i="10"/>
  <c r="R53" i="10"/>
  <c r="S53" i="10"/>
  <c r="S49" i="10"/>
  <c r="Q54" i="10"/>
  <c r="Q51" i="10"/>
  <c r="S54" i="10"/>
  <c r="R50" i="10"/>
  <c r="Q57" i="10"/>
  <c r="S51" i="10"/>
  <c r="Q56" i="10"/>
  <c r="S52" i="10"/>
  <c r="R54" i="10"/>
  <c r="R49" i="10"/>
  <c r="S59" i="10"/>
  <c r="R51" i="10"/>
  <c r="Q49" i="10"/>
  <c r="Q52" i="10"/>
  <c r="R58" i="10"/>
  <c r="S55" i="10"/>
  <c r="Q58" i="10"/>
  <c r="S56" i="10"/>
  <c r="R52" i="10"/>
  <c r="S57" i="10"/>
  <c r="S58" i="10"/>
  <c r="S50" i="10"/>
  <c r="Q50" i="10"/>
  <c r="R59" i="10"/>
  <c r="Q59" i="10"/>
  <c r="S60" i="10"/>
  <c r="R60" i="10"/>
  <c r="Q60" i="10"/>
  <c r="O79" i="10"/>
  <c r="M83" i="10"/>
  <c r="M79" i="10"/>
  <c r="M72" i="10"/>
  <c r="L75" i="10"/>
  <c r="L78" i="10"/>
  <c r="L73" i="10"/>
  <c r="L82" i="10"/>
  <c r="M80" i="10"/>
  <c r="M84" i="10"/>
  <c r="O74" i="10"/>
  <c r="O71" i="10"/>
  <c r="M71" i="10"/>
  <c r="M78" i="10"/>
  <c r="M82" i="10"/>
  <c r="O78" i="10"/>
  <c r="L79" i="10"/>
  <c r="L76" i="10"/>
  <c r="L71" i="10"/>
  <c r="M73" i="10"/>
  <c r="L77" i="10"/>
  <c r="O73" i="10"/>
  <c r="L80" i="10"/>
  <c r="O75" i="10"/>
  <c r="O76" i="10"/>
  <c r="O82" i="10"/>
  <c r="L70" i="10"/>
  <c r="L84" i="10"/>
  <c r="O83" i="10"/>
  <c r="O77" i="10"/>
  <c r="M81" i="10"/>
  <c r="M70" i="10"/>
  <c r="O84" i="10"/>
  <c r="O81" i="10"/>
  <c r="M75" i="10"/>
  <c r="M76" i="10"/>
  <c r="O80" i="10"/>
  <c r="L74" i="10"/>
  <c r="L81" i="10"/>
  <c r="L72" i="10"/>
  <c r="L83" i="10"/>
  <c r="O72" i="10"/>
  <c r="O70" i="10"/>
  <c r="M77" i="10"/>
  <c r="M74" i="10"/>
  <c r="K15" i="8"/>
  <c r="K17" i="8"/>
  <c r="K18" i="8"/>
  <c r="K14" i="8"/>
  <c r="K16" i="8"/>
  <c r="M15" i="8"/>
  <c r="I18" i="8"/>
  <c r="J18" i="8"/>
  <c r="L15" i="8"/>
  <c r="M14" i="8"/>
  <c r="M18" i="8"/>
  <c r="M17" i="8"/>
  <c r="M16" i="8"/>
  <c r="I16" i="8"/>
  <c r="J17" i="8"/>
  <c r="I15" i="8"/>
  <c r="L14" i="8"/>
  <c r="I17" i="8"/>
  <c r="L18" i="8"/>
  <c r="I14" i="8"/>
  <c r="J14" i="8"/>
  <c r="L17" i="8"/>
  <c r="J15" i="8"/>
  <c r="J16" i="8"/>
  <c r="L16" i="8"/>
  <c r="I26" i="7"/>
  <c r="H24" i="7"/>
  <c r="H26" i="9"/>
  <c r="H26" i="3"/>
  <c r="H28" i="7"/>
  <c r="H27" i="7"/>
  <c r="J26" i="7"/>
  <c r="L26" i="7"/>
  <c r="H26" i="8"/>
  <c r="M26" i="7"/>
  <c r="H25" i="7"/>
  <c r="K26" i="7"/>
  <c r="D16" i="8"/>
  <c r="C16" i="8"/>
  <c r="E16" i="8"/>
  <c r="F16" i="8"/>
  <c r="B16" i="8"/>
  <c r="T41" i="10"/>
  <c r="R40" i="10"/>
  <c r="Q40" i="10"/>
  <c r="S40" i="10"/>
  <c r="F16" i="9"/>
  <c r="D16" i="9"/>
  <c r="B16" i="9"/>
  <c r="C16" i="9"/>
  <c r="E16" i="9"/>
  <c r="C14" i="9"/>
  <c r="N50" i="10"/>
  <c r="O51" i="10"/>
  <c r="L51" i="10"/>
  <c r="M51" i="10"/>
  <c r="R45" i="2"/>
  <c r="R46" i="2"/>
  <c r="R43" i="2"/>
  <c r="F24" i="9"/>
  <c r="B26" i="9"/>
  <c r="C26" i="9"/>
  <c r="F28" i="9"/>
  <c r="E25" i="9"/>
  <c r="E27" i="9"/>
  <c r="B28" i="9"/>
  <c r="B25" i="9"/>
  <c r="B24" i="9"/>
  <c r="E26" i="9"/>
  <c r="D27" i="9"/>
  <c r="F27" i="9"/>
  <c r="C27" i="9"/>
  <c r="F25" i="9"/>
  <c r="D28" i="9"/>
  <c r="E28" i="9"/>
  <c r="D26" i="9"/>
  <c r="D25" i="9"/>
  <c r="C25" i="9"/>
  <c r="C24" i="9"/>
  <c r="E24" i="9"/>
  <c r="F26" i="9"/>
  <c r="C28" i="9"/>
  <c r="D24" i="9"/>
  <c r="B27" i="9"/>
  <c r="R61" i="10"/>
  <c r="N8" i="10"/>
  <c r="M9" i="10"/>
  <c r="O9" i="10"/>
  <c r="L9" i="10"/>
  <c r="P46" i="2"/>
  <c r="P45" i="2"/>
  <c r="P43" i="2"/>
  <c r="O61" i="10"/>
  <c r="M60" i="10"/>
  <c r="L62" i="10"/>
  <c r="O62" i="10"/>
  <c r="O60" i="10"/>
  <c r="O55" i="10"/>
  <c r="O59" i="10"/>
  <c r="M56" i="10"/>
  <c r="L58" i="10"/>
  <c r="M61" i="10"/>
  <c r="M63" i="10"/>
  <c r="M58" i="10"/>
  <c r="L59" i="10"/>
  <c r="M55" i="10"/>
  <c r="O57" i="10"/>
  <c r="L55" i="10"/>
  <c r="L61" i="10"/>
  <c r="O58" i="10"/>
  <c r="L57" i="10"/>
  <c r="O56" i="10"/>
  <c r="M57" i="10"/>
  <c r="M59" i="10"/>
  <c r="O63" i="10"/>
  <c r="L63" i="10"/>
  <c r="L56" i="10"/>
  <c r="M62" i="10"/>
  <c r="L60" i="10"/>
  <c r="M54" i="10"/>
  <c r="O54" i="10"/>
  <c r="L54" i="10"/>
  <c r="L53" i="10"/>
  <c r="M53" i="10"/>
  <c r="O53" i="10"/>
  <c r="J46" i="2"/>
  <c r="J45" i="2"/>
  <c r="J43" i="2"/>
  <c r="H37" i="10"/>
  <c r="J36" i="10"/>
  <c r="G36" i="10"/>
  <c r="I36" i="10"/>
  <c r="D46" i="2"/>
  <c r="D45" i="2"/>
  <c r="D17" i="9"/>
  <c r="D18" i="9"/>
  <c r="I77" i="10"/>
  <c r="C15" i="8"/>
  <c r="D28" i="8"/>
  <c r="D27" i="8"/>
  <c r="D26" i="8"/>
  <c r="D24" i="8"/>
  <c r="D25" i="8"/>
  <c r="F27" i="8"/>
  <c r="E28" i="8"/>
  <c r="B26" i="8"/>
  <c r="B27" i="8"/>
  <c r="E27" i="8"/>
  <c r="C26" i="8"/>
  <c r="B28" i="8"/>
  <c r="C24" i="8"/>
  <c r="F24" i="8"/>
  <c r="E24" i="8"/>
  <c r="C28" i="8"/>
  <c r="F25" i="8"/>
  <c r="E25" i="8"/>
  <c r="C25" i="8"/>
  <c r="B24" i="8"/>
  <c r="B25" i="8"/>
  <c r="E26" i="8"/>
  <c r="F26" i="8"/>
  <c r="C27" i="8"/>
  <c r="F28" i="8"/>
  <c r="D17" i="8"/>
  <c r="N45" i="2"/>
  <c r="N46" i="2"/>
  <c r="T70" i="10"/>
  <c r="R71" i="10"/>
  <c r="S71" i="10"/>
  <c r="Q71" i="10"/>
  <c r="B45" i="2"/>
  <c r="B46" i="2"/>
  <c r="B43" i="2"/>
  <c r="H79" i="10"/>
  <c r="J78" i="10"/>
  <c r="G78" i="10"/>
  <c r="I78" i="10"/>
  <c r="N32" i="2"/>
  <c r="N43" i="2"/>
  <c r="F17" i="9"/>
  <c r="J34" i="10"/>
  <c r="H33" i="10"/>
  <c r="G34" i="10"/>
  <c r="I34" i="10"/>
  <c r="H46" i="2"/>
  <c r="H43" i="2"/>
  <c r="H45" i="2"/>
  <c r="E15" i="9"/>
  <c r="B17" i="8"/>
  <c r="R84" i="10"/>
  <c r="R81" i="10"/>
  <c r="R77" i="10"/>
  <c r="R83" i="10"/>
  <c r="Q81" i="10"/>
  <c r="Q77" i="10"/>
  <c r="R78" i="10"/>
  <c r="Q84" i="10"/>
  <c r="Q83" i="10"/>
  <c r="S80" i="10"/>
  <c r="R82" i="10"/>
  <c r="Q79" i="10"/>
  <c r="Q76" i="10"/>
  <c r="S77" i="10"/>
  <c r="R79" i="10"/>
  <c r="Q80" i="10"/>
  <c r="S76" i="10"/>
  <c r="Q78" i="10"/>
  <c r="S84" i="10"/>
  <c r="S79" i="10"/>
  <c r="S82" i="10"/>
  <c r="R80" i="10"/>
  <c r="S81" i="10"/>
  <c r="R74" i="10"/>
  <c r="S78" i="10"/>
  <c r="Q82" i="10"/>
  <c r="S83" i="10"/>
  <c r="R76" i="10"/>
  <c r="S75" i="10"/>
  <c r="S74" i="10"/>
  <c r="Q74" i="10"/>
  <c r="R75" i="10"/>
  <c r="Q75" i="10"/>
  <c r="R73" i="10"/>
  <c r="Q73" i="10"/>
  <c r="S73" i="10"/>
  <c r="T20" i="10"/>
  <c r="R19" i="10"/>
  <c r="S19" i="10"/>
  <c r="Q19" i="10"/>
  <c r="J15" i="10"/>
  <c r="H16" i="10"/>
  <c r="I15" i="10"/>
  <c r="G15" i="10"/>
  <c r="D35" i="9"/>
  <c r="B35" i="9"/>
  <c r="F38" i="9"/>
  <c r="D38" i="9"/>
  <c r="F34" i="9"/>
  <c r="D36" i="9"/>
  <c r="F35" i="9"/>
  <c r="B38" i="9"/>
  <c r="C38" i="9"/>
  <c r="F37" i="9"/>
  <c r="B37" i="9"/>
  <c r="B34" i="9"/>
  <c r="C37" i="9"/>
  <c r="C34" i="9"/>
  <c r="E36" i="9"/>
  <c r="C36" i="9"/>
  <c r="D37" i="9"/>
  <c r="C35" i="9"/>
  <c r="E38" i="9"/>
  <c r="D34" i="9"/>
  <c r="E37" i="9"/>
  <c r="B36" i="9"/>
  <c r="E35" i="9"/>
  <c r="F36" i="9"/>
  <c r="E34" i="9"/>
  <c r="J77" i="10"/>
  <c r="Q61" i="10"/>
  <c r="H12" i="10"/>
  <c r="G13" i="10"/>
  <c r="J13" i="10"/>
  <c r="I13" i="10"/>
  <c r="D37" i="8"/>
  <c r="D36" i="8"/>
  <c r="D35" i="8"/>
  <c r="D38" i="8"/>
  <c r="D34" i="8"/>
  <c r="C36" i="8"/>
  <c r="F38" i="8"/>
  <c r="B37" i="8"/>
  <c r="E36" i="8"/>
  <c r="E38" i="8"/>
  <c r="B35" i="8"/>
  <c r="E34" i="8"/>
  <c r="F36" i="8"/>
  <c r="C37" i="8"/>
  <c r="F34" i="8"/>
  <c r="B34" i="8"/>
  <c r="B36" i="8"/>
  <c r="B38" i="8"/>
  <c r="E37" i="8"/>
  <c r="C34" i="8"/>
  <c r="F35" i="8"/>
  <c r="F37" i="8"/>
  <c r="E35" i="8"/>
  <c r="C35" i="8"/>
  <c r="C38" i="8"/>
  <c r="E56" i="10"/>
  <c r="C56" i="10"/>
  <c r="E62" i="10"/>
  <c r="C57" i="10"/>
  <c r="C58" i="10"/>
  <c r="E54" i="10"/>
  <c r="E59" i="10"/>
  <c r="E58" i="10"/>
  <c r="C53" i="10"/>
  <c r="D49" i="10"/>
  <c r="D50" i="10"/>
  <c r="C54" i="10"/>
  <c r="E50" i="10"/>
  <c r="C62" i="10"/>
  <c r="D55" i="10"/>
  <c r="C60" i="10"/>
  <c r="C59" i="10"/>
  <c r="C49" i="10"/>
  <c r="E51" i="10"/>
  <c r="D56" i="10"/>
  <c r="D52" i="10"/>
  <c r="E52" i="10"/>
  <c r="D58" i="10"/>
  <c r="D53" i="10"/>
  <c r="E57" i="10"/>
  <c r="E49" i="10"/>
  <c r="D62" i="10"/>
  <c r="D57" i="10"/>
  <c r="D59" i="10"/>
  <c r="E55" i="10"/>
  <c r="D61" i="10"/>
  <c r="C63" i="10"/>
  <c r="C61" i="10"/>
  <c r="E63" i="10"/>
  <c r="C55" i="10"/>
  <c r="E60" i="10"/>
  <c r="D63" i="10"/>
  <c r="D54" i="10"/>
  <c r="D51" i="10"/>
  <c r="E61" i="10"/>
  <c r="D60" i="10"/>
  <c r="C50" i="10"/>
  <c r="C52" i="10"/>
  <c r="C51" i="10"/>
  <c r="E53" i="10"/>
  <c r="C20" i="10"/>
  <c r="B21" i="10"/>
  <c r="E20" i="10"/>
  <c r="D20" i="10"/>
  <c r="R30" i="10"/>
  <c r="T29" i="10"/>
  <c r="S30" i="10"/>
  <c r="Q30" i="10"/>
  <c r="L46" i="2"/>
  <c r="L45" i="2"/>
  <c r="L43" i="2"/>
  <c r="C17" i="9"/>
  <c r="B9" i="10"/>
  <c r="C10" i="10"/>
  <c r="E10" i="10"/>
  <c r="D10" i="10"/>
  <c r="C18" i="9"/>
  <c r="S72" i="10"/>
  <c r="D15" i="8"/>
  <c r="B17" i="9"/>
  <c r="B29" i="10"/>
  <c r="E30" i="10"/>
  <c r="C30" i="10"/>
  <c r="D30" i="10"/>
  <c r="F15" i="9"/>
  <c r="C74" i="10"/>
  <c r="E79" i="10"/>
  <c r="E74" i="10"/>
  <c r="E70" i="10"/>
  <c r="E71" i="10"/>
  <c r="E72" i="10"/>
  <c r="E81" i="10"/>
  <c r="E73" i="10"/>
  <c r="E82" i="10"/>
  <c r="C77" i="10"/>
  <c r="D80" i="10"/>
  <c r="C78" i="10"/>
  <c r="C79" i="10"/>
  <c r="E80" i="10"/>
  <c r="D78" i="10"/>
  <c r="D76" i="10"/>
  <c r="C80" i="10"/>
  <c r="C84" i="10"/>
  <c r="E76" i="10"/>
  <c r="D84" i="10"/>
  <c r="D70" i="10"/>
  <c r="D75" i="10"/>
  <c r="E78" i="10"/>
  <c r="E75" i="10"/>
  <c r="C83" i="10"/>
  <c r="C70" i="10"/>
  <c r="E84" i="10"/>
  <c r="D79" i="10"/>
  <c r="C82" i="10"/>
  <c r="C71" i="10"/>
  <c r="D74" i="10"/>
  <c r="C76" i="10"/>
  <c r="D71" i="10"/>
  <c r="C81" i="10"/>
  <c r="E83" i="10"/>
  <c r="D77" i="10"/>
  <c r="C75" i="10"/>
  <c r="D83" i="10"/>
  <c r="D73" i="10"/>
  <c r="D82" i="10"/>
  <c r="C73" i="10"/>
  <c r="E77" i="10"/>
  <c r="C72" i="10"/>
  <c r="D81" i="10"/>
  <c r="D72" i="10"/>
  <c r="S61" i="10"/>
  <c r="M28" i="10"/>
  <c r="O28" i="10"/>
  <c r="L28" i="10"/>
  <c r="J56" i="10"/>
  <c r="F14" i="9"/>
  <c r="B15" i="8"/>
  <c r="D14" i="8"/>
  <c r="H54" i="10"/>
  <c r="J55" i="10"/>
  <c r="G55" i="10"/>
  <c r="I55" i="10"/>
  <c r="F17" i="8"/>
  <c r="B14" i="9"/>
  <c r="H75" i="10"/>
  <c r="J76" i="10"/>
  <c r="G76" i="10"/>
  <c r="I76" i="10"/>
  <c r="T63" i="10"/>
  <c r="R62" i="10"/>
  <c r="Q62" i="10"/>
  <c r="S62" i="10"/>
  <c r="E15" i="8"/>
  <c r="B14" i="8"/>
  <c r="T45" i="2"/>
  <c r="T46" i="2"/>
  <c r="T43" i="2"/>
  <c r="H58" i="10"/>
  <c r="J57" i="10"/>
  <c r="G57" i="10"/>
  <c r="I57" i="10"/>
  <c r="F18" i="8"/>
  <c r="C17" i="8"/>
  <c r="F43" i="2"/>
  <c r="F45" i="2"/>
  <c r="F46" i="2"/>
  <c r="L14" i="9"/>
  <c r="L18" i="9"/>
  <c r="J17" i="9"/>
  <c r="L16" i="9"/>
  <c r="K16" i="9"/>
  <c r="I18" i="9"/>
  <c r="I16" i="9"/>
  <c r="J15" i="9"/>
  <c r="J14" i="9"/>
  <c r="L17" i="9"/>
  <c r="M16" i="9"/>
  <c r="K18" i="9"/>
  <c r="I17" i="9"/>
  <c r="J16" i="9"/>
  <c r="I15" i="9"/>
  <c r="K15" i="9"/>
  <c r="L15" i="9"/>
  <c r="K14" i="9"/>
  <c r="M17" i="9"/>
  <c r="J18" i="9"/>
  <c r="K17" i="9"/>
  <c r="I14" i="9"/>
  <c r="M15" i="9"/>
  <c r="M18" i="9"/>
  <c r="M14" i="9"/>
  <c r="N7" i="10" l="1"/>
  <c r="L8" i="10"/>
  <c r="M8" i="10"/>
  <c r="O8" i="10"/>
  <c r="M28" i="7"/>
  <c r="H28" i="9"/>
  <c r="I28" i="7"/>
  <c r="J28" i="7"/>
  <c r="K28" i="7"/>
  <c r="L28" i="7"/>
  <c r="H28" i="8"/>
  <c r="H28" i="3"/>
  <c r="N49" i="10"/>
  <c r="O50" i="10"/>
  <c r="M50" i="10"/>
  <c r="L50" i="10"/>
  <c r="H53" i="10"/>
  <c r="J54" i="10"/>
  <c r="I54" i="10"/>
  <c r="G54" i="10"/>
  <c r="Q29" i="10"/>
  <c r="T28" i="10"/>
  <c r="R29" i="10"/>
  <c r="S29" i="10"/>
  <c r="J26" i="9"/>
  <c r="M26" i="9"/>
  <c r="L26" i="9"/>
  <c r="I26" i="9"/>
  <c r="K26" i="9"/>
  <c r="C9" i="10"/>
  <c r="B8" i="10"/>
  <c r="E9" i="10"/>
  <c r="D9" i="10"/>
  <c r="H24" i="8"/>
  <c r="M24" i="7"/>
  <c r="H24" i="3"/>
  <c r="I24" i="7"/>
  <c r="H24" i="9"/>
  <c r="L24" i="7"/>
  <c r="J24" i="7"/>
  <c r="K24" i="7"/>
  <c r="J26" i="8"/>
  <c r="I26" i="8"/>
  <c r="K26" i="8"/>
  <c r="M26" i="8"/>
  <c r="L26" i="8"/>
  <c r="H80" i="10"/>
  <c r="G79" i="10"/>
  <c r="I79" i="10"/>
  <c r="J79" i="10"/>
  <c r="H38" i="10"/>
  <c r="J37" i="10"/>
  <c r="G37" i="10"/>
  <c r="I37" i="10"/>
  <c r="H11" i="10"/>
  <c r="G12" i="10"/>
  <c r="J12" i="10"/>
  <c r="I12" i="10"/>
  <c r="I26" i="3"/>
  <c r="M26" i="3"/>
  <c r="J26" i="3"/>
  <c r="K26" i="3"/>
  <c r="L26" i="3"/>
  <c r="M25" i="7"/>
  <c r="J25" i="7"/>
  <c r="L25" i="7"/>
  <c r="H25" i="8"/>
  <c r="I25" i="7"/>
  <c r="H25" i="3"/>
  <c r="K25" i="7"/>
  <c r="H25" i="9"/>
  <c r="H74" i="10"/>
  <c r="G75" i="10"/>
  <c r="J75" i="10"/>
  <c r="I75" i="10"/>
  <c r="B28" i="10"/>
  <c r="C29" i="10"/>
  <c r="E29" i="10"/>
  <c r="D29" i="10"/>
  <c r="H59" i="10"/>
  <c r="I58" i="10"/>
  <c r="G58" i="10"/>
  <c r="J58" i="10"/>
  <c r="C21" i="10"/>
  <c r="E21" i="10"/>
  <c r="D21" i="10"/>
  <c r="H32" i="10"/>
  <c r="J33" i="10"/>
  <c r="G33" i="10"/>
  <c r="I33" i="10"/>
  <c r="T42" i="10"/>
  <c r="R41" i="10"/>
  <c r="Q41" i="10"/>
  <c r="S41" i="10"/>
  <c r="T21" i="10"/>
  <c r="R20" i="10"/>
  <c r="Q20" i="10"/>
  <c r="S20" i="10"/>
  <c r="R63" i="10"/>
  <c r="Q63" i="10"/>
  <c r="S63" i="10"/>
  <c r="J16" i="10"/>
  <c r="G16" i="10"/>
  <c r="I16" i="10"/>
  <c r="H17" i="10"/>
  <c r="S70" i="10"/>
  <c r="R70" i="10"/>
  <c r="Q70" i="10"/>
  <c r="I27" i="7"/>
  <c r="H27" i="9"/>
  <c r="H27" i="8"/>
  <c r="L27" i="7"/>
  <c r="K27" i="7"/>
  <c r="J27" i="7"/>
  <c r="M27" i="7"/>
  <c r="H27" i="3"/>
  <c r="H73" i="10" l="1"/>
  <c r="J74" i="10"/>
  <c r="I74" i="10"/>
  <c r="G74" i="10"/>
  <c r="H31" i="10"/>
  <c r="I32" i="10"/>
  <c r="J32" i="10"/>
  <c r="G32" i="10"/>
  <c r="L25" i="9"/>
  <c r="K25" i="9"/>
  <c r="I25" i="9"/>
  <c r="J25" i="9"/>
  <c r="M25" i="9"/>
  <c r="C8" i="10"/>
  <c r="B7" i="10"/>
  <c r="D8" i="10"/>
  <c r="E8" i="10"/>
  <c r="J27" i="9"/>
  <c r="L27" i="9"/>
  <c r="I27" i="9"/>
  <c r="K27" i="9"/>
  <c r="M27" i="9"/>
  <c r="R28" i="10"/>
  <c r="Q28" i="10"/>
  <c r="S28" i="10"/>
  <c r="M27" i="8"/>
  <c r="K27" i="8"/>
  <c r="L27" i="8"/>
  <c r="I27" i="8"/>
  <c r="J27" i="8"/>
  <c r="S21" i="10"/>
  <c r="R21" i="10"/>
  <c r="Q21" i="10"/>
  <c r="H81" i="10"/>
  <c r="J80" i="10"/>
  <c r="G80" i="10"/>
  <c r="I80" i="10"/>
  <c r="H60" i="10"/>
  <c r="J59" i="10"/>
  <c r="G59" i="10"/>
  <c r="I59" i="10"/>
  <c r="H10" i="10"/>
  <c r="J11" i="10"/>
  <c r="G11" i="10"/>
  <c r="I11" i="10"/>
  <c r="M24" i="9"/>
  <c r="J24" i="9"/>
  <c r="I24" i="9"/>
  <c r="K24" i="9"/>
  <c r="L24" i="9"/>
  <c r="M28" i="9"/>
  <c r="L28" i="9"/>
  <c r="K28" i="9"/>
  <c r="I28" i="9"/>
  <c r="J28" i="9"/>
  <c r="L25" i="3"/>
  <c r="K25" i="3"/>
  <c r="I25" i="3"/>
  <c r="J25" i="3"/>
  <c r="M25" i="3"/>
  <c r="M49" i="10"/>
  <c r="L49" i="10"/>
  <c r="O49" i="10"/>
  <c r="J27" i="3"/>
  <c r="M27" i="3"/>
  <c r="I27" i="3"/>
  <c r="K27" i="3"/>
  <c r="L27" i="3"/>
  <c r="E28" i="10"/>
  <c r="C28" i="10"/>
  <c r="D28" i="10"/>
  <c r="K24" i="3"/>
  <c r="M24" i="3"/>
  <c r="L24" i="3"/>
  <c r="J24" i="3"/>
  <c r="I24" i="3"/>
  <c r="L28" i="3"/>
  <c r="I28" i="3"/>
  <c r="M28" i="3"/>
  <c r="K28" i="3"/>
  <c r="J28" i="3"/>
  <c r="R42" i="10"/>
  <c r="Q42" i="10"/>
  <c r="S42" i="10"/>
  <c r="L25" i="8"/>
  <c r="K25" i="8"/>
  <c r="I25" i="8"/>
  <c r="J25" i="8"/>
  <c r="M25" i="8"/>
  <c r="H39" i="10"/>
  <c r="G38" i="10"/>
  <c r="J38" i="10"/>
  <c r="I38" i="10"/>
  <c r="I28" i="8"/>
  <c r="K28" i="8"/>
  <c r="M28" i="8"/>
  <c r="J28" i="8"/>
  <c r="L28" i="8"/>
  <c r="M24" i="8"/>
  <c r="L24" i="8"/>
  <c r="I24" i="8"/>
  <c r="K24" i="8"/>
  <c r="J24" i="8"/>
  <c r="G17" i="10"/>
  <c r="J17" i="10"/>
  <c r="I17" i="10"/>
  <c r="H18" i="10"/>
  <c r="H52" i="10"/>
  <c r="G53" i="10"/>
  <c r="I53" i="10"/>
  <c r="J53" i="10"/>
  <c r="L7" i="10"/>
  <c r="O7" i="10"/>
  <c r="M7" i="10"/>
  <c r="H61" i="10" l="1"/>
  <c r="G60" i="10"/>
  <c r="J60" i="10"/>
  <c r="I60" i="10"/>
  <c r="H30" i="10"/>
  <c r="J31" i="10"/>
  <c r="G31" i="10"/>
  <c r="I31" i="10"/>
  <c r="I18" i="10"/>
  <c r="H19" i="10"/>
  <c r="J18" i="10"/>
  <c r="G18" i="10"/>
  <c r="C7" i="10"/>
  <c r="E7" i="10"/>
  <c r="D7" i="10"/>
  <c r="H51" i="10"/>
  <c r="J52" i="10"/>
  <c r="I52" i="10"/>
  <c r="G52" i="10"/>
  <c r="J39" i="10"/>
  <c r="H40" i="10"/>
  <c r="G39" i="10"/>
  <c r="I39" i="10"/>
  <c r="G10" i="10"/>
  <c r="J10" i="10"/>
  <c r="H9" i="10"/>
  <c r="I10" i="10"/>
  <c r="H82" i="10"/>
  <c r="G81" i="10"/>
  <c r="J81" i="10"/>
  <c r="I81" i="10"/>
  <c r="H72" i="10"/>
  <c r="J73" i="10"/>
  <c r="I73" i="10"/>
  <c r="G73" i="10"/>
  <c r="H71" i="10" l="1"/>
  <c r="G72" i="10"/>
  <c r="J72" i="10"/>
  <c r="I72" i="10"/>
  <c r="H50" i="10"/>
  <c r="G51" i="10"/>
  <c r="J51" i="10"/>
  <c r="I51" i="10"/>
  <c r="H41" i="10"/>
  <c r="J40" i="10"/>
  <c r="I40" i="10"/>
  <c r="G40" i="10"/>
  <c r="H29" i="10"/>
  <c r="J30" i="10"/>
  <c r="G30" i="10"/>
  <c r="I30" i="10"/>
  <c r="H83" i="10"/>
  <c r="G82" i="10"/>
  <c r="J82" i="10"/>
  <c r="I82" i="10"/>
  <c r="J9" i="10"/>
  <c r="I9" i="10"/>
  <c r="G9" i="10"/>
  <c r="H8" i="10"/>
  <c r="H20" i="10"/>
  <c r="J19" i="10"/>
  <c r="G19" i="10"/>
  <c r="I19" i="10"/>
  <c r="H62" i="10"/>
  <c r="I61" i="10"/>
  <c r="J61" i="10"/>
  <c r="G61" i="10"/>
  <c r="H7" i="10" l="1"/>
  <c r="I8" i="10"/>
  <c r="G8" i="10"/>
  <c r="J8" i="10"/>
  <c r="H63" i="10"/>
  <c r="J62" i="10"/>
  <c r="G62" i="10"/>
  <c r="I62" i="10"/>
  <c r="H28" i="10"/>
  <c r="J29" i="10"/>
  <c r="G29" i="10"/>
  <c r="I29" i="10"/>
  <c r="H49" i="10"/>
  <c r="G50" i="10"/>
  <c r="J50" i="10"/>
  <c r="I50" i="10"/>
  <c r="G20" i="10"/>
  <c r="I20" i="10"/>
  <c r="H21" i="10"/>
  <c r="J20" i="10"/>
  <c r="H84" i="10"/>
  <c r="G83" i="10"/>
  <c r="J83" i="10"/>
  <c r="I83" i="10"/>
  <c r="H42" i="10"/>
  <c r="J41" i="10"/>
  <c r="G41" i="10"/>
  <c r="I41" i="10"/>
  <c r="H70" i="10"/>
  <c r="G71" i="10"/>
  <c r="I71" i="10"/>
  <c r="J71" i="10"/>
  <c r="G70" i="10" l="1"/>
  <c r="I70" i="10"/>
  <c r="J70" i="10"/>
  <c r="G21" i="10"/>
  <c r="J21" i="10"/>
  <c r="I21" i="10"/>
  <c r="J84" i="10"/>
  <c r="I84" i="10"/>
  <c r="G84" i="10"/>
  <c r="G49" i="10"/>
  <c r="J49" i="10"/>
  <c r="I49" i="10"/>
  <c r="G63" i="10"/>
  <c r="I63" i="10"/>
  <c r="J63" i="10"/>
  <c r="J42" i="10"/>
  <c r="G42" i="10"/>
  <c r="I42" i="10"/>
  <c r="J28" i="10"/>
  <c r="G28" i="10"/>
  <c r="I28" i="10"/>
  <c r="G7" i="10"/>
  <c r="I7" i="10"/>
  <c r="J7" i="10"/>
</calcChain>
</file>

<file path=xl/sharedStrings.xml><?xml version="1.0" encoding="utf-8"?>
<sst xmlns="http://schemas.openxmlformats.org/spreadsheetml/2006/main" count="793" uniqueCount="196">
  <si>
    <t>IRRIGATED</t>
  </si>
  <si>
    <t>NON-IRRIGATED</t>
  </si>
  <si>
    <t>Cotton</t>
  </si>
  <si>
    <t>Peanuts</t>
  </si>
  <si>
    <t>Corn</t>
  </si>
  <si>
    <t>Soybeans</t>
  </si>
  <si>
    <t>Sorghum</t>
  </si>
  <si>
    <t>Wheat</t>
  </si>
  <si>
    <t>BWEP</t>
  </si>
  <si>
    <t>Chemicals</t>
  </si>
  <si>
    <t>Scouting</t>
  </si>
  <si>
    <t>Repairs and Maintenance</t>
  </si>
  <si>
    <t>Irrigation</t>
  </si>
  <si>
    <t>Labor</t>
  </si>
  <si>
    <t>Insurance</t>
  </si>
  <si>
    <t>Drying and Cleaning</t>
  </si>
  <si>
    <t>Other</t>
  </si>
  <si>
    <t>Interest on Operating Capital</t>
  </si>
  <si>
    <t>Marketing and Fees</t>
  </si>
  <si>
    <t>Machinery and Equipment</t>
  </si>
  <si>
    <t>Buildings</t>
  </si>
  <si>
    <t>Miscellaneous Overhead</t>
  </si>
  <si>
    <t>Int Mgmt</t>
  </si>
  <si>
    <t>Grain</t>
  </si>
  <si>
    <t xml:space="preserve">Seed </t>
  </si>
  <si>
    <t>Conventional Tillage</t>
  </si>
  <si>
    <t>Strip-Tillage</t>
  </si>
  <si>
    <t>Fertilizer &amp; Lime*</t>
  </si>
  <si>
    <t>Fuel and Lube**</t>
  </si>
  <si>
    <t>Irrigation***</t>
  </si>
  <si>
    <t>Cover Crop Seed*</t>
  </si>
  <si>
    <t>Fertilizer &amp; Lime**</t>
  </si>
  <si>
    <t>Fuel and Lube***</t>
  </si>
  <si>
    <t>Irrigation****</t>
  </si>
  <si>
    <t>BREAKEVEN PRICE (Total Costs)</t>
  </si>
  <si>
    <t>By A.R. Smith, N.B. Smith and W.D. Shurley, UGA Extension Economists, Department of Agricultural &amp; Applied Economics</t>
  </si>
  <si>
    <t>NET RETURNS ABOVE VARIABLE COSTS PER ACRE</t>
  </si>
  <si>
    <t>Average</t>
  </si>
  <si>
    <t>+10%</t>
  </si>
  <si>
    <t>+25%</t>
  </si>
  <si>
    <t>Crop</t>
  </si>
  <si>
    <t>Yield</t>
  </si>
  <si>
    <t>Price</t>
  </si>
  <si>
    <t>TVC</t>
  </si>
  <si>
    <t>Revenue</t>
  </si>
  <si>
    <t>Irrigated</t>
  </si>
  <si>
    <t>Non-irrigated</t>
  </si>
  <si>
    <t>Irrigated Corn</t>
  </si>
  <si>
    <t>Irrigated Grain Sorghum</t>
  </si>
  <si>
    <t>Irrigated Soybeans</t>
  </si>
  <si>
    <t>Irrigated Cotton</t>
  </si>
  <si>
    <t>Dryland Corn</t>
  </si>
  <si>
    <t>Dryland Cotton</t>
  </si>
  <si>
    <t>Dryland Soybeans</t>
  </si>
  <si>
    <t>Dryland Grain Sorghum</t>
  </si>
  <si>
    <t>Irrigated Corn, Strip Till</t>
  </si>
  <si>
    <t>Irrigated Cotton, Strip Till</t>
  </si>
  <si>
    <t>Irrigated Grain Sorghum, Strip Till</t>
  </si>
  <si>
    <t>Irrigated Soybeans, Strip Till</t>
  </si>
  <si>
    <t>Dryland Corn, Strip Till</t>
  </si>
  <si>
    <t>Dryland Grain Sorghum, Strip Till</t>
  </si>
  <si>
    <t>Dryland Soybeans, Strip Till</t>
  </si>
  <si>
    <t>Dryland Cotton, Strip Till</t>
  </si>
  <si>
    <t>Conventional Wheat</t>
  </si>
  <si>
    <t>Intensively Managed Wheat</t>
  </si>
  <si>
    <t>P=</t>
  </si>
  <si>
    <t>K=</t>
  </si>
  <si>
    <t>per Gallon</t>
  </si>
  <si>
    <t>Peanut</t>
  </si>
  <si>
    <t xml:space="preserve">Soybean </t>
  </si>
  <si>
    <t>Irr Var Cost</t>
  </si>
  <si>
    <t>Irr Yield</t>
  </si>
  <si>
    <t>Dry Var Cost</t>
  </si>
  <si>
    <t>Dry Yield</t>
  </si>
  <si>
    <t>Cotton Price Determines</t>
  </si>
  <si>
    <t>Peanut Price Determines</t>
  </si>
  <si>
    <t>Corn Price Determines</t>
  </si>
  <si>
    <t>Soybean Price Determines</t>
  </si>
  <si>
    <t>Irrigated Peanut</t>
  </si>
  <si>
    <t>Irrigated Soybean</t>
  </si>
  <si>
    <t>Non Irrigated Peanut</t>
  </si>
  <si>
    <t>Non Irrigated Corn</t>
  </si>
  <si>
    <t>Non Irrigated Soybean</t>
  </si>
  <si>
    <t>Non Irrigated Cotton</t>
  </si>
  <si>
    <t>Strip Tillage Prices</t>
  </si>
  <si>
    <t>Conventional Tillage Prices</t>
  </si>
  <si>
    <t>1)</t>
  </si>
  <si>
    <t>2)</t>
  </si>
  <si>
    <t>3)</t>
  </si>
  <si>
    <t>4)</t>
  </si>
  <si>
    <t>Irrigated peanut is compared to irrigated cotton and non-irrigated peanut is compared to non-irrigated cotton.</t>
  </si>
  <si>
    <t>Irrigated corn is compared to irrigated cotton and non-irrigated corn is compared to non-irrigated cotton.</t>
  </si>
  <si>
    <t>Irrigated soybean is compared to irrigated cotton and non-irrigated soybean is compared to non-irrigated cotton.</t>
  </si>
  <si>
    <t>* The above chart is based on the following assumptions:</t>
  </si>
  <si>
    <t>Irrigated cotton is compared to irrigated peanut and non-irrigated cotton is compared to non-irrigated peanut.</t>
  </si>
  <si>
    <t>Irrigated corn is compared to irrigated peanut and non-irrigated corn is compared to non-irrigated peanut.</t>
  </si>
  <si>
    <t>Irrigated soybean is compared to irrigated peanut and non-irrigated soybean is compared to non-irrigated peanut.</t>
  </si>
  <si>
    <t>Irrigated cotton is compared to irrigated corn and non-irrigated cotton is compared to non-irrigated corn.</t>
  </si>
  <si>
    <t>Irrigated peanut is compared to irrigated corn and non-irrigated peanut is compared to non-irrigated corn.</t>
  </si>
  <si>
    <t>Irrigated soybean is compared to irrigated corn and non-irrigated soybean is compared to non-irrigated corn.</t>
  </si>
  <si>
    <t>Irrigated cotton is compared to irrigated soybean and non-irrigated cotton is compared to non-irrigated soybean.</t>
  </si>
  <si>
    <t>Irrigated peanut is compared to irrigated soybean and non-irrigated peanut is compared to non-irrigated soybean.</t>
  </si>
  <si>
    <t>Irrigated corn is compared to irrigated soybean and non-irrigated corn is compared to non-irrigated soybean.</t>
  </si>
  <si>
    <t>Prices shown are those needed to cover budgeted operating expenses for strip tillage production listed in the crop comparison tool.</t>
  </si>
  <si>
    <t>Prices shown are those needed to cover budgeted operating costs for conventional till production listed in the crop comparison tool.</t>
  </si>
  <si>
    <t>Peanut to Cotton</t>
  </si>
  <si>
    <t>Corn to Cotton</t>
  </si>
  <si>
    <t>Soybean to Cotton</t>
  </si>
  <si>
    <t>Cotton to Peanut</t>
  </si>
  <si>
    <t>Corn to Peanut</t>
  </si>
  <si>
    <t>Soybean to Peanut</t>
  </si>
  <si>
    <t>Cotton to Corn</t>
  </si>
  <si>
    <t>Peanut to Corn</t>
  </si>
  <si>
    <t>Soybean to Corn</t>
  </si>
  <si>
    <t>Cotton to Soybean</t>
  </si>
  <si>
    <t>Peanut to Soybean</t>
  </si>
  <si>
    <t>Corn to Soybean</t>
  </si>
  <si>
    <t>Click on the box to see a chart of the two commodities that you wish to compare.</t>
  </si>
  <si>
    <t>Conventional Tillage: Equal Returns Above Variable Costs Price Comparisons</t>
  </si>
  <si>
    <t>Strip Tillage: Equal Returns Above Variable Costs Price Comparisons</t>
  </si>
  <si>
    <t>Irrigated Peanuts</t>
  </si>
  <si>
    <t>Dryland Peanuts</t>
  </si>
  <si>
    <t>Irrigated Peanuts, Strip Till</t>
  </si>
  <si>
    <t>Dryland Peanuts, Strip Till</t>
  </si>
  <si>
    <t>EXPECTED SEASON AVG PRICE</t>
  </si>
  <si>
    <t>Chicken Litter</t>
  </si>
  <si>
    <t>Land Rent</t>
  </si>
  <si>
    <t>Sensitivity Analysis of Yields and Prices of Conventional-Tillage, Irrigated Crops, South Georgia</t>
  </si>
  <si>
    <t>Sensitivity Analysis of Yields and Prices of Conventional-Tillage, Dryland Crops, South Georgia</t>
  </si>
  <si>
    <t>Sensitivity Analysis of Yields and Prices on Strip-Tillage, Irrigated Crops, South Georgia</t>
  </si>
  <si>
    <t>Sensitivity Analysis of Yields and Prices on Strip-Tillage, Dryland Crops, South Georgia</t>
  </si>
  <si>
    <t>Remaining Uncontracted Pounds per Acre</t>
  </si>
  <si>
    <t>Contracted Pounds per Acre</t>
  </si>
  <si>
    <t>Contracted Price per Ton</t>
  </si>
  <si>
    <t>Expected Harvest Price per Ton</t>
  </si>
  <si>
    <t>Irrigated Peanut Price Calculator</t>
  </si>
  <si>
    <t>Average Dryland Peanut Price</t>
  </si>
  <si>
    <t>Average Irrigated Peanut Price</t>
  </si>
  <si>
    <t>Non Irrigated Peanut Price Calculator</t>
  </si>
  <si>
    <t>Expected Pounds Irrigated Yield</t>
  </si>
  <si>
    <t>Expected Pounds Non-Irrigated Yield</t>
  </si>
  <si>
    <t>Contracted Peanut Yield Calculator</t>
  </si>
  <si>
    <t>Percent contracted</t>
  </si>
  <si>
    <t>Last year's yield (pounds)</t>
  </si>
  <si>
    <t>Pounds contracted this year</t>
  </si>
  <si>
    <t>Last Year's Total Acres</t>
  </si>
  <si>
    <t>In the blue cell to the left, put your expected irrigated yield per acre.</t>
  </si>
  <si>
    <t>In the blue cells to the left, fill in the amount of pounds you contracted and the respective contract price (you can adjust the pounds and prices)</t>
  </si>
  <si>
    <t>In this blue cell, put in your expectation of harvest price.</t>
  </si>
  <si>
    <t>In the yellow cell to the left, put your expected non-irrigated yield per acre.</t>
  </si>
  <si>
    <t>In the yellow cells to the left, fill in the amount of pounds you contracted and the respective contract price (you can adjust the pounds and prices)</t>
  </si>
  <si>
    <t>In this yellow cell, put in your expectation of harvest price.</t>
  </si>
  <si>
    <t>**** Season Average Diesel Fuel Price:</t>
  </si>
  <si>
    <t>April 2012</t>
  </si>
  <si>
    <t>EXPECTED YIELD per ACRE</t>
  </si>
  <si>
    <t>GROSS RETURN per ACRE</t>
  </si>
  <si>
    <t>VARIABLE COSTS per ACRE</t>
  </si>
  <si>
    <t>TOTAL VARIABLE COSTS per ACRE</t>
  </si>
  <si>
    <t>lbs</t>
  </si>
  <si>
    <t>/lb</t>
  </si>
  <si>
    <t>/ton</t>
  </si>
  <si>
    <t>bu</t>
  </si>
  <si>
    <t>/bu</t>
  </si>
  <si>
    <t>RETURN ABOVE VARIABLE COST per ACRE</t>
  </si>
  <si>
    <t>FIXED COSTS per ACRE</t>
  </si>
  <si>
    <t>TOTAL SPECIFIED FIXED COSTS per ACRE</t>
  </si>
  <si>
    <t>TOTAL COST EXCL. LAND &amp; MGT per ACRE</t>
  </si>
  <si>
    <t>RETURN TO LAND AND MGT per ACRE</t>
  </si>
  <si>
    <t>BREAKEVEN YIELD per ACRE</t>
  </si>
  <si>
    <t>N=</t>
  </si>
  <si>
    <t>BREAKEVEN PRICE  (Variable Cost)</t>
  </si>
  <si>
    <t>Gin &amp; Warehouse (net after cottonseed)</t>
  </si>
  <si>
    <t>Custom Application</t>
  </si>
  <si>
    <t>Hand Weeding</t>
  </si>
  <si>
    <t>Handweeding</t>
  </si>
  <si>
    <t>* Expected fertilizer $/lb. of nutrient:</t>
  </si>
  <si>
    <t>** Season Average Diesel fuel price:</t>
  </si>
  <si>
    <t>* Value only if cover crop is not harvested, i.e. wheat for grain, etc.</t>
  </si>
  <si>
    <t>** Expected fertilizer $/lb.of nutrient:</t>
  </si>
  <si>
    <t>ctn</t>
  </si>
  <si>
    <t>crn</t>
  </si>
  <si>
    <t>pnt</t>
  </si>
  <si>
    <t>soy</t>
  </si>
  <si>
    <t>grsor</t>
  </si>
  <si>
    <t>cor</t>
  </si>
  <si>
    <t>avc</t>
  </si>
  <si>
    <t>agr</t>
  </si>
  <si>
    <t>aravc</t>
  </si>
  <si>
    <t>aravc-lr</t>
  </si>
  <si>
    <t>BREAKEVEN YIELD per ACRE (Variable Cost)</t>
  </si>
  <si>
    <t>Estimate of 2024 Relative Row Crop Costs and Net Returns</t>
  </si>
  <si>
    <t>[[All costs below are estimates. Due to extreme volatility in input markets, prices may change rapidly.  You are encouraged to enter your own prices to best estimate your 2024 cost of production.]]</t>
  </si>
  <si>
    <t>*** Weighted average of diesel and electric irrigation application costs.  Electric is estimated at $9/appl and diesel is estimated at $16/appl when diesel cost $4/gal.</t>
  </si>
  <si>
    <t>January 2024</t>
  </si>
  <si>
    <t>By A.R. Smith, Y. Liu, and G.A. Hancock, UGA Extension Economists, Department of Agricultural &amp; Applied Economics</t>
  </si>
  <si>
    <t>[[Due to extreme volatility in input markets, prices may change rapidly.  You should enter your own prices to best estimate your 2024 cost of 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</si>
</sst>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
    <numFmt numFmtId="167" formatCode="&quot;$&quot;#,##0.000"/>
    <numFmt numFmtId="168" formatCode="_(* #,##0_);_(* \(#,##0\);_(* &quot;-&quot;??_);_(@_)"/>
    <numFmt numFmtId="169" formatCode="0.0000"/>
    <numFmt numFmtId="170" formatCode="[$-F400]h:mm:ss\ AM/PM"/>
    <numFmt numFmtId="171" formatCode="0.000"/>
  </numFmts>
  <fonts count="23" x14ac:knownFonts="1">
    <font>
      <sz val="10"/>
      <name val="Arial"/>
    </font>
    <font>
      <sz val="10"/>
      <name val="Arial"/>
      <family val="2"/>
    </font>
    <font>
      <sz val="8"/>
      <name val="Arial"/>
      <family val="2"/>
    </font>
    <font>
      <b/>
      <sz val="10"/>
      <name val="Arial"/>
      <family val="2"/>
    </font>
    <font>
      <sz val="10"/>
      <name val="Arial"/>
      <family val="2"/>
    </font>
    <font>
      <b/>
      <sz val="9"/>
      <name val="Arial"/>
      <family val="2"/>
    </font>
    <font>
      <sz val="9"/>
      <name val="Arial"/>
      <family val="2"/>
    </font>
    <font>
      <b/>
      <sz val="12"/>
      <name val="Arial"/>
      <family val="2"/>
    </font>
    <font>
      <sz val="10"/>
      <name val="Arial"/>
      <family val="2"/>
    </font>
    <font>
      <sz val="10"/>
      <name val="Arial"/>
      <family val="2"/>
    </font>
    <font>
      <u/>
      <sz val="10"/>
      <color theme="10"/>
      <name val="Arial"/>
      <family val="2"/>
    </font>
    <font>
      <b/>
      <sz val="9"/>
      <name val="Calibri"/>
      <family val="2"/>
      <scheme val="minor"/>
    </font>
    <font>
      <sz val="9"/>
      <name val="Calibri"/>
      <family val="2"/>
      <scheme val="minor"/>
    </font>
    <font>
      <b/>
      <sz val="10"/>
      <name val="Calibri"/>
      <family val="2"/>
      <scheme val="minor"/>
    </font>
    <font>
      <sz val="10"/>
      <name val="Calibri"/>
      <family val="2"/>
      <scheme val="minor"/>
    </font>
    <font>
      <b/>
      <sz val="8"/>
      <name val="Calibri"/>
      <family val="2"/>
      <scheme val="minor"/>
    </font>
    <font>
      <sz val="8"/>
      <name val="Calibri"/>
      <family val="2"/>
      <scheme val="minor"/>
    </font>
    <font>
      <sz val="11"/>
      <name val="Calibri"/>
      <family val="2"/>
      <scheme val="minor"/>
    </font>
    <font>
      <b/>
      <u/>
      <sz val="14"/>
      <name val="Calibri"/>
      <family val="2"/>
      <scheme val="minor"/>
    </font>
    <font>
      <b/>
      <u/>
      <sz val="10"/>
      <color theme="10"/>
      <name val="Calibri"/>
      <family val="2"/>
      <scheme val="minor"/>
    </font>
    <font>
      <b/>
      <sz val="10"/>
      <color theme="0"/>
      <name val="Calibri"/>
      <family val="2"/>
      <scheme val="minor"/>
    </font>
    <font>
      <b/>
      <sz val="8"/>
      <color theme="0"/>
      <name val="Calibri"/>
      <family val="2"/>
      <scheme val="minor"/>
    </font>
    <font>
      <u/>
      <sz val="10"/>
      <color theme="11"/>
      <name val="Arial"/>
      <family val="2"/>
    </font>
  </fonts>
  <fills count="16">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rgb="FFCCFFCC"/>
        <bgColor indexed="64"/>
      </patternFill>
    </fill>
    <fill>
      <patternFill patternType="solid">
        <fgColor rgb="FFFFFF99"/>
        <bgColor indexed="64"/>
      </patternFill>
    </fill>
    <fill>
      <patternFill patternType="solid">
        <fgColor rgb="FFFEF4CE"/>
        <bgColor indexed="64"/>
      </patternFill>
    </fill>
    <fill>
      <patternFill patternType="solid">
        <fgColor rgb="FFFFCC99"/>
        <bgColor indexed="64"/>
      </patternFill>
    </fill>
    <fill>
      <patternFill patternType="solid">
        <fgColor theme="0"/>
        <bgColor indexed="64"/>
      </patternFill>
    </fill>
    <fill>
      <patternFill patternType="solid">
        <fgColor theme="8" tint="0.59999389629810485"/>
        <bgColor indexed="64"/>
      </patternFill>
    </fill>
    <fill>
      <patternFill patternType="solid">
        <fgColor rgb="FF00FFFF"/>
        <bgColor indexed="64"/>
      </patternFill>
    </fill>
    <fill>
      <patternFill patternType="solid">
        <fgColor rgb="FFFFC000"/>
        <bgColor indexed="64"/>
      </patternFill>
    </fill>
    <fill>
      <patternFill patternType="solid">
        <fgColor rgb="FFFFFF00"/>
        <bgColor indexed="64"/>
      </patternFill>
    </fill>
    <fill>
      <patternFill patternType="solid">
        <fgColor rgb="FF0066FF"/>
        <bgColor indexed="64"/>
      </patternFill>
    </fill>
    <fill>
      <patternFill patternType="solid">
        <fgColor rgb="FF7030A0"/>
        <bgColor indexed="64"/>
      </patternFill>
    </fill>
    <fill>
      <patternFill patternType="solid">
        <fgColor rgb="FF339933"/>
        <bgColor indexed="64"/>
      </patternFill>
    </fill>
  </fills>
  <borders count="73">
    <border>
      <left/>
      <right/>
      <top/>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bottom style="double">
        <color auto="1"/>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right style="medium">
        <color auto="1"/>
      </right>
      <top/>
      <bottom/>
      <diagonal/>
    </border>
    <border>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right/>
      <top style="dotted">
        <color auto="1"/>
      </top>
      <bottom style="dotted">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double">
        <color auto="1"/>
      </bottom>
      <diagonal/>
    </border>
    <border>
      <left/>
      <right style="thin">
        <color auto="1"/>
      </right>
      <top style="medium">
        <color auto="1"/>
      </top>
      <bottom style="double">
        <color auto="1"/>
      </bottom>
      <diagonal/>
    </border>
    <border>
      <left/>
      <right/>
      <top style="double">
        <color auto="1"/>
      </top>
      <bottom style="thin">
        <color auto="1"/>
      </bottom>
      <diagonal/>
    </border>
    <border>
      <left style="medium">
        <color auto="1"/>
      </left>
      <right/>
      <top style="double">
        <color auto="1"/>
      </top>
      <bottom style="thin">
        <color auto="1"/>
      </bottom>
      <diagonal/>
    </border>
    <border>
      <left/>
      <right style="thin">
        <color auto="1"/>
      </right>
      <top style="double">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double">
        <color auto="1"/>
      </bottom>
      <diagonal/>
    </border>
    <border>
      <left/>
      <right style="medium">
        <color auto="1"/>
      </right>
      <top/>
      <bottom style="thin">
        <color auto="1"/>
      </bottom>
      <diagonal/>
    </border>
    <border>
      <left style="medium">
        <color auto="1"/>
      </left>
      <right/>
      <top style="medium">
        <color auto="1"/>
      </top>
      <bottom style="double">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top style="medium">
        <color auto="1"/>
      </top>
      <bottom/>
      <diagonal/>
    </border>
    <border>
      <left/>
      <right style="thin">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style="hair">
        <color auto="1"/>
      </right>
      <top style="thin">
        <color auto="1"/>
      </top>
      <bottom style="medium">
        <color auto="1"/>
      </bottom>
      <diagonal/>
    </border>
    <border>
      <left style="hair">
        <color auto="1"/>
      </left>
      <right style="hair">
        <color auto="1"/>
      </right>
      <top style="medium">
        <color auto="1"/>
      </top>
      <bottom style="thin">
        <color auto="1"/>
      </bottom>
      <diagonal/>
    </border>
    <border>
      <left style="hair">
        <color auto="1"/>
      </left>
      <right style="hair">
        <color auto="1"/>
      </right>
      <top/>
      <bottom/>
      <diagonal/>
    </border>
    <border>
      <left style="hair">
        <color auto="1"/>
      </left>
      <right style="hair">
        <color auto="1"/>
      </right>
      <top style="medium">
        <color auto="1"/>
      </top>
      <bottom style="double">
        <color auto="1"/>
      </bottom>
      <diagonal/>
    </border>
    <border>
      <left style="hair">
        <color auto="1"/>
      </left>
      <right style="hair">
        <color auto="1"/>
      </right>
      <top style="double">
        <color auto="1"/>
      </top>
      <bottom style="thin">
        <color auto="1"/>
      </bottom>
      <diagonal/>
    </border>
    <border>
      <left style="hair">
        <color auto="1"/>
      </left>
      <right/>
      <top/>
      <bottom/>
      <diagonal/>
    </border>
    <border>
      <left/>
      <right style="hair">
        <color auto="1"/>
      </right>
      <top/>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right style="hair">
        <color auto="1"/>
      </right>
      <top style="thin">
        <color auto="1"/>
      </top>
      <bottom/>
      <diagonal/>
    </border>
    <border>
      <left style="hair">
        <color auto="1"/>
      </left>
      <right/>
      <top style="thin">
        <color auto="1"/>
      </top>
      <bottom style="medium">
        <color auto="1"/>
      </bottom>
      <diagonal/>
    </border>
    <border>
      <left/>
      <right style="hair">
        <color auto="1"/>
      </right>
      <top style="thin">
        <color auto="1"/>
      </top>
      <bottom style="medium">
        <color auto="1"/>
      </bottom>
      <diagonal/>
    </border>
    <border>
      <left style="hair">
        <color auto="1"/>
      </left>
      <right/>
      <top style="double">
        <color auto="1"/>
      </top>
      <bottom style="thin">
        <color auto="1"/>
      </bottom>
      <diagonal/>
    </border>
    <border>
      <left/>
      <right style="hair">
        <color auto="1"/>
      </right>
      <top style="double">
        <color auto="1"/>
      </top>
      <bottom style="thin">
        <color auto="1"/>
      </bottom>
      <diagonal/>
    </border>
    <border>
      <left/>
      <right style="hair">
        <color auto="1"/>
      </right>
      <top/>
      <bottom style="thin">
        <color auto="1"/>
      </bottom>
      <diagonal/>
    </border>
    <border>
      <left style="hair">
        <color auto="1"/>
      </left>
      <right/>
      <top style="medium">
        <color auto="1"/>
      </top>
      <bottom style="thin">
        <color auto="1"/>
      </bottom>
      <diagonal/>
    </border>
    <border>
      <left/>
      <right style="hair">
        <color auto="1"/>
      </right>
      <top style="medium">
        <color auto="1"/>
      </top>
      <bottom style="thin">
        <color auto="1"/>
      </bottom>
      <diagonal/>
    </border>
    <border>
      <left style="hair">
        <color auto="1"/>
      </left>
      <right/>
      <top style="medium">
        <color auto="1"/>
      </top>
      <bottom style="double">
        <color auto="1"/>
      </bottom>
      <diagonal/>
    </border>
    <border>
      <left/>
      <right style="hair">
        <color auto="1"/>
      </right>
      <top style="medium">
        <color auto="1"/>
      </top>
      <bottom style="double">
        <color auto="1"/>
      </bottom>
      <diagonal/>
    </border>
  </borders>
  <cellStyleXfs count="15">
    <xf numFmtId="0" fontId="0" fillId="0" borderId="0"/>
    <xf numFmtId="43" fontId="9"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xf numFmtId="9" fontId="9"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444">
    <xf numFmtId="0" fontId="0" fillId="0" borderId="0" xfId="0"/>
    <xf numFmtId="0" fontId="4" fillId="0" borderId="0" xfId="0" applyFont="1"/>
    <xf numFmtId="0" fontId="0" fillId="0" borderId="0" xfId="0" applyAlignment="1">
      <alignment horizontal="center"/>
    </xf>
    <xf numFmtId="164" fontId="0" fillId="0" borderId="0" xfId="2" applyNumberFormat="1" applyFont="1" applyAlignment="1">
      <alignment horizontal="center"/>
    </xf>
    <xf numFmtId="3" fontId="0" fillId="0" borderId="0" xfId="0" applyNumberFormat="1" applyAlignment="1">
      <alignment horizontal="center"/>
    </xf>
    <xf numFmtId="0" fontId="3" fillId="0" borderId="0" xfId="0" applyFont="1"/>
    <xf numFmtId="0" fontId="4" fillId="0" borderId="0" xfId="0" applyFont="1" applyAlignment="1">
      <alignment wrapText="1"/>
    </xf>
    <xf numFmtId="0" fontId="0" fillId="0" borderId="0" xfId="0" applyAlignment="1">
      <alignment wrapText="1"/>
    </xf>
    <xf numFmtId="44" fontId="8" fillId="4" borderId="0" xfId="2" applyFont="1" applyFill="1" applyAlignment="1">
      <alignment horizontal="center"/>
    </xf>
    <xf numFmtId="164" fontId="8" fillId="4" borderId="0" xfId="2" applyNumberFormat="1" applyFont="1" applyFill="1" applyAlignment="1">
      <alignment horizontal="center"/>
    </xf>
    <xf numFmtId="44" fontId="3" fillId="4" borderId="9" xfId="2" applyFont="1" applyFill="1" applyBorder="1" applyAlignment="1">
      <alignment horizontal="center"/>
    </xf>
    <xf numFmtId="0" fontId="0" fillId="4" borderId="0" xfId="0" applyFill="1"/>
    <xf numFmtId="44" fontId="8" fillId="5" borderId="0" xfId="2" applyFont="1" applyFill="1" applyAlignment="1">
      <alignment horizontal="center"/>
    </xf>
    <xf numFmtId="164" fontId="8" fillId="5" borderId="0" xfId="2" applyNumberFormat="1" applyFont="1" applyFill="1" applyAlignment="1">
      <alignment horizontal="center"/>
    </xf>
    <xf numFmtId="44" fontId="3" fillId="5" borderId="9" xfId="2" applyFont="1" applyFill="1" applyBorder="1" applyAlignment="1">
      <alignment horizontal="center"/>
    </xf>
    <xf numFmtId="0" fontId="0" fillId="5" borderId="0" xfId="0" applyFill="1"/>
    <xf numFmtId="44" fontId="8" fillId="6" borderId="0" xfId="2" applyFont="1" applyFill="1" applyAlignment="1">
      <alignment horizontal="center"/>
    </xf>
    <xf numFmtId="164" fontId="8" fillId="6" borderId="0" xfId="2" applyNumberFormat="1" applyFont="1" applyFill="1" applyAlignment="1">
      <alignment horizontal="center"/>
    </xf>
    <xf numFmtId="44" fontId="8" fillId="7" borderId="0" xfId="2" applyFont="1" applyFill="1" applyAlignment="1">
      <alignment horizontal="center"/>
    </xf>
    <xf numFmtId="164" fontId="8" fillId="7" borderId="0" xfId="2" applyNumberFormat="1" applyFont="1" applyFill="1" applyAlignment="1">
      <alignment horizontal="center"/>
    </xf>
    <xf numFmtId="164" fontId="3" fillId="7" borderId="9" xfId="2" applyNumberFormat="1" applyFont="1" applyFill="1" applyBorder="1" applyAlignment="1">
      <alignment horizontal="center"/>
    </xf>
    <xf numFmtId="0" fontId="0" fillId="7" borderId="0" xfId="0" applyFill="1"/>
    <xf numFmtId="44" fontId="3" fillId="6" borderId="9" xfId="2" applyFont="1" applyFill="1" applyBorder="1" applyAlignment="1">
      <alignment horizontal="center"/>
    </xf>
    <xf numFmtId="0" fontId="4" fillId="6" borderId="7" xfId="0" applyFont="1" applyFill="1" applyBorder="1" applyAlignment="1">
      <alignment horizontal="center" wrapText="1"/>
    </xf>
    <xf numFmtId="0" fontId="4" fillId="7" borderId="7" xfId="0" applyFont="1" applyFill="1" applyBorder="1" applyAlignment="1">
      <alignment horizontal="center" wrapText="1"/>
    </xf>
    <xf numFmtId="0" fontId="4" fillId="5" borderId="7" xfId="0" applyFont="1" applyFill="1" applyBorder="1" applyAlignment="1">
      <alignment horizontal="center" wrapText="1"/>
    </xf>
    <xf numFmtId="0" fontId="4" fillId="4" borderId="7" xfId="0" applyFont="1" applyFill="1" applyBorder="1" applyAlignment="1">
      <alignment horizontal="center" wrapText="1"/>
    </xf>
    <xf numFmtId="0" fontId="0" fillId="0" borderId="0" xfId="0" applyAlignment="1">
      <alignment horizontal="center" wrapText="1"/>
    </xf>
    <xf numFmtId="0" fontId="0" fillId="4" borderId="7" xfId="0" applyFill="1" applyBorder="1" applyAlignment="1">
      <alignment horizontal="center" wrapText="1"/>
    </xf>
    <xf numFmtId="0" fontId="0" fillId="5" borderId="7" xfId="0" applyFill="1" applyBorder="1" applyAlignment="1">
      <alignment horizontal="center" wrapText="1"/>
    </xf>
    <xf numFmtId="0" fontId="0" fillId="7" borderId="7" xfId="0" applyFill="1" applyBorder="1" applyAlignment="1">
      <alignment horizontal="center" wrapText="1"/>
    </xf>
    <xf numFmtId="0" fontId="0" fillId="6" borderId="7" xfId="0" applyFill="1" applyBorder="1" applyAlignment="1">
      <alignment horizontal="center" wrapText="1"/>
    </xf>
    <xf numFmtId="44" fontId="8" fillId="6" borderId="0" xfId="2" applyFont="1" applyFill="1" applyBorder="1" applyAlignment="1">
      <alignment horizontal="center"/>
    </xf>
    <xf numFmtId="164" fontId="8" fillId="6" borderId="0" xfId="2" applyNumberFormat="1" applyFont="1" applyFill="1" applyBorder="1" applyAlignment="1">
      <alignment horizontal="center"/>
    </xf>
    <xf numFmtId="44" fontId="8" fillId="7" borderId="0" xfId="2" applyFont="1" applyFill="1" applyBorder="1" applyAlignment="1">
      <alignment horizontal="center"/>
    </xf>
    <xf numFmtId="164" fontId="8" fillId="7" borderId="0" xfId="2" applyNumberFormat="1" applyFont="1" applyFill="1" applyBorder="1" applyAlignment="1">
      <alignment horizontal="center"/>
    </xf>
    <xf numFmtId="44" fontId="8" fillId="5" borderId="0" xfId="2" applyFont="1" applyFill="1" applyBorder="1" applyAlignment="1">
      <alignment horizontal="center"/>
    </xf>
    <xf numFmtId="164" fontId="8" fillId="5" borderId="0" xfId="2" applyNumberFormat="1" applyFont="1" applyFill="1" applyBorder="1" applyAlignment="1">
      <alignment horizontal="center"/>
    </xf>
    <xf numFmtId="44" fontId="8" fillId="4" borderId="0" xfId="2" applyFont="1" applyFill="1" applyBorder="1" applyAlignment="1">
      <alignment horizontal="center"/>
    </xf>
    <xf numFmtId="164" fontId="8" fillId="4" borderId="0" xfId="2" applyNumberFormat="1" applyFont="1" applyFill="1" applyBorder="1" applyAlignment="1">
      <alignment horizontal="center"/>
    </xf>
    <xf numFmtId="0" fontId="0" fillId="0" borderId="10" xfId="0" applyBorder="1"/>
    <xf numFmtId="44" fontId="8" fillId="6" borderId="10" xfId="2" applyFont="1" applyFill="1" applyBorder="1" applyAlignment="1">
      <alignment horizontal="center"/>
    </xf>
    <xf numFmtId="164" fontId="8" fillId="6" borderId="10" xfId="2" applyNumberFormat="1" applyFont="1" applyFill="1" applyBorder="1" applyAlignment="1">
      <alignment horizontal="center"/>
    </xf>
    <xf numFmtId="44" fontId="8" fillId="7" borderId="10" xfId="2" applyFont="1" applyFill="1" applyBorder="1" applyAlignment="1">
      <alignment horizontal="center"/>
    </xf>
    <xf numFmtId="164" fontId="8" fillId="7" borderId="10" xfId="2" applyNumberFormat="1" applyFont="1" applyFill="1" applyBorder="1" applyAlignment="1">
      <alignment horizontal="center"/>
    </xf>
    <xf numFmtId="44" fontId="8" fillId="5" borderId="10" xfId="2" applyFont="1" applyFill="1" applyBorder="1" applyAlignment="1">
      <alignment horizontal="center"/>
    </xf>
    <xf numFmtId="164" fontId="8" fillId="5" borderId="10" xfId="2" applyNumberFormat="1" applyFont="1" applyFill="1" applyBorder="1" applyAlignment="1">
      <alignment horizontal="center"/>
    </xf>
    <xf numFmtId="44" fontId="8" fillId="4" borderId="10" xfId="2" applyFont="1" applyFill="1" applyBorder="1" applyAlignment="1">
      <alignment horizontal="center"/>
    </xf>
    <xf numFmtId="164" fontId="8" fillId="4" borderId="10" xfId="2" applyNumberFormat="1" applyFont="1" applyFill="1" applyBorder="1" applyAlignment="1">
      <alignment horizontal="center"/>
    </xf>
    <xf numFmtId="164" fontId="0" fillId="0" borderId="0" xfId="2" applyNumberFormat="1" applyFont="1" applyFill="1" applyAlignment="1">
      <alignment horizontal="center"/>
    </xf>
    <xf numFmtId="0" fontId="3" fillId="8" borderId="0" xfId="0" applyFont="1" applyFill="1" applyAlignment="1">
      <alignment vertical="center"/>
    </xf>
    <xf numFmtId="0" fontId="4" fillId="8" borderId="0" xfId="0" applyFont="1" applyFill="1"/>
    <xf numFmtId="0" fontId="5" fillId="8" borderId="0" xfId="0" applyFont="1" applyFill="1" applyAlignment="1">
      <alignment horizontal="center"/>
    </xf>
    <xf numFmtId="0" fontId="6" fillId="8" borderId="0" xfId="0" applyFont="1" applyFill="1"/>
    <xf numFmtId="0" fontId="6" fillId="8" borderId="6" xfId="0" applyFont="1" applyFill="1" applyBorder="1"/>
    <xf numFmtId="0" fontId="5" fillId="8" borderId="6" xfId="0" applyFont="1" applyFill="1" applyBorder="1" applyAlignment="1">
      <alignment horizontal="center"/>
    </xf>
    <xf numFmtId="3" fontId="5" fillId="8" borderId="6" xfId="0" applyNumberFormat="1" applyFont="1" applyFill="1" applyBorder="1" applyAlignment="1" applyProtection="1">
      <alignment horizontal="right"/>
      <protection locked="0"/>
    </xf>
    <xf numFmtId="3" fontId="5" fillId="8" borderId="0" xfId="0" applyNumberFormat="1" applyFont="1" applyFill="1" applyAlignment="1" applyProtection="1">
      <alignment horizontal="right"/>
      <protection locked="0"/>
    </xf>
    <xf numFmtId="167" fontId="5" fillId="8" borderId="0" xfId="0" applyNumberFormat="1" applyFont="1" applyFill="1" applyAlignment="1" applyProtection="1">
      <alignment horizontal="right"/>
      <protection locked="0"/>
    </xf>
    <xf numFmtId="166" fontId="5" fillId="8" borderId="0" xfId="0" applyNumberFormat="1" applyFont="1" applyFill="1" applyAlignment="1" applyProtection="1">
      <alignment horizontal="right"/>
      <protection locked="0"/>
    </xf>
    <xf numFmtId="165" fontId="5" fillId="8" borderId="0" xfId="0" applyNumberFormat="1" applyFont="1" applyFill="1" applyAlignment="1" applyProtection="1">
      <alignment horizontal="right"/>
      <protection locked="0"/>
    </xf>
    <xf numFmtId="0" fontId="6" fillId="8" borderId="7" xfId="0" applyFont="1" applyFill="1" applyBorder="1"/>
    <xf numFmtId="166" fontId="6" fillId="8" borderId="7" xfId="0" applyNumberFormat="1" applyFont="1" applyFill="1" applyBorder="1"/>
    <xf numFmtId="166" fontId="6" fillId="8" borderId="0" xfId="0" applyNumberFormat="1" applyFont="1" applyFill="1"/>
    <xf numFmtId="166" fontId="5" fillId="8" borderId="7" xfId="0" applyNumberFormat="1" applyFont="1" applyFill="1" applyBorder="1" applyAlignment="1" applyProtection="1">
      <alignment horizontal="right"/>
      <protection locked="0"/>
    </xf>
    <xf numFmtId="0" fontId="7" fillId="8" borderId="0" xfId="0" applyFont="1" applyFill="1" applyAlignment="1">
      <alignment horizontal="center"/>
    </xf>
    <xf numFmtId="0" fontId="0" fillId="8" borderId="0" xfId="0" applyFill="1"/>
    <xf numFmtId="0" fontId="4" fillId="8" borderId="20" xfId="0" applyFont="1" applyFill="1" applyBorder="1" applyAlignment="1">
      <alignment horizontal="right"/>
    </xf>
    <xf numFmtId="9" fontId="4" fillId="8" borderId="7" xfId="0" applyNumberFormat="1" applyFont="1" applyFill="1" applyBorder="1" applyAlignment="1">
      <alignment horizontal="center"/>
    </xf>
    <xf numFmtId="3" fontId="4" fillId="8" borderId="7" xfId="0" applyNumberFormat="1" applyFont="1" applyFill="1" applyBorder="1" applyAlignment="1">
      <alignment horizontal="center"/>
    </xf>
    <xf numFmtId="9" fontId="4" fillId="8" borderId="7" xfId="0" quotePrefix="1" applyNumberFormat="1" applyFont="1" applyFill="1" applyBorder="1" applyAlignment="1">
      <alignment horizontal="center"/>
    </xf>
    <xf numFmtId="9" fontId="4" fillId="8" borderId="6" xfId="0" applyNumberFormat="1" applyFont="1" applyFill="1" applyBorder="1" applyAlignment="1">
      <alignment horizontal="center"/>
    </xf>
    <xf numFmtId="3" fontId="4" fillId="8" borderId="6" xfId="0" applyNumberFormat="1" applyFont="1" applyFill="1" applyBorder="1" applyAlignment="1">
      <alignment horizontal="center"/>
    </xf>
    <xf numFmtId="9" fontId="4" fillId="8" borderId="6" xfId="0" quotePrefix="1" applyNumberFormat="1" applyFont="1" applyFill="1" applyBorder="1" applyAlignment="1">
      <alignment horizontal="center"/>
    </xf>
    <xf numFmtId="0" fontId="4" fillId="8" borderId="20" xfId="0" applyFont="1" applyFill="1" applyBorder="1" applyAlignment="1">
      <alignment horizontal="left"/>
    </xf>
    <xf numFmtId="7" fontId="4" fillId="8" borderId="21" xfId="2" applyNumberFormat="1" applyFont="1" applyFill="1" applyBorder="1" applyAlignment="1">
      <alignment horizontal="center"/>
    </xf>
    <xf numFmtId="164" fontId="4" fillId="8" borderId="6" xfId="2" applyNumberFormat="1" applyFont="1" applyFill="1" applyBorder="1"/>
    <xf numFmtId="7" fontId="4" fillId="8" borderId="22" xfId="2" applyNumberFormat="1" applyFont="1" applyFill="1" applyBorder="1" applyAlignment="1">
      <alignment horizontal="center"/>
    </xf>
    <xf numFmtId="164" fontId="4" fillId="8" borderId="0" xfId="2" applyNumberFormat="1" applyFont="1" applyFill="1" applyBorder="1"/>
    <xf numFmtId="7" fontId="4" fillId="8" borderId="23" xfId="2" applyNumberFormat="1" applyFont="1" applyFill="1" applyBorder="1" applyAlignment="1">
      <alignment horizontal="center"/>
    </xf>
    <xf numFmtId="164" fontId="4" fillId="8" borderId="10" xfId="2" applyNumberFormat="1" applyFont="1" applyFill="1" applyBorder="1"/>
    <xf numFmtId="5" fontId="4" fillId="8" borderId="21" xfId="2" applyNumberFormat="1" applyFont="1" applyFill="1" applyBorder="1" applyAlignment="1">
      <alignment horizontal="center"/>
    </xf>
    <xf numFmtId="5" fontId="4" fillId="8" borderId="22" xfId="2" applyNumberFormat="1" applyFont="1" applyFill="1" applyBorder="1" applyAlignment="1">
      <alignment horizontal="center"/>
    </xf>
    <xf numFmtId="5" fontId="4" fillId="8" borderId="23" xfId="2" applyNumberFormat="1" applyFont="1" applyFill="1" applyBorder="1" applyAlignment="1">
      <alignment horizontal="center"/>
    </xf>
    <xf numFmtId="0" fontId="5" fillId="8" borderId="0" xfId="0" applyFont="1" applyFill="1"/>
    <xf numFmtId="0" fontId="11" fillId="8" borderId="0" xfId="0" applyFont="1" applyFill="1"/>
    <xf numFmtId="0" fontId="12" fillId="8" borderId="0" xfId="0" applyFont="1" applyFill="1"/>
    <xf numFmtId="0" fontId="12" fillId="0" borderId="0" xfId="0" applyFont="1"/>
    <xf numFmtId="49" fontId="13" fillId="3" borderId="7" xfId="0" applyNumberFormat="1" applyFont="1" applyFill="1" applyBorder="1"/>
    <xf numFmtId="49" fontId="13" fillId="3" borderId="21" xfId="0" applyNumberFormat="1" applyFont="1" applyFill="1" applyBorder="1"/>
    <xf numFmtId="0" fontId="14" fillId="8" borderId="0" xfId="0" applyFont="1" applyFill="1"/>
    <xf numFmtId="0" fontId="14" fillId="0" borderId="0" xfId="0" applyFont="1"/>
    <xf numFmtId="0" fontId="11" fillId="3" borderId="24" xfId="0" applyFont="1" applyFill="1" applyBorder="1"/>
    <xf numFmtId="0" fontId="13" fillId="8" borderId="16" xfId="0" applyFont="1" applyFill="1" applyBorder="1" applyAlignment="1">
      <alignment horizontal="center"/>
    </xf>
    <xf numFmtId="0" fontId="13" fillId="8" borderId="20" xfId="0" applyFont="1" applyFill="1" applyBorder="1" applyAlignment="1">
      <alignment horizontal="center"/>
    </xf>
    <xf numFmtId="0" fontId="12" fillId="8" borderId="17" xfId="0" applyFont="1" applyFill="1" applyBorder="1"/>
    <xf numFmtId="0" fontId="13" fillId="8" borderId="13" xfId="0" applyFont="1" applyFill="1" applyBorder="1" applyAlignment="1">
      <alignment horizontal="center"/>
    </xf>
    <xf numFmtId="0" fontId="13" fillId="8" borderId="0" xfId="0" applyFont="1" applyFill="1" applyAlignment="1">
      <alignment horizontal="center"/>
    </xf>
    <xf numFmtId="0" fontId="11" fillId="8" borderId="17" xfId="0" applyFont="1" applyFill="1" applyBorder="1"/>
    <xf numFmtId="0" fontId="11" fillId="8" borderId="19" xfId="0" applyFont="1" applyFill="1" applyBorder="1"/>
    <xf numFmtId="0" fontId="11" fillId="8" borderId="2" xfId="0" applyFont="1" applyFill="1" applyBorder="1"/>
    <xf numFmtId="0" fontId="11" fillId="8" borderId="1" xfId="0" applyFont="1" applyFill="1" applyBorder="1"/>
    <xf numFmtId="0" fontId="14" fillId="8" borderId="8" xfId="0" applyFont="1" applyFill="1" applyBorder="1" applyAlignment="1">
      <alignment horizontal="right"/>
    </xf>
    <xf numFmtId="0" fontId="14" fillId="8" borderId="7" xfId="0" applyFont="1" applyFill="1" applyBorder="1" applyAlignment="1">
      <alignment horizontal="right"/>
    </xf>
    <xf numFmtId="0" fontId="14" fillId="8" borderId="16" xfId="0" applyFont="1" applyFill="1" applyBorder="1" applyAlignment="1">
      <alignment horizontal="right"/>
    </xf>
    <xf numFmtId="0" fontId="14" fillId="8" borderId="20" xfId="0" applyFont="1" applyFill="1" applyBorder="1" applyAlignment="1">
      <alignment horizontal="right"/>
    </xf>
    <xf numFmtId="1" fontId="14" fillId="8" borderId="0" xfId="0" applyNumberFormat="1" applyFont="1" applyFill="1" applyAlignment="1" applyProtection="1">
      <alignment horizontal="right"/>
      <protection locked="0"/>
    </xf>
    <xf numFmtId="1" fontId="14" fillId="8" borderId="15" xfId="0" applyNumberFormat="1" applyFont="1" applyFill="1" applyBorder="1" applyAlignment="1" applyProtection="1">
      <alignment horizontal="right"/>
      <protection locked="0"/>
    </xf>
    <xf numFmtId="1" fontId="14" fillId="8" borderId="22" xfId="0" applyNumberFormat="1" applyFont="1" applyFill="1" applyBorder="1" applyAlignment="1" applyProtection="1">
      <alignment horizontal="right"/>
      <protection locked="0"/>
    </xf>
    <xf numFmtId="1" fontId="14" fillId="8" borderId="13" xfId="0" applyNumberFormat="1" applyFont="1" applyFill="1" applyBorder="1" applyAlignment="1" applyProtection="1">
      <alignment horizontal="right"/>
      <protection locked="0"/>
    </xf>
    <xf numFmtId="1" fontId="14" fillId="8" borderId="0" xfId="0" applyNumberFormat="1" applyFont="1" applyFill="1" applyAlignment="1">
      <alignment horizontal="right"/>
    </xf>
    <xf numFmtId="1" fontId="14" fillId="8" borderId="15" xfId="0" applyNumberFormat="1" applyFont="1" applyFill="1" applyBorder="1" applyAlignment="1">
      <alignment horizontal="right"/>
    </xf>
    <xf numFmtId="1" fontId="14" fillId="8" borderId="22" xfId="0" applyNumberFormat="1" applyFont="1" applyFill="1" applyBorder="1" applyAlignment="1">
      <alignment horizontal="right"/>
    </xf>
    <xf numFmtId="1" fontId="14" fillId="8" borderId="13" xfId="0" applyNumberFormat="1" applyFont="1" applyFill="1" applyBorder="1" applyAlignment="1">
      <alignment horizontal="right"/>
    </xf>
    <xf numFmtId="1" fontId="14" fillId="8" borderId="23" xfId="0" applyNumberFormat="1" applyFont="1" applyFill="1" applyBorder="1" applyAlignment="1">
      <alignment horizontal="right"/>
    </xf>
    <xf numFmtId="0" fontId="11" fillId="8" borderId="18" xfId="0" applyFont="1" applyFill="1" applyBorder="1"/>
    <xf numFmtId="166" fontId="15" fillId="3" borderId="4" xfId="0" applyNumberFormat="1" applyFont="1" applyFill="1" applyBorder="1"/>
    <xf numFmtId="0" fontId="11" fillId="2" borderId="1" xfId="0" applyFont="1" applyFill="1" applyBorder="1"/>
    <xf numFmtId="165" fontId="13" fillId="2" borderId="8" xfId="2" applyNumberFormat="1" applyFont="1" applyFill="1" applyBorder="1" applyAlignment="1">
      <alignment horizontal="right"/>
    </xf>
    <xf numFmtId="165" fontId="15" fillId="2" borderId="7" xfId="2" applyNumberFormat="1" applyFont="1" applyFill="1" applyBorder="1" applyAlignment="1">
      <alignment horizontal="left"/>
    </xf>
    <xf numFmtId="165" fontId="13" fillId="2" borderId="7" xfId="2" applyNumberFormat="1" applyFont="1" applyFill="1" applyBorder="1" applyAlignment="1">
      <alignment horizontal="right"/>
    </xf>
    <xf numFmtId="165" fontId="15" fillId="2" borderId="16" xfId="2" applyNumberFormat="1" applyFont="1" applyFill="1" applyBorder="1" applyAlignment="1">
      <alignment horizontal="left"/>
    </xf>
    <xf numFmtId="165" fontId="15" fillId="2" borderId="20" xfId="2" applyNumberFormat="1" applyFont="1" applyFill="1" applyBorder="1" applyAlignment="1">
      <alignment horizontal="left"/>
    </xf>
    <xf numFmtId="0" fontId="15" fillId="8" borderId="1" xfId="0" applyFont="1" applyFill="1" applyBorder="1"/>
    <xf numFmtId="0" fontId="16" fillId="8" borderId="17" xfId="0" applyFont="1" applyFill="1" applyBorder="1"/>
    <xf numFmtId="6" fontId="14" fillId="8" borderId="13" xfId="0" applyNumberFormat="1" applyFont="1" applyFill="1" applyBorder="1" applyAlignment="1">
      <alignment horizontal="right"/>
    </xf>
    <xf numFmtId="6" fontId="14" fillId="8" borderId="0" xfId="0" applyNumberFormat="1" applyFont="1" applyFill="1" applyAlignment="1">
      <alignment horizontal="right"/>
    </xf>
    <xf numFmtId="6" fontId="14" fillId="8" borderId="15" xfId="0" applyNumberFormat="1" applyFont="1" applyFill="1" applyBorder="1" applyAlignment="1">
      <alignment horizontal="right"/>
    </xf>
    <xf numFmtId="6" fontId="14" fillId="8" borderId="20" xfId="0" applyNumberFormat="1" applyFont="1" applyFill="1" applyBorder="1" applyAlignment="1">
      <alignment horizontal="right"/>
    </xf>
    <xf numFmtId="0" fontId="15" fillId="8" borderId="18" xfId="0" applyFont="1" applyFill="1" applyBorder="1"/>
    <xf numFmtId="165" fontId="11" fillId="3" borderId="3" xfId="0" applyNumberFormat="1" applyFont="1" applyFill="1" applyBorder="1"/>
    <xf numFmtId="165" fontId="14" fillId="8" borderId="13" xfId="0" applyNumberFormat="1" applyFont="1" applyFill="1" applyBorder="1" applyAlignment="1">
      <alignment horizontal="right"/>
    </xf>
    <xf numFmtId="165" fontId="14" fillId="8" borderId="0" xfId="0" applyNumberFormat="1" applyFont="1" applyFill="1" applyAlignment="1">
      <alignment horizontal="right"/>
    </xf>
    <xf numFmtId="165" fontId="14" fillId="8" borderId="15" xfId="0" applyNumberFormat="1" applyFont="1" applyFill="1" applyBorder="1" applyAlignment="1">
      <alignment horizontal="right"/>
    </xf>
    <xf numFmtId="165" fontId="14" fillId="8" borderId="22" xfId="0" applyNumberFormat="1" applyFont="1" applyFill="1" applyBorder="1" applyAlignment="1">
      <alignment horizontal="right"/>
    </xf>
    <xf numFmtId="165" fontId="13" fillId="2" borderId="5" xfId="2" applyNumberFormat="1" applyFont="1" applyFill="1" applyBorder="1" applyAlignment="1">
      <alignment horizontal="right"/>
    </xf>
    <xf numFmtId="165" fontId="15" fillId="2" borderId="6" xfId="2" applyNumberFormat="1" applyFont="1" applyFill="1" applyBorder="1" applyAlignment="1">
      <alignment horizontal="left"/>
    </xf>
    <xf numFmtId="165" fontId="13" fillId="2" borderId="6" xfId="2" applyNumberFormat="1" applyFont="1" applyFill="1" applyBorder="1" applyAlignment="1">
      <alignment horizontal="right"/>
    </xf>
    <xf numFmtId="0" fontId="11" fillId="2" borderId="2" xfId="0" applyFont="1" applyFill="1" applyBorder="1"/>
    <xf numFmtId="3" fontId="13" fillId="2" borderId="8" xfId="0" applyNumberFormat="1" applyFont="1" applyFill="1" applyBorder="1" applyAlignment="1">
      <alignment horizontal="right"/>
    </xf>
    <xf numFmtId="3" fontId="15" fillId="2" borderId="7" xfId="0" applyNumberFormat="1" applyFont="1" applyFill="1" applyBorder="1" applyAlignment="1">
      <alignment horizontal="left"/>
    </xf>
    <xf numFmtId="1" fontId="13" fillId="2" borderId="7" xfId="0" applyNumberFormat="1" applyFont="1" applyFill="1" applyBorder="1" applyAlignment="1">
      <alignment horizontal="right"/>
    </xf>
    <xf numFmtId="0" fontId="12" fillId="8" borderId="6" xfId="0" applyFont="1" applyFill="1" applyBorder="1" applyAlignment="1">
      <alignment horizontal="left"/>
    </xf>
    <xf numFmtId="0" fontId="12" fillId="8" borderId="6" xfId="0" applyFont="1" applyFill="1" applyBorder="1"/>
    <xf numFmtId="0" fontId="11" fillId="8" borderId="0" xfId="0" applyFont="1" applyFill="1" applyAlignment="1">
      <alignment horizontal="left"/>
    </xf>
    <xf numFmtId="0" fontId="11" fillId="8" borderId="0" xfId="0" applyFont="1" applyFill="1" applyAlignment="1">
      <alignment horizontal="right"/>
    </xf>
    <xf numFmtId="0" fontId="12" fillId="8" borderId="0" xfId="0" applyFont="1" applyFill="1" applyAlignment="1">
      <alignment horizontal="left"/>
    </xf>
    <xf numFmtId="8" fontId="11" fillId="8" borderId="0" xfId="0" applyNumberFormat="1" applyFont="1" applyFill="1" applyProtection="1">
      <protection locked="0"/>
    </xf>
    <xf numFmtId="0" fontId="13" fillId="8" borderId="0" xfId="0" applyFont="1" applyFill="1"/>
    <xf numFmtId="0" fontId="14" fillId="8" borderId="0" xfId="0" applyFont="1" applyFill="1" applyAlignment="1">
      <alignment horizontal="center"/>
    </xf>
    <xf numFmtId="0" fontId="14" fillId="0" borderId="0" xfId="0" applyFont="1" applyAlignment="1">
      <alignment horizontal="center"/>
    </xf>
    <xf numFmtId="166" fontId="11" fillId="3" borderId="4" xfId="0" applyNumberFormat="1" applyFont="1" applyFill="1" applyBorder="1"/>
    <xf numFmtId="166" fontId="14" fillId="8" borderId="0" xfId="0" applyNumberFormat="1" applyFont="1" applyFill="1"/>
    <xf numFmtId="166" fontId="14" fillId="0" borderId="0" xfId="0" applyNumberFormat="1" applyFont="1"/>
    <xf numFmtId="165" fontId="14" fillId="8" borderId="0" xfId="0" applyNumberFormat="1" applyFont="1" applyFill="1"/>
    <xf numFmtId="165" fontId="14" fillId="0" borderId="0" xfId="0" applyNumberFormat="1" applyFont="1"/>
    <xf numFmtId="165" fontId="13" fillId="2" borderId="5" xfId="2" applyNumberFormat="1" applyFont="1" applyFill="1" applyBorder="1" applyAlignment="1"/>
    <xf numFmtId="165" fontId="11" fillId="8" borderId="6" xfId="0" applyNumberFormat="1" applyFont="1" applyFill="1" applyBorder="1" applyProtection="1">
      <protection locked="0"/>
    </xf>
    <xf numFmtId="0" fontId="11" fillId="8" borderId="6" xfId="0" applyFont="1" applyFill="1" applyBorder="1" applyAlignment="1">
      <alignment horizontal="right"/>
    </xf>
    <xf numFmtId="0" fontId="14" fillId="8" borderId="0" xfId="0" applyFont="1" applyFill="1" applyAlignment="1">
      <alignment horizontal="left"/>
    </xf>
    <xf numFmtId="0" fontId="11" fillId="5" borderId="24" xfId="0" applyFont="1" applyFill="1" applyBorder="1" applyAlignment="1">
      <alignment horizontal="left"/>
    </xf>
    <xf numFmtId="0" fontId="12" fillId="8" borderId="17" xfId="0" applyFont="1" applyFill="1" applyBorder="1" applyAlignment="1">
      <alignment horizontal="center"/>
    </xf>
    <xf numFmtId="0" fontId="13" fillId="8" borderId="13" xfId="0" applyFont="1" applyFill="1" applyBorder="1" applyAlignment="1">
      <alignment horizontal="center" vertical="center"/>
    </xf>
    <xf numFmtId="0" fontId="19" fillId="6" borderId="9" xfId="3" applyFont="1" applyFill="1" applyBorder="1" applyAlignment="1">
      <alignment horizontal="center" vertical="center" wrapText="1"/>
    </xf>
    <xf numFmtId="0" fontId="13" fillId="8" borderId="0" xfId="0" applyFont="1" applyFill="1" applyAlignment="1">
      <alignment horizontal="center" vertical="center"/>
    </xf>
    <xf numFmtId="0" fontId="19" fillId="7" borderId="9" xfId="3" applyFont="1" applyFill="1" applyBorder="1" applyAlignment="1">
      <alignment horizontal="center" vertical="center" wrapText="1"/>
    </xf>
    <xf numFmtId="0" fontId="19" fillId="5" borderId="9" xfId="3" applyFont="1" applyFill="1" applyBorder="1" applyAlignment="1">
      <alignment horizontal="center" vertical="center" wrapText="1"/>
    </xf>
    <xf numFmtId="0" fontId="19" fillId="4" borderId="9" xfId="3" applyFont="1" applyFill="1" applyBorder="1" applyAlignment="1">
      <alignment horizontal="center" vertical="center" wrapText="1"/>
    </xf>
    <xf numFmtId="0" fontId="13" fillId="8" borderId="15" xfId="0" applyFont="1" applyFill="1" applyBorder="1" applyAlignment="1">
      <alignment horizontal="center" vertical="center"/>
    </xf>
    <xf numFmtId="0" fontId="13" fillId="0" borderId="0" xfId="0" applyFont="1" applyAlignment="1">
      <alignment horizontal="center" vertical="center"/>
    </xf>
    <xf numFmtId="0" fontId="14" fillId="8" borderId="13" xfId="0" applyFont="1" applyFill="1" applyBorder="1" applyAlignment="1">
      <alignment horizontal="center" vertical="center"/>
    </xf>
    <xf numFmtId="0" fontId="14" fillId="8" borderId="15" xfId="0" applyFont="1" applyFill="1" applyBorder="1" applyAlignment="1">
      <alignment horizontal="center" vertical="center"/>
    </xf>
    <xf numFmtId="0" fontId="14" fillId="8" borderId="0" xfId="0" applyFont="1" applyFill="1" applyAlignment="1">
      <alignment horizontal="center" vertical="center"/>
    </xf>
    <xf numFmtId="0" fontId="14" fillId="0" borderId="0" xfId="0" applyFont="1" applyAlignment="1">
      <alignment horizontal="center" vertical="center"/>
    </xf>
    <xf numFmtId="0" fontId="14" fillId="8" borderId="14" xfId="0" applyFont="1" applyFill="1" applyBorder="1"/>
    <xf numFmtId="0" fontId="13" fillId="8" borderId="11" xfId="0" applyFont="1" applyFill="1" applyBorder="1"/>
    <xf numFmtId="0" fontId="14" fillId="8" borderId="12" xfId="0" applyFont="1" applyFill="1" applyBorder="1"/>
    <xf numFmtId="0" fontId="13" fillId="8" borderId="0" xfId="0" applyFont="1" applyFill="1" applyAlignment="1">
      <alignment vertical="center"/>
    </xf>
    <xf numFmtId="0" fontId="13" fillId="0" borderId="0" xfId="0" applyFont="1" applyAlignment="1">
      <alignment vertical="center"/>
    </xf>
    <xf numFmtId="0" fontId="1" fillId="8" borderId="0" xfId="0" applyFont="1" applyFill="1" applyAlignment="1">
      <alignment vertical="center"/>
    </xf>
    <xf numFmtId="0" fontId="1" fillId="0" borderId="0" xfId="0" applyFont="1" applyAlignment="1">
      <alignment vertical="center"/>
    </xf>
    <xf numFmtId="3" fontId="1" fillId="8" borderId="0" xfId="0" applyNumberFormat="1" applyFont="1" applyFill="1" applyAlignment="1">
      <alignment vertical="center"/>
    </xf>
    <xf numFmtId="9" fontId="1" fillId="8" borderId="0" xfId="4" applyFont="1" applyFill="1" applyAlignment="1">
      <alignment vertical="center"/>
    </xf>
    <xf numFmtId="3" fontId="1" fillId="8" borderId="0" xfId="4" applyNumberFormat="1" applyFont="1" applyFill="1" applyAlignment="1">
      <alignment vertical="center"/>
    </xf>
    <xf numFmtId="168" fontId="1" fillId="8" borderId="0" xfId="1" applyNumberFormat="1" applyFont="1" applyFill="1" applyAlignment="1">
      <alignment vertical="center"/>
    </xf>
    <xf numFmtId="0" fontId="1" fillId="0" borderId="10" xfId="0" applyFont="1" applyBorder="1" applyAlignment="1">
      <alignment horizontal="center" vertical="center" wrapText="1"/>
    </xf>
    <xf numFmtId="3" fontId="3" fillId="9" borderId="10" xfId="0" applyNumberFormat="1" applyFont="1" applyFill="1" applyBorder="1" applyAlignment="1" applyProtection="1">
      <alignment horizontal="center" vertical="center"/>
      <protection locked="0"/>
    </xf>
    <xf numFmtId="0" fontId="1" fillId="0" borderId="7" xfId="0" applyFont="1" applyBorder="1" applyAlignment="1">
      <alignment horizontal="center" vertical="center" wrapText="1"/>
    </xf>
    <xf numFmtId="3" fontId="3" fillId="9" borderId="0" xfId="1" applyNumberFormat="1" applyFont="1" applyFill="1" applyBorder="1" applyAlignment="1" applyProtection="1">
      <alignment horizontal="center" vertical="center" wrapText="1"/>
      <protection locked="0"/>
    </xf>
    <xf numFmtId="166" fontId="3" fillId="9" borderId="0" xfId="2" applyNumberFormat="1" applyFont="1" applyFill="1" applyBorder="1" applyAlignment="1" applyProtection="1">
      <alignment horizontal="center" vertical="center" wrapText="1"/>
      <protection locked="0"/>
    </xf>
    <xf numFmtId="3" fontId="3" fillId="9" borderId="26" xfId="1" applyNumberFormat="1" applyFont="1" applyFill="1" applyBorder="1" applyAlignment="1" applyProtection="1">
      <alignment horizontal="center" vertical="center" wrapText="1"/>
      <protection locked="0"/>
    </xf>
    <xf numFmtId="166" fontId="3" fillId="9" borderId="26" xfId="2" applyNumberFormat="1" applyFont="1" applyFill="1" applyBorder="1" applyAlignment="1" applyProtection="1">
      <alignment horizontal="center" vertical="center" wrapText="1"/>
      <protection locked="0"/>
    </xf>
    <xf numFmtId="3" fontId="3" fillId="9" borderId="10" xfId="1" applyNumberFormat="1" applyFont="1" applyFill="1" applyBorder="1" applyAlignment="1" applyProtection="1">
      <alignment horizontal="center" vertical="center" wrapText="1"/>
      <protection locked="0"/>
    </xf>
    <xf numFmtId="166" fontId="3" fillId="9" borderId="10" xfId="0" applyNumberFormat="1" applyFont="1" applyFill="1" applyBorder="1" applyAlignment="1" applyProtection="1">
      <alignment horizontal="center" vertical="center" wrapText="1"/>
      <protection locked="0"/>
    </xf>
    <xf numFmtId="3" fontId="1" fillId="0" borderId="7" xfId="0" applyNumberFormat="1" applyFont="1" applyBorder="1" applyAlignment="1">
      <alignment horizontal="center" vertical="center" wrapText="1"/>
    </xf>
    <xf numFmtId="166" fontId="1" fillId="0" borderId="7" xfId="0" applyNumberFormat="1" applyFont="1" applyBorder="1" applyAlignment="1">
      <alignment horizontal="center" vertical="center" wrapText="1"/>
    </xf>
    <xf numFmtId="3" fontId="1" fillId="0" borderId="0" xfId="1" applyNumberFormat="1" applyFont="1" applyAlignment="1" applyProtection="1">
      <alignment horizontal="center" vertical="center"/>
    </xf>
    <xf numFmtId="166" fontId="3" fillId="9" borderId="0" xfId="0" applyNumberFormat="1" applyFont="1" applyFill="1" applyAlignment="1" applyProtection="1">
      <alignment horizontal="center" vertical="center" wrapText="1"/>
      <protection locked="0"/>
    </xf>
    <xf numFmtId="0" fontId="1" fillId="8" borderId="7" xfId="0" applyFont="1" applyFill="1" applyBorder="1" applyAlignment="1">
      <alignment horizontal="center" vertical="center" wrapText="1"/>
    </xf>
    <xf numFmtId="166" fontId="1" fillId="8" borderId="7" xfId="2" applyNumberFormat="1" applyFont="1" applyFill="1" applyBorder="1" applyAlignment="1">
      <alignment horizontal="center" vertical="center"/>
    </xf>
    <xf numFmtId="0" fontId="3" fillId="8" borderId="0" xfId="0" applyFont="1" applyFill="1" applyAlignment="1">
      <alignment horizontal="center" vertical="center" wrapText="1"/>
    </xf>
    <xf numFmtId="166" fontId="3" fillId="8" borderId="0" xfId="2" applyNumberFormat="1" applyFont="1" applyFill="1" applyBorder="1" applyAlignment="1">
      <alignment horizontal="center" vertical="center"/>
    </xf>
    <xf numFmtId="3" fontId="3" fillId="5" borderId="10" xfId="0" applyNumberFormat="1" applyFont="1" applyFill="1" applyBorder="1" applyAlignment="1" applyProtection="1">
      <alignment horizontal="center" vertical="center"/>
      <protection locked="0"/>
    </xf>
    <xf numFmtId="3" fontId="3" fillId="5" borderId="0" xfId="1" applyNumberFormat="1" applyFont="1" applyFill="1" applyBorder="1" applyAlignment="1" applyProtection="1">
      <alignment horizontal="center" vertical="center" wrapText="1"/>
      <protection locked="0"/>
    </xf>
    <xf numFmtId="166" fontId="3" fillId="5" borderId="0" xfId="2" applyNumberFormat="1" applyFont="1" applyFill="1" applyBorder="1" applyAlignment="1" applyProtection="1">
      <alignment horizontal="center" vertical="center" wrapText="1"/>
      <protection locked="0"/>
    </xf>
    <xf numFmtId="3" fontId="3" fillId="5" borderId="26" xfId="1" applyNumberFormat="1" applyFont="1" applyFill="1" applyBorder="1" applyAlignment="1" applyProtection="1">
      <alignment horizontal="center" vertical="center" wrapText="1"/>
      <protection locked="0"/>
    </xf>
    <xf numFmtId="166" fontId="3" fillId="5" borderId="26" xfId="2" applyNumberFormat="1" applyFont="1" applyFill="1" applyBorder="1" applyAlignment="1" applyProtection="1">
      <alignment horizontal="center" vertical="center" wrapText="1"/>
      <protection locked="0"/>
    </xf>
    <xf numFmtId="3" fontId="3" fillId="5" borderId="10" xfId="1" applyNumberFormat="1" applyFont="1" applyFill="1" applyBorder="1" applyAlignment="1" applyProtection="1">
      <alignment horizontal="center" vertical="center" wrapText="1"/>
      <protection locked="0"/>
    </xf>
    <xf numFmtId="166" fontId="3" fillId="5" borderId="10" xfId="0" applyNumberFormat="1" applyFont="1" applyFill="1" applyBorder="1" applyAlignment="1" applyProtection="1">
      <alignment horizontal="center" vertical="center" wrapText="1"/>
      <protection locked="0"/>
    </xf>
    <xf numFmtId="166" fontId="3" fillId="5" borderId="0" xfId="0" applyNumberFormat="1" applyFont="1" applyFill="1" applyAlignment="1" applyProtection="1">
      <alignment horizontal="center" vertical="center" wrapText="1"/>
      <protection locked="0"/>
    </xf>
    <xf numFmtId="0" fontId="14" fillId="8" borderId="0" xfId="0" applyFont="1" applyFill="1" applyAlignment="1">
      <alignment horizontal="right"/>
    </xf>
    <xf numFmtId="49" fontId="11" fillId="3" borderId="25" xfId="0" quotePrefix="1" applyNumberFormat="1" applyFont="1" applyFill="1" applyBorder="1"/>
    <xf numFmtId="1" fontId="14" fillId="8" borderId="13" xfId="0" applyNumberFormat="1" applyFont="1" applyFill="1" applyBorder="1" applyAlignment="1" applyProtection="1">
      <alignment horizontal="center"/>
      <protection locked="0"/>
    </xf>
    <xf numFmtId="1" fontId="14" fillId="8" borderId="0" xfId="0" applyNumberFormat="1" applyFont="1" applyFill="1" applyAlignment="1" applyProtection="1">
      <alignment horizontal="center"/>
      <protection locked="0"/>
    </xf>
    <xf numFmtId="165" fontId="11" fillId="8" borderId="6" xfId="0" applyNumberFormat="1" applyFont="1" applyFill="1" applyBorder="1" applyAlignment="1" applyProtection="1">
      <alignment horizontal="left"/>
      <protection locked="0"/>
    </xf>
    <xf numFmtId="0" fontId="13" fillId="8" borderId="6" xfId="0" applyFont="1" applyFill="1" applyBorder="1" applyAlignment="1">
      <alignment horizontal="center"/>
    </xf>
    <xf numFmtId="165" fontId="11" fillId="8" borderId="0" xfId="0" applyNumberFormat="1" applyFont="1" applyFill="1" applyAlignment="1" applyProtection="1">
      <alignment horizontal="left"/>
      <protection locked="0"/>
    </xf>
    <xf numFmtId="165" fontId="15" fillId="2" borderId="60" xfId="2" applyNumberFormat="1" applyFont="1" applyFill="1" applyBorder="1" applyAlignment="1">
      <alignment horizontal="left"/>
    </xf>
    <xf numFmtId="166" fontId="13" fillId="2" borderId="59" xfId="2" applyNumberFormat="1" applyFont="1" applyFill="1" applyBorder="1" applyAlignment="1">
      <alignment horizontal="right"/>
    </xf>
    <xf numFmtId="165" fontId="13" fillId="2" borderId="59" xfId="2" applyNumberFormat="1" applyFont="1" applyFill="1" applyBorder="1" applyAlignment="1">
      <alignment horizontal="right"/>
    </xf>
    <xf numFmtId="3" fontId="15" fillId="2" borderId="60" xfId="0" applyNumberFormat="1" applyFont="1" applyFill="1" applyBorder="1" applyAlignment="1">
      <alignment horizontal="left"/>
    </xf>
    <xf numFmtId="166" fontId="13" fillId="2" borderId="61" xfId="2" applyNumberFormat="1" applyFont="1" applyFill="1" applyBorder="1" applyAlignment="1">
      <alignment horizontal="right"/>
    </xf>
    <xf numFmtId="165" fontId="13" fillId="2" borderId="61" xfId="2" applyNumberFormat="1" applyFont="1" applyFill="1" applyBorder="1" applyAlignment="1">
      <alignment horizontal="right"/>
    </xf>
    <xf numFmtId="165" fontId="15" fillId="2" borderId="63" xfId="2" applyNumberFormat="1" applyFont="1" applyFill="1" applyBorder="1" applyAlignment="1">
      <alignment horizontal="left"/>
    </xf>
    <xf numFmtId="3" fontId="13" fillId="2" borderId="59" xfId="0" applyNumberFormat="1" applyFont="1" applyFill="1" applyBorder="1" applyAlignment="1">
      <alignment horizontal="right"/>
    </xf>
    <xf numFmtId="1" fontId="13" fillId="2" borderId="59" xfId="0" applyNumberFormat="1" applyFont="1" applyFill="1" applyBorder="1" applyAlignment="1">
      <alignment horizontal="right"/>
    </xf>
    <xf numFmtId="165" fontId="11" fillId="8" borderId="0" xfId="0" applyNumberFormat="1" applyFont="1" applyFill="1" applyProtection="1">
      <protection locked="0"/>
    </xf>
    <xf numFmtId="0" fontId="13" fillId="8" borderId="63" xfId="0" applyFont="1" applyFill="1" applyBorder="1" applyAlignment="1">
      <alignment horizontal="center"/>
    </xf>
    <xf numFmtId="0" fontId="14" fillId="8" borderId="59" xfId="0" applyFont="1" applyFill="1" applyBorder="1" applyAlignment="1">
      <alignment horizontal="right"/>
    </xf>
    <xf numFmtId="0" fontId="14" fillId="8" borderId="60" xfId="0" applyFont="1" applyFill="1" applyBorder="1" applyAlignment="1">
      <alignment horizontal="right"/>
    </xf>
    <xf numFmtId="1" fontId="14" fillId="8" borderId="57" xfId="0" applyNumberFormat="1" applyFont="1" applyFill="1" applyBorder="1" applyAlignment="1" applyProtection="1">
      <alignment horizontal="right"/>
      <protection locked="0"/>
    </xf>
    <xf numFmtId="1" fontId="14" fillId="8" borderId="58" xfId="0" applyNumberFormat="1" applyFont="1" applyFill="1" applyBorder="1" applyAlignment="1" applyProtection="1">
      <alignment horizontal="right"/>
      <protection locked="0"/>
    </xf>
    <xf numFmtId="1" fontId="14" fillId="8" borderId="57" xfId="0" applyNumberFormat="1" applyFont="1" applyFill="1" applyBorder="1" applyAlignment="1">
      <alignment horizontal="right"/>
    </xf>
    <xf numFmtId="1" fontId="14" fillId="8" borderId="58" xfId="0" applyNumberFormat="1" applyFont="1" applyFill="1" applyBorder="1" applyAlignment="1">
      <alignment horizontal="right"/>
    </xf>
    <xf numFmtId="6" fontId="14" fillId="8" borderId="57" xfId="0" applyNumberFormat="1" applyFont="1" applyFill="1" applyBorder="1" applyAlignment="1">
      <alignment horizontal="right"/>
    </xf>
    <xf numFmtId="6" fontId="14" fillId="8" borderId="58" xfId="0" applyNumberFormat="1" applyFont="1" applyFill="1" applyBorder="1" applyAlignment="1">
      <alignment horizontal="right"/>
    </xf>
    <xf numFmtId="165" fontId="14" fillId="8" borderId="57" xfId="0" applyNumberFormat="1" applyFont="1" applyFill="1" applyBorder="1" applyAlignment="1">
      <alignment horizontal="right"/>
    </xf>
    <xf numFmtId="165" fontId="14" fillId="8" borderId="58" xfId="0" applyNumberFormat="1" applyFont="1" applyFill="1" applyBorder="1" applyAlignment="1">
      <alignment horizontal="right"/>
    </xf>
    <xf numFmtId="0" fontId="13" fillId="8" borderId="61" xfId="0" applyFont="1" applyFill="1" applyBorder="1" applyAlignment="1">
      <alignment horizontal="center"/>
    </xf>
    <xf numFmtId="166" fontId="13" fillId="2" borderId="59" xfId="2" applyNumberFormat="1" applyFont="1" applyFill="1" applyBorder="1" applyAlignment="1"/>
    <xf numFmtId="0" fontId="11" fillId="7" borderId="1" xfId="0" applyFont="1" applyFill="1" applyBorder="1"/>
    <xf numFmtId="165" fontId="13" fillId="7" borderId="8" xfId="2" applyNumberFormat="1" applyFont="1" applyFill="1" applyBorder="1" applyAlignment="1">
      <alignment horizontal="right"/>
    </xf>
    <xf numFmtId="165" fontId="15" fillId="7" borderId="7" xfId="2" applyNumberFormat="1" applyFont="1" applyFill="1" applyBorder="1" applyAlignment="1">
      <alignment horizontal="left"/>
    </xf>
    <xf numFmtId="166" fontId="13" fillId="7" borderId="59" xfId="2" applyNumberFormat="1" applyFont="1" applyFill="1" applyBorder="1" applyAlignment="1">
      <alignment horizontal="right"/>
    </xf>
    <xf numFmtId="165" fontId="15" fillId="7" borderId="60" xfId="2" applyNumberFormat="1" applyFont="1" applyFill="1" applyBorder="1" applyAlignment="1">
      <alignment horizontal="left"/>
    </xf>
    <xf numFmtId="165" fontId="13" fillId="7" borderId="59" xfId="2" applyNumberFormat="1" applyFont="1" applyFill="1" applyBorder="1" applyAlignment="1">
      <alignment horizontal="right"/>
    </xf>
    <xf numFmtId="165" fontId="13" fillId="7" borderId="7" xfId="2" applyNumberFormat="1" applyFont="1" applyFill="1" applyBorder="1" applyAlignment="1">
      <alignment horizontal="right"/>
    </xf>
    <xf numFmtId="165" fontId="15" fillId="7" borderId="20" xfId="2" applyNumberFormat="1" applyFont="1" applyFill="1" applyBorder="1" applyAlignment="1">
      <alignment horizontal="left"/>
    </xf>
    <xf numFmtId="165" fontId="20" fillId="13" borderId="64" xfId="0" applyNumberFormat="1" applyFont="1" applyFill="1" applyBorder="1" applyAlignment="1">
      <alignment horizontal="right"/>
    </xf>
    <xf numFmtId="165" fontId="21" fillId="13" borderId="65" xfId="0" quotePrefix="1" applyNumberFormat="1" applyFont="1" applyFill="1" applyBorder="1" applyAlignment="1" applyProtection="1">
      <alignment horizontal="left"/>
      <protection locked="0"/>
    </xf>
    <xf numFmtId="165" fontId="20" fillId="13" borderId="28" xfId="0" applyNumberFormat="1" applyFont="1" applyFill="1" applyBorder="1" applyAlignment="1">
      <alignment horizontal="right"/>
    </xf>
    <xf numFmtId="165" fontId="21" fillId="13" borderId="30" xfId="0" quotePrefix="1" applyNumberFormat="1" applyFont="1" applyFill="1" applyBorder="1" applyAlignment="1" applyProtection="1">
      <alignment horizontal="left"/>
      <protection locked="0"/>
    </xf>
    <xf numFmtId="165" fontId="20" fillId="13" borderId="64" xfId="0" applyNumberFormat="1" applyFont="1" applyFill="1" applyBorder="1" applyAlignment="1" applyProtection="1">
      <alignment horizontal="right"/>
      <protection locked="0"/>
    </xf>
    <xf numFmtId="165" fontId="20" fillId="13" borderId="28" xfId="0" applyNumberFormat="1" applyFont="1" applyFill="1" applyBorder="1" applyAlignment="1" applyProtection="1">
      <alignment horizontal="right"/>
      <protection locked="0"/>
    </xf>
    <xf numFmtId="165" fontId="21" fillId="13" borderId="29" xfId="0" quotePrefix="1" applyNumberFormat="1" applyFont="1" applyFill="1" applyBorder="1" applyAlignment="1" applyProtection="1">
      <alignment horizontal="left"/>
      <protection locked="0"/>
    </xf>
    <xf numFmtId="165" fontId="21" fillId="13" borderId="28" xfId="0" quotePrefix="1" applyNumberFormat="1" applyFont="1" applyFill="1" applyBorder="1" applyAlignment="1" applyProtection="1">
      <alignment horizontal="left"/>
      <protection locked="0"/>
    </xf>
    <xf numFmtId="165" fontId="20" fillId="13" borderId="27" xfId="0" applyNumberFormat="1" applyFont="1" applyFill="1" applyBorder="1" applyProtection="1">
      <protection locked="0"/>
    </xf>
    <xf numFmtId="3" fontId="20" fillId="14" borderId="59" xfId="0" applyNumberFormat="1" applyFont="1" applyFill="1" applyBorder="1" applyAlignment="1">
      <alignment horizontal="right"/>
    </xf>
    <xf numFmtId="3" fontId="21" fillId="14" borderId="60" xfId="0" applyNumberFormat="1" applyFont="1" applyFill="1" applyBorder="1" applyAlignment="1" applyProtection="1">
      <alignment horizontal="left"/>
      <protection locked="0"/>
    </xf>
    <xf numFmtId="166" fontId="20" fillId="14" borderId="64" xfId="0" applyNumberFormat="1" applyFont="1" applyFill="1" applyBorder="1" applyAlignment="1">
      <alignment horizontal="right"/>
    </xf>
    <xf numFmtId="165" fontId="21" fillId="14" borderId="65" xfId="0" quotePrefix="1" applyNumberFormat="1" applyFont="1" applyFill="1" applyBorder="1" applyAlignment="1" applyProtection="1">
      <alignment horizontal="left"/>
      <protection locked="0"/>
    </xf>
    <xf numFmtId="3" fontId="20" fillId="15" borderId="59" xfId="0" applyNumberFormat="1" applyFont="1" applyFill="1" applyBorder="1" applyAlignment="1" applyProtection="1">
      <alignment horizontal="right"/>
      <protection locked="0"/>
    </xf>
    <xf numFmtId="3" fontId="21" fillId="15" borderId="60" xfId="0" applyNumberFormat="1" applyFont="1" applyFill="1" applyBorder="1" applyAlignment="1" applyProtection="1">
      <alignment horizontal="left"/>
      <protection locked="0"/>
    </xf>
    <xf numFmtId="3" fontId="20" fillId="15" borderId="7" xfId="0" applyNumberFormat="1" applyFont="1" applyFill="1" applyBorder="1" applyAlignment="1" applyProtection="1">
      <alignment horizontal="right"/>
      <protection locked="0"/>
    </xf>
    <xf numFmtId="3" fontId="21" fillId="15" borderId="20" xfId="0" applyNumberFormat="1" applyFont="1" applyFill="1" applyBorder="1" applyAlignment="1" applyProtection="1">
      <alignment horizontal="left"/>
      <protection locked="0"/>
    </xf>
    <xf numFmtId="3" fontId="21" fillId="15" borderId="16" xfId="0" applyNumberFormat="1" applyFont="1" applyFill="1" applyBorder="1" applyAlignment="1" applyProtection="1">
      <alignment horizontal="left"/>
      <protection locked="0"/>
    </xf>
    <xf numFmtId="3" fontId="21" fillId="15" borderId="7" xfId="0" applyNumberFormat="1" applyFont="1" applyFill="1" applyBorder="1" applyAlignment="1" applyProtection="1">
      <alignment horizontal="left"/>
      <protection locked="0"/>
    </xf>
    <xf numFmtId="3" fontId="20" fillId="15" borderId="8" xfId="0" applyNumberFormat="1" applyFont="1" applyFill="1" applyBorder="1" applyProtection="1">
      <protection locked="0"/>
    </xf>
    <xf numFmtId="3" fontId="20" fillId="15" borderId="8" xfId="0" applyNumberFormat="1" applyFont="1" applyFill="1" applyBorder="1" applyAlignment="1" applyProtection="1">
      <alignment horizontal="right"/>
      <protection locked="0"/>
    </xf>
    <xf numFmtId="165" fontId="20" fillId="13" borderId="27" xfId="0" applyNumberFormat="1" applyFont="1" applyFill="1" applyBorder="1" applyAlignment="1" applyProtection="1">
      <alignment horizontal="right"/>
      <protection locked="0"/>
    </xf>
    <xf numFmtId="0" fontId="13" fillId="14" borderId="61" xfId="0" applyFont="1" applyFill="1" applyBorder="1" applyAlignment="1">
      <alignment horizontal="center"/>
    </xf>
    <xf numFmtId="0" fontId="13" fillId="14" borderId="6" xfId="0" applyFont="1" applyFill="1" applyBorder="1" applyAlignment="1">
      <alignment horizontal="center"/>
    </xf>
    <xf numFmtId="3" fontId="21" fillId="14" borderId="7" xfId="0" applyNumberFormat="1" applyFont="1" applyFill="1" applyBorder="1" applyAlignment="1" applyProtection="1">
      <alignment horizontal="left"/>
      <protection locked="0"/>
    </xf>
    <xf numFmtId="165" fontId="21" fillId="14" borderId="28" xfId="0" quotePrefix="1" applyNumberFormat="1" applyFont="1" applyFill="1" applyBorder="1" applyAlignment="1" applyProtection="1">
      <alignment horizontal="left"/>
      <protection locked="0"/>
    </xf>
    <xf numFmtId="0" fontId="20" fillId="14" borderId="61" xfId="0" applyFont="1" applyFill="1" applyBorder="1" applyAlignment="1">
      <alignment horizontal="center"/>
    </xf>
    <xf numFmtId="0" fontId="20" fillId="14" borderId="6" xfId="0" applyFont="1" applyFill="1" applyBorder="1" applyAlignment="1">
      <alignment horizontal="center"/>
    </xf>
    <xf numFmtId="170" fontId="11" fillId="3" borderId="25" xfId="0" quotePrefix="1" applyNumberFormat="1" applyFont="1" applyFill="1" applyBorder="1"/>
    <xf numFmtId="0" fontId="14" fillId="8" borderId="60" xfId="0" applyFont="1" applyFill="1" applyBorder="1" applyAlignment="1">
      <alignment horizontal="center"/>
    </xf>
    <xf numFmtId="0" fontId="14" fillId="8" borderId="59" xfId="0" applyFont="1" applyFill="1" applyBorder="1" applyAlignment="1">
      <alignment horizontal="center"/>
    </xf>
    <xf numFmtId="6" fontId="14" fillId="8" borderId="59" xfId="0" applyNumberFormat="1" applyFont="1" applyFill="1" applyBorder="1" applyAlignment="1">
      <alignment horizontal="center"/>
    </xf>
    <xf numFmtId="6" fontId="14" fillId="8" borderId="60" xfId="0" applyNumberFormat="1" applyFont="1" applyFill="1" applyBorder="1" applyAlignment="1">
      <alignment horizontal="center"/>
    </xf>
    <xf numFmtId="165" fontId="15" fillId="2" borderId="10" xfId="2" applyNumberFormat="1" applyFont="1" applyFill="1" applyBorder="1" applyAlignment="1">
      <alignment horizontal="left"/>
    </xf>
    <xf numFmtId="165" fontId="20" fillId="13" borderId="27" xfId="0" applyNumberFormat="1" applyFont="1" applyFill="1" applyBorder="1" applyAlignment="1">
      <alignment horizontal="right"/>
    </xf>
    <xf numFmtId="169" fontId="14" fillId="8" borderId="0" xfId="0" applyNumberFormat="1" applyFont="1" applyFill="1"/>
    <xf numFmtId="1" fontId="13" fillId="2" borderId="8" xfId="0" applyNumberFormat="1" applyFont="1" applyFill="1" applyBorder="1" applyAlignment="1">
      <alignment horizontal="right"/>
    </xf>
    <xf numFmtId="0" fontId="14" fillId="8" borderId="10" xfId="0" applyFont="1" applyFill="1" applyBorder="1"/>
    <xf numFmtId="49" fontId="11" fillId="3" borderId="7" xfId="0" quotePrefix="1" applyNumberFormat="1" applyFont="1" applyFill="1" applyBorder="1"/>
    <xf numFmtId="49" fontId="11" fillId="3" borderId="20" xfId="0" quotePrefix="1" applyNumberFormat="1" applyFont="1" applyFill="1" applyBorder="1"/>
    <xf numFmtId="0" fontId="16" fillId="8" borderId="10" xfId="0" applyFont="1" applyFill="1" applyBorder="1"/>
    <xf numFmtId="0" fontId="16" fillId="8" borderId="0" xfId="0" applyFont="1" applyFill="1"/>
    <xf numFmtId="0" fontId="16" fillId="0" borderId="0" xfId="0" applyFont="1"/>
    <xf numFmtId="1" fontId="0" fillId="0" borderId="0" xfId="0" applyNumberFormat="1"/>
    <xf numFmtId="1" fontId="15" fillId="7" borderId="20" xfId="2" applyNumberFormat="1" applyFont="1" applyFill="1" applyBorder="1" applyAlignment="1">
      <alignment horizontal="left"/>
    </xf>
    <xf numFmtId="0" fontId="11" fillId="2" borderId="17" xfId="0" applyFont="1" applyFill="1" applyBorder="1"/>
    <xf numFmtId="3" fontId="13" fillId="7" borderId="8" xfId="2" applyNumberFormat="1" applyFont="1" applyFill="1" applyBorder="1" applyAlignment="1">
      <alignment horizontal="right"/>
    </xf>
    <xf numFmtId="3" fontId="15" fillId="7" borderId="7" xfId="2" applyNumberFormat="1" applyFont="1" applyFill="1" applyBorder="1" applyAlignment="1">
      <alignment horizontal="left"/>
    </xf>
    <xf numFmtId="3" fontId="13" fillId="7" borderId="59" xfId="2" applyNumberFormat="1" applyFont="1" applyFill="1" applyBorder="1" applyAlignment="1">
      <alignment horizontal="right"/>
    </xf>
    <xf numFmtId="3" fontId="15" fillId="7" borderId="60" xfId="2" applyNumberFormat="1" applyFont="1" applyFill="1" applyBorder="1" applyAlignment="1">
      <alignment horizontal="left"/>
    </xf>
    <xf numFmtId="3" fontId="13" fillId="7" borderId="7" xfId="2" applyNumberFormat="1" applyFont="1" applyFill="1" applyBorder="1" applyAlignment="1">
      <alignment horizontal="right"/>
    </xf>
    <xf numFmtId="3" fontId="13" fillId="2" borderId="8" xfId="2" applyNumberFormat="1" applyFont="1" applyFill="1" applyBorder="1" applyAlignment="1">
      <alignment horizontal="right"/>
    </xf>
    <xf numFmtId="3" fontId="15" fillId="2" borderId="7" xfId="2" applyNumberFormat="1" applyFont="1" applyFill="1" applyBorder="1" applyAlignment="1">
      <alignment horizontal="left"/>
    </xf>
    <xf numFmtId="3" fontId="13" fillId="2" borderId="59" xfId="2" applyNumberFormat="1" applyFont="1" applyFill="1" applyBorder="1" applyAlignment="1">
      <alignment horizontal="right"/>
    </xf>
    <xf numFmtId="3" fontId="15" fillId="2" borderId="60" xfId="2" applyNumberFormat="1" applyFont="1" applyFill="1" applyBorder="1" applyAlignment="1">
      <alignment horizontal="left"/>
    </xf>
    <xf numFmtId="3" fontId="15" fillId="2" borderId="16" xfId="2" applyNumberFormat="1" applyFont="1" applyFill="1" applyBorder="1" applyAlignment="1">
      <alignment horizontal="left"/>
    </xf>
    <xf numFmtId="3" fontId="15" fillId="2" borderId="20" xfId="2" applyNumberFormat="1" applyFont="1" applyFill="1" applyBorder="1" applyAlignment="1">
      <alignment horizontal="left"/>
    </xf>
    <xf numFmtId="0" fontId="13" fillId="8" borderId="0" xfId="0" applyFont="1" applyFill="1" applyAlignment="1">
      <alignment wrapText="1"/>
    </xf>
    <xf numFmtId="0" fontId="13" fillId="8" borderId="10" xfId="0" applyFont="1" applyFill="1" applyBorder="1" applyAlignment="1">
      <alignment wrapText="1"/>
    </xf>
    <xf numFmtId="171" fontId="14" fillId="8" borderId="0" xfId="0" applyNumberFormat="1" applyFont="1" applyFill="1"/>
    <xf numFmtId="165" fontId="14" fillId="8" borderId="66" xfId="0" applyNumberFormat="1" applyFont="1" applyFill="1" applyBorder="1" applyAlignment="1">
      <alignment horizontal="center"/>
    </xf>
    <xf numFmtId="165" fontId="14" fillId="8" borderId="67" xfId="0" applyNumberFormat="1" applyFont="1" applyFill="1" applyBorder="1" applyAlignment="1">
      <alignment horizontal="center"/>
    </xf>
    <xf numFmtId="1" fontId="14" fillId="8" borderId="57" xfId="0" applyNumberFormat="1" applyFont="1" applyFill="1" applyBorder="1" applyAlignment="1" applyProtection="1">
      <alignment horizontal="center"/>
      <protection locked="0"/>
    </xf>
    <xf numFmtId="1" fontId="14" fillId="8" borderId="58" xfId="0" applyNumberFormat="1" applyFont="1" applyFill="1" applyBorder="1" applyAlignment="1" applyProtection="1">
      <alignment horizontal="center"/>
      <protection locked="0"/>
    </xf>
    <xf numFmtId="0" fontId="12" fillId="8" borderId="0" xfId="0" applyFont="1" applyFill="1" applyAlignment="1">
      <alignment horizontal="left"/>
    </xf>
    <xf numFmtId="1" fontId="14" fillId="8" borderId="54" xfId="0" applyNumberFormat="1" applyFont="1" applyFill="1" applyBorder="1" applyAlignment="1" applyProtection="1">
      <alignment horizontal="center"/>
      <protection locked="0"/>
    </xf>
    <xf numFmtId="1" fontId="14" fillId="8" borderId="51" xfId="0" applyNumberFormat="1" applyFont="1" applyFill="1" applyBorder="1" applyAlignment="1">
      <alignment horizontal="center"/>
    </xf>
    <xf numFmtId="166" fontId="14" fillId="8" borderId="49" xfId="2" applyNumberFormat="1" applyFont="1" applyFill="1" applyBorder="1" applyAlignment="1">
      <alignment horizontal="center"/>
    </xf>
    <xf numFmtId="6" fontId="14" fillId="8" borderId="49" xfId="0" applyNumberFormat="1" applyFont="1" applyFill="1" applyBorder="1" applyAlignment="1">
      <alignment horizontal="center"/>
    </xf>
    <xf numFmtId="166" fontId="13" fillId="8" borderId="52" xfId="2" applyNumberFormat="1" applyFont="1" applyFill="1" applyBorder="1" applyAlignment="1">
      <alignment horizontal="center"/>
    </xf>
    <xf numFmtId="165" fontId="14" fillId="8" borderId="56" xfId="0" applyNumberFormat="1" applyFont="1" applyFill="1" applyBorder="1" applyAlignment="1">
      <alignment horizontal="center"/>
    </xf>
    <xf numFmtId="165" fontId="14" fillId="8" borderId="34" xfId="0" applyNumberFormat="1" applyFont="1" applyFill="1" applyBorder="1" applyAlignment="1">
      <alignment horizontal="center"/>
    </xf>
    <xf numFmtId="165" fontId="14" fillId="8" borderId="33" xfId="0" applyNumberFormat="1" applyFont="1" applyFill="1" applyBorder="1" applyAlignment="1">
      <alignment horizontal="center"/>
    </xf>
    <xf numFmtId="166" fontId="13" fillId="3" borderId="55" xfId="2" applyNumberFormat="1" applyFont="1" applyFill="1" applyBorder="1" applyAlignment="1">
      <alignment horizontal="center"/>
    </xf>
    <xf numFmtId="1" fontId="14" fillId="8" borderId="13" xfId="0" applyNumberFormat="1" applyFont="1" applyFill="1" applyBorder="1" applyAlignment="1" applyProtection="1">
      <alignment horizontal="center"/>
      <protection locked="0"/>
    </xf>
    <xf numFmtId="1" fontId="14" fillId="8" borderId="0" xfId="0" applyNumberFormat="1" applyFont="1" applyFill="1" applyAlignment="1" applyProtection="1">
      <alignment horizontal="center"/>
      <protection locked="0"/>
    </xf>
    <xf numFmtId="1" fontId="14" fillId="8" borderId="38" xfId="0" applyNumberFormat="1" applyFont="1" applyFill="1" applyBorder="1" applyAlignment="1">
      <alignment horizontal="center"/>
    </xf>
    <xf numFmtId="1" fontId="14" fillId="8" borderId="10" xfId="0" applyNumberFormat="1" applyFont="1" applyFill="1" applyBorder="1" applyAlignment="1">
      <alignment horizontal="center"/>
    </xf>
    <xf numFmtId="166" fontId="14" fillId="8" borderId="8" xfId="2" applyNumberFormat="1" applyFont="1" applyFill="1" applyBorder="1" applyAlignment="1">
      <alignment horizontal="center"/>
    </xf>
    <xf numFmtId="166" fontId="14" fillId="8" borderId="7" xfId="2" applyNumberFormat="1" applyFont="1" applyFill="1" applyBorder="1" applyAlignment="1">
      <alignment horizontal="center"/>
    </xf>
    <xf numFmtId="166" fontId="13" fillId="3" borderId="42" xfId="2" applyNumberFormat="1" applyFont="1" applyFill="1" applyBorder="1" applyAlignment="1">
      <alignment horizontal="center"/>
    </xf>
    <xf numFmtId="166" fontId="13" fillId="3" borderId="31" xfId="2" applyNumberFormat="1" applyFont="1" applyFill="1" applyBorder="1" applyAlignment="1">
      <alignment horizontal="center"/>
    </xf>
    <xf numFmtId="1" fontId="14" fillId="8" borderId="22" xfId="0" applyNumberFormat="1" applyFont="1" applyFill="1" applyBorder="1" applyAlignment="1" applyProtection="1">
      <alignment horizontal="center"/>
      <protection locked="0"/>
    </xf>
    <xf numFmtId="6" fontId="14" fillId="8" borderId="7" xfId="0" applyNumberFormat="1" applyFont="1" applyFill="1" applyBorder="1" applyAlignment="1">
      <alignment horizontal="center"/>
    </xf>
    <xf numFmtId="6" fontId="14" fillId="8" borderId="20" xfId="0" applyNumberFormat="1" applyFont="1" applyFill="1" applyBorder="1" applyAlignment="1">
      <alignment horizontal="center"/>
    </xf>
    <xf numFmtId="166" fontId="14" fillId="8" borderId="20" xfId="2" applyNumberFormat="1" applyFont="1" applyFill="1" applyBorder="1" applyAlignment="1">
      <alignment horizontal="center"/>
    </xf>
    <xf numFmtId="1" fontId="14" fillId="8" borderId="23" xfId="0" applyNumberFormat="1" applyFont="1" applyFill="1" applyBorder="1" applyAlignment="1">
      <alignment horizontal="center"/>
    </xf>
    <xf numFmtId="6" fontId="14" fillId="8" borderId="8" xfId="0" applyNumberFormat="1" applyFont="1" applyFill="1" applyBorder="1" applyAlignment="1">
      <alignment horizontal="center"/>
    </xf>
    <xf numFmtId="166" fontId="13" fillId="8" borderId="28" xfId="2" applyNumberFormat="1" applyFont="1" applyFill="1" applyBorder="1" applyAlignment="1">
      <alignment horizontal="center"/>
    </xf>
    <xf numFmtId="166" fontId="13" fillId="8" borderId="27" xfId="2" applyNumberFormat="1" applyFont="1" applyFill="1" applyBorder="1" applyAlignment="1">
      <alignment horizontal="center"/>
    </xf>
    <xf numFmtId="165" fontId="14" fillId="8" borderId="35" xfId="0" applyNumberFormat="1" applyFont="1" applyFill="1" applyBorder="1" applyAlignment="1">
      <alignment horizontal="center"/>
    </xf>
    <xf numFmtId="166" fontId="13" fillId="8" borderId="30" xfId="2" applyNumberFormat="1" applyFont="1" applyFill="1" applyBorder="1" applyAlignment="1">
      <alignment horizontal="center"/>
    </xf>
    <xf numFmtId="166" fontId="13" fillId="3" borderId="32" xfId="2" applyNumberFormat="1" applyFont="1" applyFill="1" applyBorder="1" applyAlignment="1">
      <alignment horizontal="center"/>
    </xf>
    <xf numFmtId="1" fontId="14" fillId="8" borderId="0" xfId="0" applyNumberFormat="1" applyFont="1" applyFill="1" applyAlignment="1">
      <alignment horizontal="center"/>
    </xf>
    <xf numFmtId="1" fontId="14" fillId="8" borderId="22" xfId="0" applyNumberFormat="1" applyFont="1" applyFill="1" applyBorder="1" applyAlignment="1">
      <alignment horizontal="center"/>
    </xf>
    <xf numFmtId="1" fontId="14" fillId="8" borderId="54" xfId="0" applyNumberFormat="1" applyFont="1" applyFill="1" applyBorder="1" applyAlignment="1">
      <alignment horizontal="center"/>
    </xf>
    <xf numFmtId="166" fontId="13" fillId="3" borderId="53" xfId="2" applyNumberFormat="1" applyFont="1" applyFill="1" applyBorder="1" applyAlignment="1">
      <alignment horizontal="center"/>
    </xf>
    <xf numFmtId="166" fontId="13" fillId="3" borderId="36" xfId="2" applyNumberFormat="1" applyFont="1" applyFill="1" applyBorder="1" applyAlignment="1">
      <alignment horizontal="center"/>
    </xf>
    <xf numFmtId="166" fontId="13" fillId="3" borderId="37" xfId="2" applyNumberFormat="1" applyFont="1" applyFill="1" applyBorder="1" applyAlignment="1">
      <alignment horizontal="center"/>
    </xf>
    <xf numFmtId="0" fontId="14" fillId="8" borderId="7" xfId="0" applyFont="1" applyFill="1" applyBorder="1" applyAlignment="1">
      <alignment horizontal="center"/>
    </xf>
    <xf numFmtId="0" fontId="14" fillId="8" borderId="20" xfId="0" applyFont="1" applyFill="1" applyBorder="1" applyAlignment="1">
      <alignment horizontal="center"/>
    </xf>
    <xf numFmtId="0" fontId="14" fillId="8" borderId="49" xfId="0" applyFont="1" applyFill="1" applyBorder="1" applyAlignment="1">
      <alignment horizontal="center"/>
    </xf>
    <xf numFmtId="0" fontId="14" fillId="8" borderId="8" xfId="0" applyFont="1" applyFill="1" applyBorder="1" applyAlignment="1">
      <alignment horizontal="center"/>
    </xf>
    <xf numFmtId="1" fontId="14" fillId="8" borderId="6" xfId="0" applyNumberFormat="1" applyFont="1" applyFill="1" applyBorder="1" applyAlignment="1" applyProtection="1">
      <alignment horizontal="center"/>
      <protection locked="0"/>
    </xf>
    <xf numFmtId="1" fontId="14" fillId="8" borderId="21" xfId="0" applyNumberFormat="1" applyFont="1" applyFill="1" applyBorder="1" applyAlignment="1" applyProtection="1">
      <alignment horizontal="center"/>
      <protection locked="0"/>
    </xf>
    <xf numFmtId="166" fontId="13" fillId="8" borderId="36" xfId="0" applyNumberFormat="1" applyFont="1" applyFill="1" applyBorder="1" applyAlignment="1">
      <alignment horizontal="center"/>
    </xf>
    <xf numFmtId="166" fontId="13" fillId="8" borderId="37" xfId="0" applyNumberFormat="1" applyFont="1" applyFill="1" applyBorder="1" applyAlignment="1">
      <alignment horizontal="center"/>
    </xf>
    <xf numFmtId="166" fontId="13" fillId="8" borderId="53" xfId="0" applyNumberFormat="1" applyFont="1" applyFill="1" applyBorder="1" applyAlignment="1">
      <alignment horizontal="center"/>
    </xf>
    <xf numFmtId="1" fontId="14" fillId="8" borderId="61" xfId="0" applyNumberFormat="1" applyFont="1" applyFill="1" applyBorder="1" applyAlignment="1" applyProtection="1">
      <alignment horizontal="center"/>
      <protection locked="0"/>
    </xf>
    <xf numFmtId="1" fontId="14" fillId="8" borderId="63" xfId="0" applyNumberFormat="1" applyFont="1" applyFill="1" applyBorder="1" applyAlignment="1" applyProtection="1">
      <alignment horizontal="center"/>
      <protection locked="0"/>
    </xf>
    <xf numFmtId="0" fontId="14" fillId="8" borderId="59" xfId="0" applyFont="1" applyFill="1" applyBorder="1" applyAlignment="1">
      <alignment horizontal="center"/>
    </xf>
    <xf numFmtId="1" fontId="14" fillId="8" borderId="50" xfId="0" applyNumberFormat="1" applyFont="1" applyFill="1" applyBorder="1" applyAlignment="1" applyProtection="1">
      <alignment horizontal="center"/>
      <protection locked="0"/>
    </xf>
    <xf numFmtId="166" fontId="13" fillId="8" borderId="39" xfId="0" applyNumberFormat="1" applyFont="1" applyFill="1" applyBorder="1" applyAlignment="1">
      <alignment horizontal="center"/>
    </xf>
    <xf numFmtId="1" fontId="14" fillId="8" borderId="5" xfId="0" applyNumberFormat="1" applyFont="1" applyFill="1" applyBorder="1" applyAlignment="1" applyProtection="1">
      <alignment horizontal="center"/>
      <protection locked="0"/>
    </xf>
    <xf numFmtId="166" fontId="13" fillId="8" borderId="69" xfId="0" applyNumberFormat="1" applyFont="1" applyFill="1" applyBorder="1" applyAlignment="1">
      <alignment horizontal="center"/>
    </xf>
    <xf numFmtId="1" fontId="14" fillId="8" borderId="13" xfId="0" applyNumberFormat="1" applyFont="1" applyFill="1" applyBorder="1" applyAlignment="1">
      <alignment horizontal="center"/>
    </xf>
    <xf numFmtId="166" fontId="13" fillId="3" borderId="39" xfId="2" applyNumberFormat="1" applyFont="1" applyFill="1" applyBorder="1" applyAlignment="1">
      <alignment horizontal="center"/>
    </xf>
    <xf numFmtId="0" fontId="13" fillId="14" borderId="50" xfId="0" applyFont="1" applyFill="1" applyBorder="1" applyAlignment="1">
      <alignment horizontal="center"/>
    </xf>
    <xf numFmtId="0" fontId="13" fillId="8" borderId="5" xfId="0" applyFont="1" applyFill="1" applyBorder="1" applyAlignment="1">
      <alignment horizontal="center"/>
    </xf>
    <xf numFmtId="0" fontId="13" fillId="8" borderId="6" xfId="0" applyFont="1" applyFill="1" applyBorder="1" applyAlignment="1">
      <alignment horizontal="center"/>
    </xf>
    <xf numFmtId="0" fontId="13" fillId="8" borderId="50" xfId="0" applyFont="1" applyFill="1" applyBorder="1" applyAlignment="1">
      <alignment horizontal="center"/>
    </xf>
    <xf numFmtId="0" fontId="13" fillId="8" borderId="21" xfId="0" applyFont="1" applyFill="1" applyBorder="1" applyAlignment="1">
      <alignment horizontal="center"/>
    </xf>
    <xf numFmtId="0" fontId="13" fillId="8" borderId="51" xfId="0" applyFont="1" applyFill="1" applyBorder="1" applyAlignment="1">
      <alignment horizontal="center"/>
    </xf>
    <xf numFmtId="0" fontId="13" fillId="8" borderId="10" xfId="0" applyFont="1" applyFill="1" applyBorder="1" applyAlignment="1">
      <alignment horizontal="center"/>
    </xf>
    <xf numFmtId="0" fontId="13" fillId="8" borderId="23" xfId="0" applyFont="1" applyFill="1" applyBorder="1" applyAlignment="1">
      <alignment horizontal="center"/>
    </xf>
    <xf numFmtId="0" fontId="13" fillId="8" borderId="38" xfId="0" applyFont="1" applyFill="1" applyBorder="1" applyAlignment="1">
      <alignment horizontal="center"/>
    </xf>
    <xf numFmtId="0" fontId="20" fillId="14" borderId="51" xfId="0" applyFont="1" applyFill="1" applyBorder="1" applyAlignment="1">
      <alignment horizontal="center"/>
    </xf>
    <xf numFmtId="0" fontId="13" fillId="8" borderId="61" xfId="0" applyFont="1" applyFill="1" applyBorder="1" applyAlignment="1">
      <alignment horizontal="center"/>
    </xf>
    <xf numFmtId="0" fontId="13" fillId="8" borderId="62" xfId="0" applyFont="1" applyFill="1" applyBorder="1" applyAlignment="1">
      <alignment horizontal="center"/>
    </xf>
    <xf numFmtId="0" fontId="13" fillId="12" borderId="0" xfId="0" applyFont="1" applyFill="1" applyAlignment="1">
      <alignment horizontal="center" wrapText="1"/>
    </xf>
    <xf numFmtId="0" fontId="13" fillId="12" borderId="10" xfId="0" applyFont="1" applyFill="1" applyBorder="1" applyAlignment="1">
      <alignment horizontal="center" wrapText="1"/>
    </xf>
    <xf numFmtId="0" fontId="13" fillId="8" borderId="8" xfId="0" applyFont="1" applyFill="1" applyBorder="1" applyAlignment="1">
      <alignment horizontal="center"/>
    </xf>
    <xf numFmtId="0" fontId="13" fillId="8" borderId="7" xfId="0" applyFont="1" applyFill="1" applyBorder="1" applyAlignment="1">
      <alignment horizontal="center"/>
    </xf>
    <xf numFmtId="0" fontId="13" fillId="8" borderId="20" xfId="0" applyFont="1" applyFill="1" applyBorder="1" applyAlignment="1">
      <alignment horizontal="center"/>
    </xf>
    <xf numFmtId="0" fontId="3" fillId="0" borderId="7" xfId="0" applyFont="1" applyBorder="1" applyAlignment="1">
      <alignment horizontal="left"/>
    </xf>
    <xf numFmtId="0" fontId="3" fillId="6" borderId="0" xfId="0" applyFont="1" applyFill="1" applyAlignment="1">
      <alignment horizontal="center"/>
    </xf>
    <xf numFmtId="0" fontId="3" fillId="7" borderId="0" xfId="0" applyFont="1" applyFill="1" applyAlignment="1">
      <alignment horizontal="center"/>
    </xf>
    <xf numFmtId="0" fontId="3" fillId="5" borderId="0" xfId="0" applyFont="1" applyFill="1" applyAlignment="1">
      <alignment horizontal="center"/>
    </xf>
    <xf numFmtId="0" fontId="3" fillId="4" borderId="0" xfId="0" applyFont="1" applyFill="1" applyAlignment="1">
      <alignment horizontal="center"/>
    </xf>
    <xf numFmtId="166" fontId="13" fillId="3" borderId="40" xfId="2" applyNumberFormat="1" applyFont="1" applyFill="1" applyBorder="1" applyAlignment="1">
      <alignment horizontal="center"/>
    </xf>
    <xf numFmtId="166" fontId="13" fillId="8" borderId="29" xfId="2" applyNumberFormat="1" applyFont="1" applyFill="1" applyBorder="1" applyAlignment="1">
      <alignment horizontal="center"/>
    </xf>
    <xf numFmtId="1" fontId="14" fillId="8" borderId="57" xfId="0" applyNumberFormat="1" applyFont="1" applyFill="1" applyBorder="1" applyAlignment="1">
      <alignment horizontal="center"/>
    </xf>
    <xf numFmtId="1" fontId="14" fillId="8" borderId="58" xfId="0" applyNumberFormat="1" applyFont="1" applyFill="1" applyBorder="1" applyAlignment="1">
      <alignment horizontal="center"/>
    </xf>
    <xf numFmtId="166" fontId="13" fillId="3" borderId="69" xfId="2" applyNumberFormat="1" applyFont="1" applyFill="1" applyBorder="1" applyAlignment="1">
      <alignment horizontal="center"/>
    </xf>
    <xf numFmtId="166" fontId="13" fillId="3" borderId="70" xfId="2" applyNumberFormat="1" applyFont="1" applyFill="1" applyBorder="1" applyAlignment="1">
      <alignment horizontal="center"/>
    </xf>
    <xf numFmtId="166" fontId="13" fillId="8" borderId="64" xfId="2" applyNumberFormat="1" applyFont="1" applyFill="1" applyBorder="1" applyAlignment="1">
      <alignment horizontal="center"/>
    </xf>
    <xf numFmtId="166" fontId="13" fillId="8" borderId="65" xfId="2" applyNumberFormat="1" applyFont="1" applyFill="1" applyBorder="1" applyAlignment="1">
      <alignment horizontal="center"/>
    </xf>
    <xf numFmtId="166" fontId="14" fillId="8" borderId="59" xfId="2" applyNumberFormat="1" applyFont="1" applyFill="1" applyBorder="1" applyAlignment="1">
      <alignment horizontal="center"/>
    </xf>
    <xf numFmtId="0" fontId="12" fillId="8" borderId="6" xfId="0" applyFont="1" applyFill="1" applyBorder="1" applyAlignment="1">
      <alignment horizontal="left"/>
    </xf>
    <xf numFmtId="1" fontId="14" fillId="8" borderId="62" xfId="0" applyNumberFormat="1" applyFont="1" applyFill="1" applyBorder="1" applyAlignment="1">
      <alignment horizontal="center"/>
    </xf>
    <xf numFmtId="166" fontId="13" fillId="3" borderId="71" xfId="2" applyNumberFormat="1" applyFont="1" applyFill="1" applyBorder="1" applyAlignment="1">
      <alignment horizontal="center"/>
    </xf>
    <xf numFmtId="166" fontId="13" fillId="3" borderId="72" xfId="2" applyNumberFormat="1" applyFont="1" applyFill="1" applyBorder="1" applyAlignment="1">
      <alignment horizontal="center"/>
    </xf>
    <xf numFmtId="1" fontId="14" fillId="8" borderId="15" xfId="0" applyNumberFormat="1" applyFont="1" applyFill="1" applyBorder="1" applyAlignment="1" applyProtection="1">
      <alignment horizontal="center"/>
      <protection locked="0"/>
    </xf>
    <xf numFmtId="1" fontId="14" fillId="8" borderId="15" xfId="0" applyNumberFormat="1" applyFont="1" applyFill="1" applyBorder="1" applyAlignment="1">
      <alignment horizontal="center"/>
    </xf>
    <xf numFmtId="1" fontId="14" fillId="8" borderId="68" xfId="0" applyNumberFormat="1" applyFont="1" applyFill="1" applyBorder="1" applyAlignment="1">
      <alignment horizontal="center"/>
    </xf>
    <xf numFmtId="166" fontId="14" fillId="8" borderId="60" xfId="2" applyNumberFormat="1" applyFont="1" applyFill="1" applyBorder="1" applyAlignment="1">
      <alignment horizontal="center"/>
    </xf>
    <xf numFmtId="1" fontId="14" fillId="8" borderId="41" xfId="0" applyNumberFormat="1" applyFont="1" applyFill="1" applyBorder="1" applyAlignment="1">
      <alignment horizontal="center"/>
    </xf>
    <xf numFmtId="166" fontId="14" fillId="8" borderId="16" xfId="2" applyNumberFormat="1" applyFont="1" applyFill="1" applyBorder="1" applyAlignment="1">
      <alignment horizontal="center"/>
    </xf>
    <xf numFmtId="166" fontId="13" fillId="3" borderId="43" xfId="2" applyNumberFormat="1" applyFont="1" applyFill="1" applyBorder="1" applyAlignment="1">
      <alignment horizontal="center"/>
    </xf>
    <xf numFmtId="166" fontId="13" fillId="8" borderId="70" xfId="0" applyNumberFormat="1" applyFont="1" applyFill="1" applyBorder="1" applyAlignment="1">
      <alignment horizontal="center"/>
    </xf>
    <xf numFmtId="166" fontId="13" fillId="8" borderId="43" xfId="0" applyNumberFormat="1" applyFont="1" applyFill="1" applyBorder="1" applyAlignment="1">
      <alignment horizontal="center"/>
    </xf>
    <xf numFmtId="0" fontId="20" fillId="14" borderId="62" xfId="0" applyFont="1" applyFill="1" applyBorder="1" applyAlignment="1">
      <alignment horizontal="center"/>
    </xf>
    <xf numFmtId="0" fontId="20" fillId="14" borderId="10" xfId="0" applyFont="1" applyFill="1" applyBorder="1" applyAlignment="1">
      <alignment horizontal="center"/>
    </xf>
    <xf numFmtId="0" fontId="13" fillId="8" borderId="68" xfId="0" applyFont="1" applyFill="1" applyBorder="1" applyAlignment="1">
      <alignment horizontal="center"/>
    </xf>
    <xf numFmtId="0" fontId="13" fillId="8" borderId="44" xfId="0" applyFont="1" applyFill="1" applyBorder="1" applyAlignment="1">
      <alignment horizontal="center"/>
    </xf>
    <xf numFmtId="0" fontId="13" fillId="8" borderId="41" xfId="0" applyFont="1" applyFill="1" applyBorder="1" applyAlignment="1">
      <alignment horizontal="center"/>
    </xf>
    <xf numFmtId="0" fontId="13" fillId="8" borderId="0" xfId="0" applyFont="1" applyFill="1" applyAlignment="1">
      <alignment horizontal="center"/>
    </xf>
    <xf numFmtId="0" fontId="13" fillId="8" borderId="22" xfId="0" applyFont="1" applyFill="1" applyBorder="1" applyAlignment="1">
      <alignment horizontal="center"/>
    </xf>
    <xf numFmtId="166" fontId="13" fillId="8" borderId="45" xfId="0" applyNumberFormat="1" applyFont="1" applyFill="1" applyBorder="1" applyAlignment="1">
      <alignment horizontal="center"/>
    </xf>
    <xf numFmtId="166" fontId="13" fillId="8" borderId="46" xfId="0" applyNumberFormat="1" applyFont="1" applyFill="1" applyBorder="1" applyAlignment="1">
      <alignment horizontal="center"/>
    </xf>
    <xf numFmtId="1" fontId="14" fillId="8" borderId="44" xfId="0" applyNumberFormat="1" applyFont="1" applyFill="1" applyBorder="1" applyAlignment="1" applyProtection="1">
      <alignment horizontal="center"/>
      <protection locked="0"/>
    </xf>
    <xf numFmtId="0" fontId="11" fillId="12" borderId="0" xfId="0" applyFont="1" applyFill="1" applyAlignment="1">
      <alignment horizontal="center" wrapText="1"/>
    </xf>
    <xf numFmtId="0" fontId="11" fillId="12" borderId="10" xfId="0" applyFont="1" applyFill="1" applyBorder="1" applyAlignment="1">
      <alignment horizontal="center" wrapText="1"/>
    </xf>
    <xf numFmtId="0" fontId="1" fillId="8" borderId="0" xfId="0" applyFont="1" applyFill="1" applyAlignment="1">
      <alignment horizontal="left" vertical="top" wrapText="1"/>
    </xf>
    <xf numFmtId="0" fontId="3" fillId="8" borderId="10" xfId="0" applyFont="1" applyFill="1" applyBorder="1" applyAlignment="1">
      <alignment horizontal="center" vertical="center"/>
    </xf>
    <xf numFmtId="0" fontId="3" fillId="11" borderId="10" xfId="0" applyFont="1" applyFill="1" applyBorder="1" applyAlignment="1">
      <alignment horizontal="center" vertical="center"/>
    </xf>
    <xf numFmtId="0" fontId="1" fillId="8" borderId="0" xfId="0" applyFont="1" applyFill="1" applyAlignment="1">
      <alignment horizontal="left" vertical="center" wrapText="1"/>
    </xf>
    <xf numFmtId="0" fontId="13" fillId="10" borderId="10" xfId="0" applyFont="1" applyFill="1" applyBorder="1" applyAlignment="1">
      <alignment horizontal="center" vertical="center"/>
    </xf>
    <xf numFmtId="0" fontId="18" fillId="8" borderId="47" xfId="0" applyFont="1" applyFill="1" applyBorder="1" applyAlignment="1">
      <alignment horizontal="center" vertical="center"/>
    </xf>
    <xf numFmtId="0" fontId="18" fillId="8" borderId="45" xfId="0" applyFont="1" applyFill="1" applyBorder="1" applyAlignment="1">
      <alignment horizontal="center" vertical="center"/>
    </xf>
    <xf numFmtId="0" fontId="18" fillId="8" borderId="48" xfId="0" applyFont="1" applyFill="1" applyBorder="1" applyAlignment="1">
      <alignment horizontal="center" vertical="center"/>
    </xf>
    <xf numFmtId="0" fontId="17" fillId="8" borderId="13" xfId="0" applyFont="1" applyFill="1" applyBorder="1" applyAlignment="1">
      <alignment horizontal="center" vertical="top"/>
    </xf>
    <xf numFmtId="0" fontId="17" fillId="8" borderId="0" xfId="0" applyFont="1" applyFill="1" applyAlignment="1">
      <alignment horizontal="center" vertical="top"/>
    </xf>
    <xf numFmtId="0" fontId="17" fillId="8" borderId="15" xfId="0" applyFont="1" applyFill="1" applyBorder="1" applyAlignment="1">
      <alignment horizontal="center" vertical="top"/>
    </xf>
    <xf numFmtId="0" fontId="14" fillId="8" borderId="0" xfId="0" applyFont="1" applyFill="1" applyAlignment="1">
      <alignment horizontal="left"/>
    </xf>
    <xf numFmtId="0" fontId="14" fillId="8" borderId="0" xfId="0" quotePrefix="1" applyFont="1" applyFill="1" applyAlignment="1">
      <alignment horizontal="left"/>
    </xf>
    <xf numFmtId="0" fontId="6" fillId="8" borderId="7" xfId="0" applyFont="1" applyFill="1" applyBorder="1" applyAlignment="1">
      <alignment horizontal="center"/>
    </xf>
    <xf numFmtId="0" fontId="3" fillId="8" borderId="0" xfId="0" applyFont="1" applyFill="1" applyAlignment="1">
      <alignment horizontal="center"/>
    </xf>
    <xf numFmtId="0" fontId="3" fillId="8" borderId="10" xfId="0" applyFont="1" applyFill="1" applyBorder="1" applyAlignment="1">
      <alignment horizontal="center"/>
    </xf>
    <xf numFmtId="0" fontId="6" fillId="8" borderId="10" xfId="0" applyFont="1" applyFill="1" applyBorder="1" applyAlignment="1">
      <alignment horizontal="center"/>
    </xf>
    <xf numFmtId="0" fontId="6" fillId="8" borderId="6" xfId="0" applyFont="1" applyFill="1" applyBorder="1" applyAlignment="1">
      <alignment horizontal="center"/>
    </xf>
    <xf numFmtId="0" fontId="5" fillId="8" borderId="0" xfId="0" applyFont="1" applyFill="1" applyAlignment="1">
      <alignment horizontal="center"/>
    </xf>
    <xf numFmtId="0" fontId="7" fillId="8" borderId="0" xfId="0" applyFont="1" applyFill="1" applyAlignment="1">
      <alignment horizontal="left"/>
    </xf>
    <xf numFmtId="49" fontId="3" fillId="12" borderId="10" xfId="0" applyNumberFormat="1" applyFont="1" applyFill="1" applyBorder="1" applyAlignment="1">
      <alignment horizontal="left"/>
    </xf>
    <xf numFmtId="0" fontId="7" fillId="8" borderId="10" xfId="0" applyFont="1" applyFill="1" applyBorder="1" applyAlignment="1">
      <alignment horizontal="left"/>
    </xf>
    <xf numFmtId="0" fontId="5" fillId="8" borderId="10" xfId="0" applyFont="1" applyFill="1" applyBorder="1" applyAlignment="1">
      <alignment horizontal="center"/>
    </xf>
  </cellXfs>
  <cellStyles count="15">
    <cellStyle name="Comma" xfId="1" builtinId="3"/>
    <cellStyle name="Currency" xfId="2" builtinId="4"/>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Hyperlink" xfId="3" builtinId="8"/>
    <cellStyle name="Normal" xfId="0" builtinId="0"/>
    <cellStyle name="Percent" xfId="4" builtinId="5"/>
  </cellStyles>
  <dxfs count="9">
    <dxf>
      <font>
        <condense val="0"/>
        <extend val="0"/>
        <color auto="1"/>
      </font>
      <fill>
        <patternFill>
          <bgColor indexed="44"/>
        </patternFill>
      </fill>
    </dxf>
    <dxf>
      <font>
        <condense val="0"/>
        <extend val="0"/>
        <color auto="1"/>
      </font>
      <fill>
        <patternFill>
          <bgColor indexed="44"/>
        </patternFill>
      </fill>
    </dxf>
    <dxf>
      <font>
        <condense val="0"/>
        <extend val="0"/>
        <color auto="1"/>
      </font>
      <fill>
        <patternFill>
          <bgColor indexed="44"/>
        </patternFill>
      </fill>
    </dxf>
    <dxf>
      <font>
        <condense val="0"/>
        <extend val="0"/>
        <color auto="1"/>
      </font>
      <fill>
        <patternFill>
          <bgColor indexed="44"/>
        </patternFill>
      </fill>
    </dxf>
    <dxf>
      <font>
        <color rgb="FFFF0000"/>
      </font>
    </dxf>
    <dxf>
      <font>
        <b/>
        <i val="0"/>
        <condense val="0"/>
        <extend val="0"/>
        <color indexed="10"/>
      </font>
    </dxf>
    <dxf>
      <font>
        <color rgb="FF9C0006"/>
      </font>
    </dxf>
    <dxf>
      <font>
        <color rgb="FFFF0000"/>
      </font>
    </dxf>
    <dxf>
      <font>
        <b/>
        <i val="0"/>
        <condense val="0"/>
        <extend val="0"/>
        <color indexed="10"/>
      </font>
    </dxf>
  </dxfs>
  <tableStyles count="0" defaultTableStyle="TableStyleMedium2" defaultPivotStyle="PivotStyleLight16"/>
  <colors>
    <mruColors>
      <color rgb="FF0066FF"/>
      <color rgb="FF33993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Peanut Price Needed to Give Equal Returns Above Variable Costs to Cotton at Budgeted Yields *</a:t>
            </a:r>
          </a:p>
        </c:rich>
      </c:tx>
      <c:overlay val="0"/>
    </c:title>
    <c:autoTitleDeleted val="0"/>
    <c:plotArea>
      <c:layout>
        <c:manualLayout>
          <c:layoutTarget val="inner"/>
          <c:xMode val="edge"/>
          <c:yMode val="edge"/>
          <c:x val="0.13366369744322501"/>
          <c:y val="9.7056084681031607E-2"/>
          <c:w val="0.80786312183950004"/>
          <c:h val="0.71248991719977495"/>
        </c:manualLayout>
      </c:layout>
      <c:lineChart>
        <c:grouping val="standard"/>
        <c:varyColors val="0"/>
        <c:ser>
          <c:idx val="0"/>
          <c:order val="0"/>
          <c:tx>
            <c:strRef>
              <c:f>Prices!$C$6</c:f>
              <c:strCache>
                <c:ptCount val="1"/>
                <c:pt idx="0">
                  <c:v>Irrigated Peanut</c:v>
                </c:pt>
              </c:strCache>
            </c:strRef>
          </c:tx>
          <c:marker>
            <c:symbol val="circle"/>
            <c:size val="7"/>
          </c:marker>
          <c:dLbls>
            <c:spPr>
              <a:solidFill>
                <a:schemeClr val="accent1">
                  <a:alpha val="5000"/>
                </a:schemeClr>
              </a:solidFill>
            </c:spPr>
            <c:txPr>
              <a:bodyPr/>
              <a:lstStyle/>
              <a:p>
                <a:pPr>
                  <a:defRPr sz="12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Prices!$B$28:$B$42</c:f>
              <c:numCache>
                <c:formatCode>_("$"* #,##0.00_);_("$"* \(#,##0.00\);_("$"* "-"??_);_(@_)</c:formatCode>
                <c:ptCount val="15"/>
                <c:pt idx="0">
                  <c:v>0.58499999999999985</c:v>
                </c:pt>
                <c:pt idx="1">
                  <c:v>0.60999999999999988</c:v>
                </c:pt>
                <c:pt idx="2">
                  <c:v>0.6349999999999999</c:v>
                </c:pt>
                <c:pt idx="3">
                  <c:v>0.65999999999999992</c:v>
                </c:pt>
                <c:pt idx="4">
                  <c:v>0.68499999999999994</c:v>
                </c:pt>
                <c:pt idx="5">
                  <c:v>0.71</c:v>
                </c:pt>
                <c:pt idx="6">
                  <c:v>0.73499999999999999</c:v>
                </c:pt>
                <c:pt idx="7">
                  <c:v>0.76</c:v>
                </c:pt>
                <c:pt idx="8">
                  <c:v>0.78500000000000003</c:v>
                </c:pt>
                <c:pt idx="9">
                  <c:v>0.81</c:v>
                </c:pt>
                <c:pt idx="10">
                  <c:v>0.83500000000000008</c:v>
                </c:pt>
                <c:pt idx="11">
                  <c:v>0.8600000000000001</c:v>
                </c:pt>
                <c:pt idx="12">
                  <c:v>0.88500000000000012</c:v>
                </c:pt>
                <c:pt idx="13">
                  <c:v>0.91000000000000014</c:v>
                </c:pt>
                <c:pt idx="14">
                  <c:v>0.93500000000000016</c:v>
                </c:pt>
              </c:numCache>
            </c:numRef>
          </c:cat>
          <c:val>
            <c:numRef>
              <c:f>Prices!$C$7:$C$21</c:f>
              <c:numCache>
                <c:formatCode>_("$"* #,##0_);_("$"* \(#,##0\);_("$"* "-"??_);_(@_)</c:formatCode>
                <c:ptCount val="15"/>
                <c:pt idx="0">
                  <c:v>340.15294052224363</c:v>
                </c:pt>
                <c:pt idx="1">
                  <c:v>352.91889796905224</c:v>
                </c:pt>
                <c:pt idx="2">
                  <c:v>365.68485541586074</c:v>
                </c:pt>
                <c:pt idx="3">
                  <c:v>378.45081286266924</c:v>
                </c:pt>
                <c:pt idx="4">
                  <c:v>391.21677030947779</c:v>
                </c:pt>
                <c:pt idx="5">
                  <c:v>403.98272775628629</c:v>
                </c:pt>
                <c:pt idx="6">
                  <c:v>416.74868520309485</c:v>
                </c:pt>
                <c:pt idx="7">
                  <c:v>429.51464264990335</c:v>
                </c:pt>
                <c:pt idx="8">
                  <c:v>442.28060009671185</c:v>
                </c:pt>
                <c:pt idx="9">
                  <c:v>455.04655754352041</c:v>
                </c:pt>
                <c:pt idx="10">
                  <c:v>467.81251499032896</c:v>
                </c:pt>
                <c:pt idx="11">
                  <c:v>480.57847243713752</c:v>
                </c:pt>
                <c:pt idx="12">
                  <c:v>493.34442988394608</c:v>
                </c:pt>
                <c:pt idx="13">
                  <c:v>506.11038733075452</c:v>
                </c:pt>
                <c:pt idx="14">
                  <c:v>518.87634477756308</c:v>
                </c:pt>
              </c:numCache>
            </c:numRef>
          </c:val>
          <c:smooth val="0"/>
          <c:extLst>
            <c:ext xmlns:c16="http://schemas.microsoft.com/office/drawing/2014/chart" uri="{C3380CC4-5D6E-409C-BE32-E72D297353CC}">
              <c16:uniqueId val="{00000000-EDA0-4511-9B36-F044D1A8B389}"/>
            </c:ext>
          </c:extLst>
        </c:ser>
        <c:ser>
          <c:idx val="1"/>
          <c:order val="1"/>
          <c:tx>
            <c:strRef>
              <c:f>Prices!$C$27</c:f>
              <c:strCache>
                <c:ptCount val="1"/>
                <c:pt idx="0">
                  <c:v>Non Irrigated Peanut</c:v>
                </c:pt>
              </c:strCache>
            </c:strRef>
          </c:tx>
          <c:marker>
            <c:symbol val="square"/>
            <c:size val="6"/>
          </c:marker>
          <c:dLbls>
            <c:spPr>
              <a:solidFill>
                <a:srgbClr val="FF0000">
                  <a:alpha val="5000"/>
                </a:srgbClr>
              </a:solidFill>
            </c:spPr>
            <c:txPr>
              <a:bodyPr rot="2700000" vert="horz"/>
              <a:lstStyle/>
              <a:p>
                <a:pPr algn="ctr">
                  <a:defRPr sz="1200" b="1"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Prices!$B$28:$B$42</c:f>
              <c:numCache>
                <c:formatCode>_("$"* #,##0.00_);_("$"* \(#,##0.00\);_("$"* "-"??_);_(@_)</c:formatCode>
                <c:ptCount val="15"/>
                <c:pt idx="0">
                  <c:v>0.58499999999999985</c:v>
                </c:pt>
                <c:pt idx="1">
                  <c:v>0.60999999999999988</c:v>
                </c:pt>
                <c:pt idx="2">
                  <c:v>0.6349999999999999</c:v>
                </c:pt>
                <c:pt idx="3">
                  <c:v>0.65999999999999992</c:v>
                </c:pt>
                <c:pt idx="4">
                  <c:v>0.68499999999999994</c:v>
                </c:pt>
                <c:pt idx="5">
                  <c:v>0.71</c:v>
                </c:pt>
                <c:pt idx="6">
                  <c:v>0.73499999999999999</c:v>
                </c:pt>
                <c:pt idx="7">
                  <c:v>0.76</c:v>
                </c:pt>
                <c:pt idx="8">
                  <c:v>0.78500000000000003</c:v>
                </c:pt>
                <c:pt idx="9">
                  <c:v>0.81</c:v>
                </c:pt>
                <c:pt idx="10">
                  <c:v>0.83500000000000008</c:v>
                </c:pt>
                <c:pt idx="11">
                  <c:v>0.8600000000000001</c:v>
                </c:pt>
                <c:pt idx="12">
                  <c:v>0.88500000000000012</c:v>
                </c:pt>
                <c:pt idx="13">
                  <c:v>0.91000000000000014</c:v>
                </c:pt>
                <c:pt idx="14">
                  <c:v>0.93500000000000016</c:v>
                </c:pt>
              </c:numCache>
            </c:numRef>
          </c:cat>
          <c:val>
            <c:numRef>
              <c:f>Prices!$C$28:$C$42</c:f>
              <c:numCache>
                <c:formatCode>_("$"* #,##0_);_("$"* \(#,##0\);_("$"* "-"??_);_(@_)</c:formatCode>
                <c:ptCount val="15"/>
                <c:pt idx="0">
                  <c:v>307.25550008355606</c:v>
                </c:pt>
                <c:pt idx="1">
                  <c:v>318.28491184826197</c:v>
                </c:pt>
                <c:pt idx="2">
                  <c:v>329.31432361296794</c:v>
                </c:pt>
                <c:pt idx="3">
                  <c:v>340.34373537767374</c:v>
                </c:pt>
                <c:pt idx="4">
                  <c:v>351.37314714237965</c:v>
                </c:pt>
                <c:pt idx="5">
                  <c:v>362.40255890708556</c:v>
                </c:pt>
                <c:pt idx="6">
                  <c:v>373.43197067179142</c:v>
                </c:pt>
                <c:pt idx="7">
                  <c:v>384.46138243649727</c:v>
                </c:pt>
                <c:pt idx="8">
                  <c:v>395.49079420120319</c:v>
                </c:pt>
                <c:pt idx="9">
                  <c:v>406.5202059659091</c:v>
                </c:pt>
                <c:pt idx="10">
                  <c:v>417.54961773061495</c:v>
                </c:pt>
                <c:pt idx="11">
                  <c:v>428.57902949532092</c:v>
                </c:pt>
                <c:pt idx="12">
                  <c:v>439.60844126002678</c:v>
                </c:pt>
                <c:pt idx="13">
                  <c:v>450.63785302473269</c:v>
                </c:pt>
                <c:pt idx="14">
                  <c:v>461.66726478943855</c:v>
                </c:pt>
              </c:numCache>
            </c:numRef>
          </c:val>
          <c:smooth val="0"/>
          <c:extLst>
            <c:ext xmlns:c16="http://schemas.microsoft.com/office/drawing/2014/chart" uri="{C3380CC4-5D6E-409C-BE32-E72D297353CC}">
              <c16:uniqueId val="{00000001-EDA0-4511-9B36-F044D1A8B389}"/>
            </c:ext>
          </c:extLst>
        </c:ser>
        <c:dLbls>
          <c:showLegendKey val="0"/>
          <c:showVal val="0"/>
          <c:showCatName val="0"/>
          <c:showSerName val="0"/>
          <c:showPercent val="0"/>
          <c:showBubbleSize val="0"/>
        </c:dLbls>
        <c:marker val="1"/>
        <c:smooth val="0"/>
        <c:axId val="-1811389680"/>
        <c:axId val="-1811387552"/>
      </c:lineChart>
      <c:catAx>
        <c:axId val="-1811389680"/>
        <c:scaling>
          <c:orientation val="minMax"/>
        </c:scaling>
        <c:delete val="0"/>
        <c:axPos val="b"/>
        <c:title>
          <c:tx>
            <c:rich>
              <a:bodyPr/>
              <a:lstStyle/>
              <a:p>
                <a:pPr>
                  <a:defRPr sz="1400" b="0" i="0" u="none" strike="noStrike" baseline="0">
                    <a:solidFill>
                      <a:srgbClr val="000000"/>
                    </a:solidFill>
                    <a:latin typeface="Calibri"/>
                    <a:ea typeface="Calibri"/>
                    <a:cs typeface="Calibri"/>
                  </a:defRPr>
                </a:pPr>
                <a:r>
                  <a:rPr lang="en-US"/>
                  <a:t>Cotton Price ($/lb)</a:t>
                </a:r>
              </a:p>
            </c:rich>
          </c:tx>
          <c:layout>
            <c:manualLayout>
              <c:xMode val="edge"/>
              <c:yMode val="edge"/>
              <c:x val="0.44886532661678202"/>
              <c:y val="0.93017475379680103"/>
            </c:manualLayout>
          </c:layout>
          <c:overlay val="0"/>
        </c:title>
        <c:numFmt formatCode="_(&quot;$&quot;* #,##0.00_);_(&quot;$&quot;* \(#,##0.00\);_(&quot;$&quot;* &quot;-&quot;??_);_(@_)" sourceLinked="1"/>
        <c:majorTickMark val="none"/>
        <c:minorTickMark val="none"/>
        <c:tickLblPos val="nextTo"/>
        <c:txPr>
          <a:bodyPr rot="-5400000" vert="horz"/>
          <a:lstStyle/>
          <a:p>
            <a:pPr>
              <a:defRPr sz="1200" b="0" i="0" u="none" strike="noStrike" baseline="0">
                <a:solidFill>
                  <a:srgbClr val="000000"/>
                </a:solidFill>
                <a:latin typeface="Calibri"/>
                <a:ea typeface="Calibri"/>
                <a:cs typeface="Calibri"/>
              </a:defRPr>
            </a:pPr>
            <a:endParaRPr lang="en-US"/>
          </a:p>
        </c:txPr>
        <c:crossAx val="-1811387552"/>
        <c:crosses val="autoZero"/>
        <c:auto val="1"/>
        <c:lblAlgn val="ctr"/>
        <c:lblOffset val="100"/>
        <c:noMultiLvlLbl val="0"/>
      </c:catAx>
      <c:valAx>
        <c:axId val="-1811387552"/>
        <c:scaling>
          <c:orientation val="minMax"/>
        </c:scaling>
        <c:delete val="0"/>
        <c:axPos val="l"/>
        <c:majorGridlines/>
        <c:title>
          <c:tx>
            <c:rich>
              <a:bodyPr/>
              <a:lstStyle/>
              <a:p>
                <a:pPr>
                  <a:defRPr sz="1400" b="0" i="0" u="none" strike="noStrike" baseline="0">
                    <a:solidFill>
                      <a:srgbClr val="000000"/>
                    </a:solidFill>
                    <a:latin typeface="Calibri"/>
                    <a:ea typeface="Calibri"/>
                    <a:cs typeface="Calibri"/>
                  </a:defRPr>
                </a:pPr>
                <a:r>
                  <a:rPr lang="en-US"/>
                  <a:t>Peanut Price ($/ton)</a:t>
                </a:r>
              </a:p>
            </c:rich>
          </c:tx>
          <c:layout>
            <c:manualLayout>
              <c:xMode val="edge"/>
              <c:yMode val="edge"/>
              <c:x val="8.3467827391141405E-5"/>
              <c:y val="0.30024384772416302"/>
            </c:manualLayout>
          </c:layout>
          <c:overlay val="0"/>
        </c:title>
        <c:numFmt formatCode="_(&quot;$&quot;* #,##0_);_(&quot;$&quot;* \(#,##0\);_(&quot;$&quot;* &quot;-&quot;??_);_(@_)"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1811389680"/>
        <c:crosses val="autoZero"/>
        <c:crossBetween val="between"/>
      </c:valAx>
    </c:plotArea>
    <c:legend>
      <c:legendPos val="r"/>
      <c:layout>
        <c:manualLayout>
          <c:xMode val="edge"/>
          <c:yMode val="edge"/>
          <c:x val="0.13744568885411099"/>
          <c:y val="0.70227875361733605"/>
          <c:w val="0.21994215940398801"/>
          <c:h val="9.6314467101868695E-2"/>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EF4CE"/>
    </a:solidFill>
  </c:spPr>
  <c:txPr>
    <a:bodyPr/>
    <a:lstStyle/>
    <a:p>
      <a:pPr>
        <a:defRPr sz="1000" b="1"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sz="1100"/>
              <a:t>Cotton Price Needed to Give Equal Returns Above Variable Costs to Soybean at Budgeted Yields*</a:t>
            </a:r>
          </a:p>
        </c:rich>
      </c:tx>
      <c:layout>
        <c:manualLayout>
          <c:xMode val="edge"/>
          <c:yMode val="edge"/>
          <c:x val="0.127752796486474"/>
          <c:y val="5.8945611930958999E-3"/>
        </c:manualLayout>
      </c:layout>
      <c:overlay val="0"/>
    </c:title>
    <c:autoTitleDeleted val="0"/>
    <c:plotArea>
      <c:layout>
        <c:manualLayout>
          <c:layoutTarget val="inner"/>
          <c:xMode val="edge"/>
          <c:yMode val="edge"/>
          <c:x val="0.13366369744322501"/>
          <c:y val="9.7056084681031607E-2"/>
          <c:w val="0.80786312183950004"/>
          <c:h val="0.71248991719977495"/>
        </c:manualLayout>
      </c:layout>
      <c:lineChart>
        <c:grouping val="standard"/>
        <c:varyColors val="0"/>
        <c:ser>
          <c:idx val="0"/>
          <c:order val="0"/>
          <c:tx>
            <c:strRef>
              <c:f>Prices!$Q$6</c:f>
              <c:strCache>
                <c:ptCount val="1"/>
                <c:pt idx="0">
                  <c:v>Irrigated Cotton</c:v>
                </c:pt>
              </c:strCache>
            </c:strRef>
          </c:tx>
          <c:marker>
            <c:symbol val="circle"/>
            <c:size val="7"/>
          </c:marker>
          <c:dLbls>
            <c:spPr>
              <a:solidFill>
                <a:schemeClr val="accent1">
                  <a:alpha val="5000"/>
                </a:schemeClr>
              </a:solidFill>
            </c:spPr>
            <c:txPr>
              <a:bodyPr/>
              <a:lstStyle/>
              <a:p>
                <a:pPr>
                  <a:defRPr sz="12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Prices!$T$28:$T$42</c:f>
              <c:numCache>
                <c:formatCode>_("$"* #,##0.00_);_("$"* \(#,##0.00\);_("$"* "-"??_);_(@_)</c:formatCode>
                <c:ptCount val="15"/>
                <c:pt idx="0">
                  <c:v>9.0500000000000025</c:v>
                </c:pt>
                <c:pt idx="1">
                  <c:v>9.4000000000000021</c:v>
                </c:pt>
                <c:pt idx="2">
                  <c:v>9.7500000000000018</c:v>
                </c:pt>
                <c:pt idx="3">
                  <c:v>10.100000000000001</c:v>
                </c:pt>
                <c:pt idx="4">
                  <c:v>10.450000000000001</c:v>
                </c:pt>
                <c:pt idx="5">
                  <c:v>10.8</c:v>
                </c:pt>
                <c:pt idx="6">
                  <c:v>11.15</c:v>
                </c:pt>
                <c:pt idx="7">
                  <c:v>11.5</c:v>
                </c:pt>
                <c:pt idx="8">
                  <c:v>11.85</c:v>
                </c:pt>
                <c:pt idx="9">
                  <c:v>12.2</c:v>
                </c:pt>
                <c:pt idx="10">
                  <c:v>12.549999999999999</c:v>
                </c:pt>
                <c:pt idx="11">
                  <c:v>12.899999999999999</c:v>
                </c:pt>
                <c:pt idx="12">
                  <c:v>13.249999999999998</c:v>
                </c:pt>
                <c:pt idx="13">
                  <c:v>13.599999999999998</c:v>
                </c:pt>
                <c:pt idx="14">
                  <c:v>13.949999999999998</c:v>
                </c:pt>
              </c:numCache>
            </c:numRef>
          </c:cat>
          <c:val>
            <c:numRef>
              <c:f>Prices!$Q$7:$Q$21</c:f>
              <c:numCache>
                <c:formatCode>_("$"* #,##0.00_);_("$"* \(#,##0.00\);_("$"* "-"??_);_(@_)</c:formatCode>
                <c:ptCount val="15"/>
                <c:pt idx="0">
                  <c:v>0.7487271211647728</c:v>
                </c:pt>
                <c:pt idx="1">
                  <c:v>0.76622712116477276</c:v>
                </c:pt>
                <c:pt idx="2">
                  <c:v>0.78372712116477283</c:v>
                </c:pt>
                <c:pt idx="3">
                  <c:v>0.80122712116477279</c:v>
                </c:pt>
                <c:pt idx="4">
                  <c:v>0.81872712116477275</c:v>
                </c:pt>
                <c:pt idx="5">
                  <c:v>0.83622712116477282</c:v>
                </c:pt>
                <c:pt idx="6">
                  <c:v>0.85372712116477278</c:v>
                </c:pt>
                <c:pt idx="7">
                  <c:v>0.87122712116477274</c:v>
                </c:pt>
                <c:pt idx="8">
                  <c:v>0.88872712116477282</c:v>
                </c:pt>
                <c:pt idx="9">
                  <c:v>0.90622712116477278</c:v>
                </c:pt>
                <c:pt idx="10">
                  <c:v>0.92372712116477262</c:v>
                </c:pt>
                <c:pt idx="11">
                  <c:v>0.94122712116477258</c:v>
                </c:pt>
                <c:pt idx="12">
                  <c:v>0.95872712116477254</c:v>
                </c:pt>
                <c:pt idx="13">
                  <c:v>0.97622712116477262</c:v>
                </c:pt>
                <c:pt idx="14">
                  <c:v>0.99372712116477258</c:v>
                </c:pt>
              </c:numCache>
            </c:numRef>
          </c:val>
          <c:smooth val="0"/>
          <c:extLst>
            <c:ext xmlns:c16="http://schemas.microsoft.com/office/drawing/2014/chart" uri="{C3380CC4-5D6E-409C-BE32-E72D297353CC}">
              <c16:uniqueId val="{00000000-79F7-492D-9963-9E6B334ECA9D}"/>
            </c:ext>
          </c:extLst>
        </c:ser>
        <c:ser>
          <c:idx val="1"/>
          <c:order val="1"/>
          <c:tx>
            <c:strRef>
              <c:f>Prices!$Q$27</c:f>
              <c:strCache>
                <c:ptCount val="1"/>
                <c:pt idx="0">
                  <c:v>Non Irrigated Cotton</c:v>
                </c:pt>
              </c:strCache>
            </c:strRef>
          </c:tx>
          <c:marker>
            <c:symbol val="square"/>
            <c:size val="6"/>
          </c:marker>
          <c:dLbls>
            <c:spPr>
              <a:solidFill>
                <a:srgbClr val="FF0000">
                  <a:alpha val="5000"/>
                </a:srgbClr>
              </a:solidFill>
            </c:spPr>
            <c:txPr>
              <a:bodyPr rot="2700000" vert="horz"/>
              <a:lstStyle/>
              <a:p>
                <a:pPr algn="ctr">
                  <a:defRPr sz="1200" b="1"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Prices!$T$28:$T$42</c:f>
              <c:numCache>
                <c:formatCode>_("$"* #,##0.00_);_("$"* \(#,##0.00\);_("$"* "-"??_);_(@_)</c:formatCode>
                <c:ptCount val="15"/>
                <c:pt idx="0">
                  <c:v>9.0500000000000025</c:v>
                </c:pt>
                <c:pt idx="1">
                  <c:v>9.4000000000000021</c:v>
                </c:pt>
                <c:pt idx="2">
                  <c:v>9.7500000000000018</c:v>
                </c:pt>
                <c:pt idx="3">
                  <c:v>10.100000000000001</c:v>
                </c:pt>
                <c:pt idx="4">
                  <c:v>10.450000000000001</c:v>
                </c:pt>
                <c:pt idx="5">
                  <c:v>10.8</c:v>
                </c:pt>
                <c:pt idx="6">
                  <c:v>11.15</c:v>
                </c:pt>
                <c:pt idx="7">
                  <c:v>11.5</c:v>
                </c:pt>
                <c:pt idx="8">
                  <c:v>11.85</c:v>
                </c:pt>
                <c:pt idx="9">
                  <c:v>12.2</c:v>
                </c:pt>
                <c:pt idx="10">
                  <c:v>12.549999999999999</c:v>
                </c:pt>
                <c:pt idx="11">
                  <c:v>12.899999999999999</c:v>
                </c:pt>
                <c:pt idx="12">
                  <c:v>13.249999999999998</c:v>
                </c:pt>
                <c:pt idx="13">
                  <c:v>13.599999999999998</c:v>
                </c:pt>
                <c:pt idx="14">
                  <c:v>13.949999999999998</c:v>
                </c:pt>
              </c:numCache>
            </c:numRef>
          </c:cat>
          <c:val>
            <c:numRef>
              <c:f>Prices!$Q$28:$Q$42</c:f>
              <c:numCache>
                <c:formatCode>_("$"* #,##0.00_);_("$"* \(#,##0.00\);_("$"* "-"??_);_(@_)</c:formatCode>
                <c:ptCount val="15"/>
                <c:pt idx="0">
                  <c:v>0.74349065856060637</c:v>
                </c:pt>
                <c:pt idx="1">
                  <c:v>0.75749065856060638</c:v>
                </c:pt>
                <c:pt idx="2">
                  <c:v>0.77149065856060628</c:v>
                </c:pt>
                <c:pt idx="3">
                  <c:v>0.78549065856060629</c:v>
                </c:pt>
                <c:pt idx="4">
                  <c:v>0.7994906585606063</c:v>
                </c:pt>
                <c:pt idx="5">
                  <c:v>0.81349065856060621</c:v>
                </c:pt>
                <c:pt idx="6">
                  <c:v>0.82749065856060622</c:v>
                </c:pt>
                <c:pt idx="7">
                  <c:v>0.84149065856060623</c:v>
                </c:pt>
                <c:pt idx="8">
                  <c:v>0.85549065856060613</c:v>
                </c:pt>
                <c:pt idx="9">
                  <c:v>0.86949065856060614</c:v>
                </c:pt>
                <c:pt idx="10">
                  <c:v>0.88349065856060616</c:v>
                </c:pt>
                <c:pt idx="11">
                  <c:v>0.89749065856060617</c:v>
                </c:pt>
                <c:pt idx="12">
                  <c:v>0.91149065856060618</c:v>
                </c:pt>
                <c:pt idx="13">
                  <c:v>0.92549065856060619</c:v>
                </c:pt>
                <c:pt idx="14">
                  <c:v>0.93949065856060621</c:v>
                </c:pt>
              </c:numCache>
            </c:numRef>
          </c:val>
          <c:smooth val="0"/>
          <c:extLst>
            <c:ext xmlns:c16="http://schemas.microsoft.com/office/drawing/2014/chart" uri="{C3380CC4-5D6E-409C-BE32-E72D297353CC}">
              <c16:uniqueId val="{00000001-79F7-492D-9963-9E6B334ECA9D}"/>
            </c:ext>
          </c:extLst>
        </c:ser>
        <c:dLbls>
          <c:showLegendKey val="0"/>
          <c:showVal val="0"/>
          <c:showCatName val="0"/>
          <c:showSerName val="0"/>
          <c:showPercent val="0"/>
          <c:showBubbleSize val="0"/>
        </c:dLbls>
        <c:marker val="1"/>
        <c:smooth val="0"/>
        <c:axId val="-1860026080"/>
        <c:axId val="-1860103920"/>
      </c:lineChart>
      <c:catAx>
        <c:axId val="-1860026080"/>
        <c:scaling>
          <c:orientation val="minMax"/>
        </c:scaling>
        <c:delete val="0"/>
        <c:axPos val="b"/>
        <c:title>
          <c:tx>
            <c:rich>
              <a:bodyPr/>
              <a:lstStyle/>
              <a:p>
                <a:pPr>
                  <a:defRPr sz="1400" b="0" i="0" u="none" strike="noStrike" baseline="0">
                    <a:solidFill>
                      <a:srgbClr val="000000"/>
                    </a:solidFill>
                    <a:latin typeface="Calibri"/>
                    <a:ea typeface="Calibri"/>
                    <a:cs typeface="Calibri"/>
                  </a:defRPr>
                </a:pPr>
                <a:r>
                  <a:rPr lang="en-US"/>
                  <a:t>Soybean Price ($/bu)</a:t>
                </a:r>
              </a:p>
            </c:rich>
          </c:tx>
          <c:overlay val="0"/>
        </c:title>
        <c:numFmt formatCode="_(&quot;$&quot;* #,##0.00_);_(&quot;$&quot;* \(#,##0.00\);_(&quot;$&quot;* &quot;-&quot;??_);_(@_)" sourceLinked="1"/>
        <c:majorTickMark val="none"/>
        <c:minorTickMark val="none"/>
        <c:tickLblPos val="nextTo"/>
        <c:txPr>
          <a:bodyPr rot="-5400000" vert="horz"/>
          <a:lstStyle/>
          <a:p>
            <a:pPr>
              <a:defRPr sz="1200" b="0" i="0" u="none" strike="noStrike" baseline="0">
                <a:solidFill>
                  <a:srgbClr val="000000"/>
                </a:solidFill>
                <a:latin typeface="Calibri"/>
                <a:ea typeface="Calibri"/>
                <a:cs typeface="Calibri"/>
              </a:defRPr>
            </a:pPr>
            <a:endParaRPr lang="en-US"/>
          </a:p>
        </c:txPr>
        <c:crossAx val="-1860103920"/>
        <c:crosses val="autoZero"/>
        <c:auto val="1"/>
        <c:lblAlgn val="ctr"/>
        <c:lblOffset val="100"/>
        <c:noMultiLvlLbl val="0"/>
      </c:catAx>
      <c:valAx>
        <c:axId val="-1860103920"/>
        <c:scaling>
          <c:orientation val="minMax"/>
        </c:scaling>
        <c:delete val="0"/>
        <c:axPos val="l"/>
        <c:majorGridlines/>
        <c:title>
          <c:tx>
            <c:rich>
              <a:bodyPr/>
              <a:lstStyle/>
              <a:p>
                <a:pPr>
                  <a:defRPr sz="1400" b="0" i="0" u="none" strike="noStrike" baseline="0">
                    <a:solidFill>
                      <a:srgbClr val="000000"/>
                    </a:solidFill>
                    <a:latin typeface="Calibri"/>
                    <a:ea typeface="Calibri"/>
                    <a:cs typeface="Calibri"/>
                  </a:defRPr>
                </a:pPr>
                <a:r>
                  <a:rPr lang="en-US"/>
                  <a:t>Cotton Price ($/lb)</a:t>
                </a:r>
              </a:p>
            </c:rich>
          </c:tx>
          <c:layout>
            <c:manualLayout>
              <c:xMode val="edge"/>
              <c:yMode val="edge"/>
              <c:x val="8.3387332194448307E-5"/>
              <c:y val="0.30024392646283399"/>
            </c:manualLayout>
          </c:layout>
          <c:overlay val="0"/>
        </c:title>
        <c:numFmt formatCode="_(&quot;$&quot;* #,##0.00_);_(&quot;$&quot;* \(#,##0.00\);_(&quot;$&quot;* &quot;-&quot;??_);_(@_)"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1860026080"/>
        <c:crosses val="autoZero"/>
        <c:crossBetween val="between"/>
      </c:valAx>
    </c:plotArea>
    <c:legend>
      <c:legendPos val="r"/>
      <c:layout>
        <c:manualLayout>
          <c:xMode val="edge"/>
          <c:yMode val="edge"/>
          <c:x val="0.136456365647561"/>
          <c:y val="0.68816070176658395"/>
          <c:w val="0.225049188053488"/>
          <c:h val="0.102313071793178"/>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CCFFCC"/>
    </a:solidFill>
  </c:spPr>
  <c:txPr>
    <a:bodyPr/>
    <a:lstStyle/>
    <a:p>
      <a:pPr>
        <a:defRPr sz="12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sz="1100"/>
              <a:t>Peanut Price Needed to Give Equal Returns Above Variable Costs to Soybean at Budgeted Yields *</a:t>
            </a:r>
          </a:p>
        </c:rich>
      </c:tx>
      <c:layout>
        <c:manualLayout>
          <c:xMode val="edge"/>
          <c:yMode val="edge"/>
          <c:x val="0.12612658492315301"/>
          <c:y val="8.59469985606638E-3"/>
        </c:manualLayout>
      </c:layout>
      <c:overlay val="0"/>
    </c:title>
    <c:autoTitleDeleted val="0"/>
    <c:plotArea>
      <c:layout>
        <c:manualLayout>
          <c:layoutTarget val="inner"/>
          <c:xMode val="edge"/>
          <c:yMode val="edge"/>
          <c:x val="0.13366369744322501"/>
          <c:y val="9.7056084681031607E-2"/>
          <c:w val="0.80786312183950004"/>
          <c:h val="0.71248991719977495"/>
        </c:manualLayout>
      </c:layout>
      <c:lineChart>
        <c:grouping val="standard"/>
        <c:varyColors val="0"/>
        <c:ser>
          <c:idx val="0"/>
          <c:order val="0"/>
          <c:tx>
            <c:strRef>
              <c:f>Prices!$R$6</c:f>
              <c:strCache>
                <c:ptCount val="1"/>
                <c:pt idx="0">
                  <c:v>Irrigated Peanut</c:v>
                </c:pt>
              </c:strCache>
            </c:strRef>
          </c:tx>
          <c:spPr>
            <a:ln>
              <a:solidFill>
                <a:srgbClr val="00B050"/>
              </a:solidFill>
            </a:ln>
          </c:spPr>
          <c:marker>
            <c:symbol val="circle"/>
            <c:size val="7"/>
            <c:spPr>
              <a:solidFill>
                <a:srgbClr val="92D050"/>
              </a:solidFill>
              <a:ln>
                <a:solidFill>
                  <a:srgbClr val="00B050"/>
                </a:solidFill>
              </a:ln>
            </c:spPr>
          </c:marker>
          <c:dLbls>
            <c:spPr>
              <a:solidFill>
                <a:srgbClr val="00B050">
                  <a:alpha val="5000"/>
                </a:srgbClr>
              </a:solidFill>
            </c:spPr>
            <c:txPr>
              <a:bodyPr/>
              <a:lstStyle/>
              <a:p>
                <a:pPr>
                  <a:defRPr sz="12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Prices!$T$7:$T$21</c:f>
              <c:numCache>
                <c:formatCode>_("$"* #,##0.00_);_("$"* \(#,##0.00\);_("$"* "-"??_);_(@_)</c:formatCode>
                <c:ptCount val="15"/>
                <c:pt idx="0">
                  <c:v>9.0500000000000025</c:v>
                </c:pt>
                <c:pt idx="1">
                  <c:v>9.4000000000000021</c:v>
                </c:pt>
                <c:pt idx="2">
                  <c:v>9.7500000000000018</c:v>
                </c:pt>
                <c:pt idx="3">
                  <c:v>10.100000000000001</c:v>
                </c:pt>
                <c:pt idx="4">
                  <c:v>10.450000000000001</c:v>
                </c:pt>
                <c:pt idx="5">
                  <c:v>10.8</c:v>
                </c:pt>
                <c:pt idx="6">
                  <c:v>11.15</c:v>
                </c:pt>
                <c:pt idx="7">
                  <c:v>11.5</c:v>
                </c:pt>
                <c:pt idx="8">
                  <c:v>11.85</c:v>
                </c:pt>
                <c:pt idx="9">
                  <c:v>12.2</c:v>
                </c:pt>
                <c:pt idx="10">
                  <c:v>12.549999999999999</c:v>
                </c:pt>
                <c:pt idx="11">
                  <c:v>12.899999999999999</c:v>
                </c:pt>
                <c:pt idx="12">
                  <c:v>13.249999999999998</c:v>
                </c:pt>
                <c:pt idx="13">
                  <c:v>13.599999999999998</c:v>
                </c:pt>
                <c:pt idx="14">
                  <c:v>13.949999999999998</c:v>
                </c:pt>
              </c:numCache>
            </c:numRef>
          </c:cat>
          <c:val>
            <c:numRef>
              <c:f>Prices!$R$7:$R$21</c:f>
              <c:numCache>
                <c:formatCode>_("$"* #,##0_);_("$"* \(#,##0\);_("$"* "-"??_);_(@_)</c:formatCode>
                <c:ptCount val="15"/>
                <c:pt idx="0">
                  <c:v>423.75827898936188</c:v>
                </c:pt>
                <c:pt idx="1">
                  <c:v>432.69444920212777</c:v>
                </c:pt>
                <c:pt idx="2">
                  <c:v>441.63061941489372</c:v>
                </c:pt>
                <c:pt idx="3">
                  <c:v>450.56678962765972</c:v>
                </c:pt>
                <c:pt idx="4">
                  <c:v>459.50295984042566</c:v>
                </c:pt>
                <c:pt idx="5">
                  <c:v>468.43913005319155</c:v>
                </c:pt>
                <c:pt idx="6">
                  <c:v>477.37530026595749</c:v>
                </c:pt>
                <c:pt idx="7">
                  <c:v>486.31147047872344</c:v>
                </c:pt>
                <c:pt idx="8">
                  <c:v>495.24764069148944</c:v>
                </c:pt>
                <c:pt idx="9">
                  <c:v>504.18381090425532</c:v>
                </c:pt>
                <c:pt idx="10">
                  <c:v>513.11998111702133</c:v>
                </c:pt>
                <c:pt idx="11">
                  <c:v>522.05615132978721</c:v>
                </c:pt>
                <c:pt idx="12">
                  <c:v>530.99232154255321</c:v>
                </c:pt>
                <c:pt idx="13">
                  <c:v>539.92849175531921</c:v>
                </c:pt>
                <c:pt idx="14">
                  <c:v>548.8646619680851</c:v>
                </c:pt>
              </c:numCache>
            </c:numRef>
          </c:val>
          <c:smooth val="0"/>
          <c:extLst>
            <c:ext xmlns:c16="http://schemas.microsoft.com/office/drawing/2014/chart" uri="{C3380CC4-5D6E-409C-BE32-E72D297353CC}">
              <c16:uniqueId val="{00000000-21AF-48DC-BCC0-C7EE33078D3E}"/>
            </c:ext>
          </c:extLst>
        </c:ser>
        <c:ser>
          <c:idx val="1"/>
          <c:order val="1"/>
          <c:tx>
            <c:strRef>
              <c:f>Prices!$R$27</c:f>
              <c:strCache>
                <c:ptCount val="1"/>
                <c:pt idx="0">
                  <c:v>Non Irrigated Peanut</c:v>
                </c:pt>
              </c:strCache>
            </c:strRef>
          </c:tx>
          <c:spPr>
            <a:ln>
              <a:solidFill>
                <a:srgbClr val="FF0000"/>
              </a:solidFill>
            </a:ln>
          </c:spPr>
          <c:marker>
            <c:symbol val="square"/>
            <c:size val="6"/>
          </c:marker>
          <c:dLbls>
            <c:spPr>
              <a:solidFill>
                <a:schemeClr val="accent6">
                  <a:lumMod val="75000"/>
                  <a:alpha val="5000"/>
                </a:schemeClr>
              </a:solidFill>
            </c:spPr>
            <c:txPr>
              <a:bodyPr rot="2700000" vert="horz"/>
              <a:lstStyle/>
              <a:p>
                <a:pPr algn="ctr">
                  <a:defRPr sz="1200" b="1"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Prices!$T$7:$T$21</c:f>
              <c:numCache>
                <c:formatCode>_("$"* #,##0.00_);_("$"* \(#,##0.00\);_("$"* "-"??_);_(@_)</c:formatCode>
                <c:ptCount val="15"/>
                <c:pt idx="0">
                  <c:v>9.0500000000000025</c:v>
                </c:pt>
                <c:pt idx="1">
                  <c:v>9.4000000000000021</c:v>
                </c:pt>
                <c:pt idx="2">
                  <c:v>9.7500000000000018</c:v>
                </c:pt>
                <c:pt idx="3">
                  <c:v>10.100000000000001</c:v>
                </c:pt>
                <c:pt idx="4">
                  <c:v>10.450000000000001</c:v>
                </c:pt>
                <c:pt idx="5">
                  <c:v>10.8</c:v>
                </c:pt>
                <c:pt idx="6">
                  <c:v>11.15</c:v>
                </c:pt>
                <c:pt idx="7">
                  <c:v>11.5</c:v>
                </c:pt>
                <c:pt idx="8">
                  <c:v>11.85</c:v>
                </c:pt>
                <c:pt idx="9">
                  <c:v>12.2</c:v>
                </c:pt>
                <c:pt idx="10">
                  <c:v>12.549999999999999</c:v>
                </c:pt>
                <c:pt idx="11">
                  <c:v>12.899999999999999</c:v>
                </c:pt>
                <c:pt idx="12">
                  <c:v>13.249999999999998</c:v>
                </c:pt>
                <c:pt idx="13">
                  <c:v>13.599999999999998</c:v>
                </c:pt>
                <c:pt idx="14">
                  <c:v>13.949999999999998</c:v>
                </c:pt>
              </c:numCache>
            </c:numRef>
          </c:cat>
          <c:val>
            <c:numRef>
              <c:f>Prices!$R$28:$R$42</c:f>
              <c:numCache>
                <c:formatCode>_("$"* #,##0_);_("$"* \(#,##0\);_("$"* "-"??_);_(@_)</c:formatCode>
                <c:ptCount val="15"/>
                <c:pt idx="0">
                  <c:v>377.17784944852951</c:v>
                </c:pt>
                <c:pt idx="1">
                  <c:v>383.35432003676476</c:v>
                </c:pt>
                <c:pt idx="2">
                  <c:v>389.53079062500012</c:v>
                </c:pt>
                <c:pt idx="3">
                  <c:v>395.70726121323543</c:v>
                </c:pt>
                <c:pt idx="4">
                  <c:v>401.88373180147067</c:v>
                </c:pt>
                <c:pt idx="5">
                  <c:v>408.06020238970592</c:v>
                </c:pt>
                <c:pt idx="6">
                  <c:v>414.23667297794123</c:v>
                </c:pt>
                <c:pt idx="7">
                  <c:v>420.41314356617647</c:v>
                </c:pt>
                <c:pt idx="8">
                  <c:v>426.58961415441183</c:v>
                </c:pt>
                <c:pt idx="9">
                  <c:v>432.76608474264708</c:v>
                </c:pt>
                <c:pt idx="10">
                  <c:v>438.94255533088239</c:v>
                </c:pt>
                <c:pt idx="11">
                  <c:v>445.11902591911769</c:v>
                </c:pt>
                <c:pt idx="12">
                  <c:v>451.29549650735294</c:v>
                </c:pt>
                <c:pt idx="13">
                  <c:v>457.4719670955883</c:v>
                </c:pt>
                <c:pt idx="14">
                  <c:v>463.6484376838236</c:v>
                </c:pt>
              </c:numCache>
            </c:numRef>
          </c:val>
          <c:smooth val="0"/>
          <c:extLst>
            <c:ext xmlns:c16="http://schemas.microsoft.com/office/drawing/2014/chart" uri="{C3380CC4-5D6E-409C-BE32-E72D297353CC}">
              <c16:uniqueId val="{00000001-21AF-48DC-BCC0-C7EE33078D3E}"/>
            </c:ext>
          </c:extLst>
        </c:ser>
        <c:dLbls>
          <c:showLegendKey val="0"/>
          <c:showVal val="0"/>
          <c:showCatName val="0"/>
          <c:showSerName val="0"/>
          <c:showPercent val="0"/>
          <c:showBubbleSize val="0"/>
        </c:dLbls>
        <c:marker val="1"/>
        <c:smooth val="0"/>
        <c:axId val="-1859909552"/>
        <c:axId val="-1859772944"/>
      </c:lineChart>
      <c:catAx>
        <c:axId val="-1859909552"/>
        <c:scaling>
          <c:orientation val="minMax"/>
        </c:scaling>
        <c:delete val="0"/>
        <c:axPos val="b"/>
        <c:title>
          <c:tx>
            <c:rich>
              <a:bodyPr/>
              <a:lstStyle/>
              <a:p>
                <a:pPr>
                  <a:defRPr sz="1400" b="0" i="0" u="none" strike="noStrike" baseline="0">
                    <a:solidFill>
                      <a:srgbClr val="000000"/>
                    </a:solidFill>
                    <a:latin typeface="Calibri"/>
                    <a:ea typeface="Calibri"/>
                    <a:cs typeface="Calibri"/>
                  </a:defRPr>
                </a:pPr>
                <a:r>
                  <a:rPr lang="en-US"/>
                  <a:t>Soybean Price ($/bu)</a:t>
                </a:r>
              </a:p>
            </c:rich>
          </c:tx>
          <c:overlay val="0"/>
        </c:title>
        <c:numFmt formatCode="_(&quot;$&quot;* #,##0.00_);_(&quot;$&quot;* \(#,##0.00\);_(&quot;$&quot;* &quot;-&quot;??_);_(@_)" sourceLinked="1"/>
        <c:majorTickMark val="none"/>
        <c:minorTickMark val="none"/>
        <c:tickLblPos val="nextTo"/>
        <c:txPr>
          <a:bodyPr rot="-5400000" vert="horz"/>
          <a:lstStyle/>
          <a:p>
            <a:pPr>
              <a:defRPr sz="1200" b="0" i="0" u="none" strike="noStrike" baseline="0">
                <a:solidFill>
                  <a:srgbClr val="000000"/>
                </a:solidFill>
                <a:latin typeface="Calibri"/>
                <a:ea typeface="Calibri"/>
                <a:cs typeface="Calibri"/>
              </a:defRPr>
            </a:pPr>
            <a:endParaRPr lang="en-US"/>
          </a:p>
        </c:txPr>
        <c:crossAx val="-1859772944"/>
        <c:crosses val="autoZero"/>
        <c:auto val="1"/>
        <c:lblAlgn val="ctr"/>
        <c:lblOffset val="100"/>
        <c:noMultiLvlLbl val="0"/>
      </c:catAx>
      <c:valAx>
        <c:axId val="-1859772944"/>
        <c:scaling>
          <c:orientation val="minMax"/>
        </c:scaling>
        <c:delete val="0"/>
        <c:axPos val="l"/>
        <c:majorGridlines/>
        <c:title>
          <c:tx>
            <c:rich>
              <a:bodyPr/>
              <a:lstStyle/>
              <a:p>
                <a:pPr>
                  <a:defRPr sz="1400" b="0" i="0" u="none" strike="noStrike" baseline="0">
                    <a:solidFill>
                      <a:srgbClr val="000000"/>
                    </a:solidFill>
                    <a:latin typeface="Calibri"/>
                    <a:ea typeface="Calibri"/>
                    <a:cs typeface="Calibri"/>
                  </a:defRPr>
                </a:pPr>
                <a:r>
                  <a:rPr lang="en-US"/>
                  <a:t>Peanut Price ($/ton)</a:t>
                </a:r>
              </a:p>
            </c:rich>
          </c:tx>
          <c:layout>
            <c:manualLayout>
              <c:xMode val="edge"/>
              <c:yMode val="edge"/>
              <c:x val="8.3441062404512902E-5"/>
              <c:y val="0.30024372759856599"/>
            </c:manualLayout>
          </c:layout>
          <c:overlay val="0"/>
        </c:title>
        <c:numFmt formatCode="_(&quot;$&quot;* #,##0_);_(&quot;$&quot;* \(#,##0\);_(&quot;$&quot;* &quot;-&quot;??_);_(@_)"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1859909552"/>
        <c:crosses val="autoZero"/>
        <c:crossBetween val="between"/>
      </c:valAx>
    </c:plotArea>
    <c:legend>
      <c:legendPos val="r"/>
      <c:layout>
        <c:manualLayout>
          <c:xMode val="edge"/>
          <c:yMode val="edge"/>
          <c:x val="0.134752353716979"/>
          <c:y val="0.69685998927553405"/>
          <c:w val="0.221831524790744"/>
          <c:h val="0.102313210848644"/>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CCFFCC"/>
    </a:solidFill>
  </c:spPr>
  <c:txPr>
    <a:bodyPr/>
    <a:lstStyle/>
    <a:p>
      <a:pPr>
        <a:defRPr sz="12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horizontalDpi="300"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Corn Price Needed to Give Equal Returns Above Variable Costs  to Soybean at Budgeted Yields *</a:t>
            </a:r>
          </a:p>
        </c:rich>
      </c:tx>
      <c:layout>
        <c:manualLayout>
          <c:xMode val="edge"/>
          <c:yMode val="edge"/>
          <c:x val="0.113766909571086"/>
          <c:y val="0"/>
        </c:manualLayout>
      </c:layout>
      <c:overlay val="0"/>
    </c:title>
    <c:autoTitleDeleted val="0"/>
    <c:plotArea>
      <c:layout>
        <c:manualLayout>
          <c:layoutTarget val="inner"/>
          <c:xMode val="edge"/>
          <c:yMode val="edge"/>
          <c:x val="0.13366369744322501"/>
          <c:y val="9.7056084681031607E-2"/>
          <c:w val="0.80786312183950004"/>
          <c:h val="0.71248991719977495"/>
        </c:manualLayout>
      </c:layout>
      <c:lineChart>
        <c:grouping val="standard"/>
        <c:varyColors val="0"/>
        <c:ser>
          <c:idx val="0"/>
          <c:order val="0"/>
          <c:tx>
            <c:strRef>
              <c:f>Prices!$S$6</c:f>
              <c:strCache>
                <c:ptCount val="1"/>
                <c:pt idx="0">
                  <c:v>Irrigated Corn</c:v>
                </c:pt>
              </c:strCache>
            </c:strRef>
          </c:tx>
          <c:spPr>
            <a:ln>
              <a:solidFill>
                <a:schemeClr val="accent4">
                  <a:lumMod val="75000"/>
                </a:schemeClr>
              </a:solidFill>
            </a:ln>
          </c:spPr>
          <c:marker>
            <c:symbol val="circle"/>
            <c:size val="7"/>
            <c:spPr>
              <a:solidFill>
                <a:schemeClr val="accent4">
                  <a:lumMod val="60000"/>
                  <a:lumOff val="40000"/>
                </a:schemeClr>
              </a:solidFill>
              <a:ln>
                <a:solidFill>
                  <a:srgbClr val="7030A0"/>
                </a:solidFill>
              </a:ln>
            </c:spPr>
          </c:marker>
          <c:dLbls>
            <c:spPr>
              <a:solidFill>
                <a:schemeClr val="accent4">
                  <a:lumMod val="40000"/>
                  <a:lumOff val="60000"/>
                  <a:alpha val="5000"/>
                </a:schemeClr>
              </a:solidFill>
            </c:spPr>
            <c:txPr>
              <a:bodyPr/>
              <a:lstStyle/>
              <a:p>
                <a:pPr>
                  <a:defRPr sz="12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Prices!$T$7:$T$21</c:f>
              <c:numCache>
                <c:formatCode>_("$"* #,##0.00_);_("$"* \(#,##0.00\);_("$"* "-"??_);_(@_)</c:formatCode>
                <c:ptCount val="15"/>
                <c:pt idx="0">
                  <c:v>9.0500000000000025</c:v>
                </c:pt>
                <c:pt idx="1">
                  <c:v>9.4000000000000021</c:v>
                </c:pt>
                <c:pt idx="2">
                  <c:v>9.7500000000000018</c:v>
                </c:pt>
                <c:pt idx="3">
                  <c:v>10.100000000000001</c:v>
                </c:pt>
                <c:pt idx="4">
                  <c:v>10.450000000000001</c:v>
                </c:pt>
                <c:pt idx="5">
                  <c:v>10.8</c:v>
                </c:pt>
                <c:pt idx="6">
                  <c:v>11.15</c:v>
                </c:pt>
                <c:pt idx="7">
                  <c:v>11.5</c:v>
                </c:pt>
                <c:pt idx="8">
                  <c:v>11.85</c:v>
                </c:pt>
                <c:pt idx="9">
                  <c:v>12.2</c:v>
                </c:pt>
                <c:pt idx="10">
                  <c:v>12.549999999999999</c:v>
                </c:pt>
                <c:pt idx="11">
                  <c:v>12.899999999999999</c:v>
                </c:pt>
                <c:pt idx="12">
                  <c:v>13.249999999999998</c:v>
                </c:pt>
                <c:pt idx="13">
                  <c:v>13.599999999999998</c:v>
                </c:pt>
                <c:pt idx="14">
                  <c:v>13.949999999999998</c:v>
                </c:pt>
              </c:numCache>
            </c:numRef>
          </c:cat>
          <c:val>
            <c:numRef>
              <c:f>Prices!$S$7:$S$21</c:f>
              <c:numCache>
                <c:formatCode>_("$"* #,##0.00_);_("$"* \(#,##0.00\);_("$"* "-"??_);_(@_)</c:formatCode>
                <c:ptCount val="15"/>
                <c:pt idx="0">
                  <c:v>4.9016694656250017</c:v>
                </c:pt>
                <c:pt idx="1">
                  <c:v>5.0066694656250013</c:v>
                </c:pt>
                <c:pt idx="2">
                  <c:v>5.1116694656250017</c:v>
                </c:pt>
                <c:pt idx="3">
                  <c:v>5.2166694656250012</c:v>
                </c:pt>
                <c:pt idx="4">
                  <c:v>5.3216694656250016</c:v>
                </c:pt>
                <c:pt idx="5">
                  <c:v>5.4266694656250003</c:v>
                </c:pt>
                <c:pt idx="6">
                  <c:v>5.5316694656249998</c:v>
                </c:pt>
                <c:pt idx="7">
                  <c:v>5.6366694656250003</c:v>
                </c:pt>
                <c:pt idx="8">
                  <c:v>5.7416694656249998</c:v>
                </c:pt>
                <c:pt idx="9">
                  <c:v>5.8466694656250002</c:v>
                </c:pt>
                <c:pt idx="10">
                  <c:v>5.9516694656249998</c:v>
                </c:pt>
                <c:pt idx="11">
                  <c:v>6.0566694656250002</c:v>
                </c:pt>
                <c:pt idx="12">
                  <c:v>6.1616694656249997</c:v>
                </c:pt>
                <c:pt idx="13">
                  <c:v>6.2666694656250002</c:v>
                </c:pt>
                <c:pt idx="14">
                  <c:v>6.3716694656250006</c:v>
                </c:pt>
              </c:numCache>
            </c:numRef>
          </c:val>
          <c:smooth val="0"/>
          <c:extLst>
            <c:ext xmlns:c16="http://schemas.microsoft.com/office/drawing/2014/chart" uri="{C3380CC4-5D6E-409C-BE32-E72D297353CC}">
              <c16:uniqueId val="{00000000-2A1C-4BE8-9CF0-A538F620D2B7}"/>
            </c:ext>
          </c:extLst>
        </c:ser>
        <c:ser>
          <c:idx val="1"/>
          <c:order val="1"/>
          <c:tx>
            <c:strRef>
              <c:f>Prices!$S$27</c:f>
              <c:strCache>
                <c:ptCount val="1"/>
                <c:pt idx="0">
                  <c:v>Non Irrigated Corn</c:v>
                </c:pt>
              </c:strCache>
            </c:strRef>
          </c:tx>
          <c:spPr>
            <a:ln>
              <a:solidFill>
                <a:schemeClr val="accent6">
                  <a:lumMod val="75000"/>
                </a:schemeClr>
              </a:solidFill>
            </a:ln>
          </c:spPr>
          <c:marker>
            <c:symbol val="square"/>
            <c:size val="6"/>
            <c:spPr>
              <a:gradFill>
                <a:gsLst>
                  <a:gs pos="0">
                    <a:schemeClr val="accent1">
                      <a:tint val="66000"/>
                      <a:satMod val="160000"/>
                      <a:alpha val="0"/>
                    </a:schemeClr>
                  </a:gs>
                  <a:gs pos="50000">
                    <a:schemeClr val="accent1">
                      <a:tint val="44500"/>
                      <a:satMod val="160000"/>
                    </a:schemeClr>
                  </a:gs>
                  <a:gs pos="100000">
                    <a:schemeClr val="accent1">
                      <a:tint val="23500"/>
                      <a:satMod val="160000"/>
                    </a:schemeClr>
                  </a:gs>
                </a:gsLst>
                <a:lin ang="5400000" scaled="0"/>
              </a:gradFill>
              <a:ln>
                <a:solidFill>
                  <a:schemeClr val="accent6">
                    <a:lumMod val="50000"/>
                  </a:schemeClr>
                </a:solidFill>
              </a:ln>
            </c:spPr>
          </c:marker>
          <c:dLbls>
            <c:spPr>
              <a:solidFill>
                <a:srgbClr val="FFC000">
                  <a:alpha val="5000"/>
                </a:srgbClr>
              </a:solidFill>
            </c:spPr>
            <c:txPr>
              <a:bodyPr rot="2700000" vert="horz"/>
              <a:lstStyle/>
              <a:p>
                <a:pPr algn="ctr">
                  <a:defRPr sz="1200" b="1"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Prices!$T$7:$T$21</c:f>
              <c:numCache>
                <c:formatCode>_("$"* #,##0.00_);_("$"* \(#,##0.00\);_("$"* "-"??_);_(@_)</c:formatCode>
                <c:ptCount val="15"/>
                <c:pt idx="0">
                  <c:v>9.0500000000000025</c:v>
                </c:pt>
                <c:pt idx="1">
                  <c:v>9.4000000000000021</c:v>
                </c:pt>
                <c:pt idx="2">
                  <c:v>9.7500000000000018</c:v>
                </c:pt>
                <c:pt idx="3">
                  <c:v>10.100000000000001</c:v>
                </c:pt>
                <c:pt idx="4">
                  <c:v>10.450000000000001</c:v>
                </c:pt>
                <c:pt idx="5">
                  <c:v>10.8</c:v>
                </c:pt>
                <c:pt idx="6">
                  <c:v>11.15</c:v>
                </c:pt>
                <c:pt idx="7">
                  <c:v>11.5</c:v>
                </c:pt>
                <c:pt idx="8">
                  <c:v>11.85</c:v>
                </c:pt>
                <c:pt idx="9">
                  <c:v>12.2</c:v>
                </c:pt>
                <c:pt idx="10">
                  <c:v>12.549999999999999</c:v>
                </c:pt>
                <c:pt idx="11">
                  <c:v>12.899999999999999</c:v>
                </c:pt>
                <c:pt idx="12">
                  <c:v>13.249999999999998</c:v>
                </c:pt>
                <c:pt idx="13">
                  <c:v>13.599999999999998</c:v>
                </c:pt>
                <c:pt idx="14">
                  <c:v>13.949999999999998</c:v>
                </c:pt>
              </c:numCache>
            </c:numRef>
          </c:cat>
          <c:val>
            <c:numRef>
              <c:f>Prices!$S$28:$S$42</c:f>
              <c:numCache>
                <c:formatCode>_("$"* #,##0.00_);_("$"* \(#,##0.00\);_("$"* "-"??_);_(@_)</c:formatCode>
                <c:ptCount val="15"/>
                <c:pt idx="0">
                  <c:v>4.4975640514705884</c:v>
                </c:pt>
                <c:pt idx="1">
                  <c:v>4.6210934632352947</c:v>
                </c:pt>
                <c:pt idx="2">
                  <c:v>4.7446228750000001</c:v>
                </c:pt>
                <c:pt idx="3">
                  <c:v>4.8681522867647065</c:v>
                </c:pt>
                <c:pt idx="4">
                  <c:v>4.9916816985294119</c:v>
                </c:pt>
                <c:pt idx="5">
                  <c:v>5.1152111102941173</c:v>
                </c:pt>
                <c:pt idx="6">
                  <c:v>5.2387405220588237</c:v>
                </c:pt>
                <c:pt idx="7">
                  <c:v>5.3622699338235291</c:v>
                </c:pt>
                <c:pt idx="8">
                  <c:v>5.4857993455882355</c:v>
                </c:pt>
                <c:pt idx="9">
                  <c:v>5.6093287573529409</c:v>
                </c:pt>
                <c:pt idx="10">
                  <c:v>5.7328581691176463</c:v>
                </c:pt>
                <c:pt idx="11">
                  <c:v>5.8563875808823518</c:v>
                </c:pt>
                <c:pt idx="12">
                  <c:v>5.9799169926470581</c:v>
                </c:pt>
                <c:pt idx="13">
                  <c:v>6.1034464044117636</c:v>
                </c:pt>
                <c:pt idx="14">
                  <c:v>6.2269758161764699</c:v>
                </c:pt>
              </c:numCache>
            </c:numRef>
          </c:val>
          <c:smooth val="0"/>
          <c:extLst>
            <c:ext xmlns:c16="http://schemas.microsoft.com/office/drawing/2014/chart" uri="{C3380CC4-5D6E-409C-BE32-E72D297353CC}">
              <c16:uniqueId val="{00000001-2A1C-4BE8-9CF0-A538F620D2B7}"/>
            </c:ext>
          </c:extLst>
        </c:ser>
        <c:dLbls>
          <c:showLegendKey val="0"/>
          <c:showVal val="0"/>
          <c:showCatName val="0"/>
          <c:showSerName val="0"/>
          <c:showPercent val="0"/>
          <c:showBubbleSize val="0"/>
        </c:dLbls>
        <c:marker val="1"/>
        <c:smooth val="0"/>
        <c:axId val="-1859751136"/>
        <c:axId val="-1859863280"/>
      </c:lineChart>
      <c:catAx>
        <c:axId val="-1859751136"/>
        <c:scaling>
          <c:orientation val="minMax"/>
        </c:scaling>
        <c:delete val="0"/>
        <c:axPos val="b"/>
        <c:title>
          <c:tx>
            <c:rich>
              <a:bodyPr/>
              <a:lstStyle/>
              <a:p>
                <a:pPr>
                  <a:defRPr sz="1400" b="0" i="0" u="none" strike="noStrike" baseline="0">
                    <a:solidFill>
                      <a:srgbClr val="000000"/>
                    </a:solidFill>
                    <a:latin typeface="Calibri"/>
                    <a:ea typeface="Calibri"/>
                    <a:cs typeface="Calibri"/>
                  </a:defRPr>
                </a:pPr>
                <a:r>
                  <a:rPr lang="en-US"/>
                  <a:t>Soybean Price ($/bu)</a:t>
                </a:r>
              </a:p>
            </c:rich>
          </c:tx>
          <c:layout>
            <c:manualLayout>
              <c:xMode val="edge"/>
              <c:yMode val="edge"/>
              <c:x val="0.437289512723953"/>
              <c:y val="0.933117051355705"/>
            </c:manualLayout>
          </c:layout>
          <c:overlay val="0"/>
        </c:title>
        <c:numFmt formatCode="_(&quot;$&quot;* #,##0.00_);_(&quot;$&quot;* \(#,##0.00\);_(&quot;$&quot;* &quot;-&quot;??_);_(@_)" sourceLinked="1"/>
        <c:majorTickMark val="none"/>
        <c:minorTickMark val="none"/>
        <c:tickLblPos val="nextTo"/>
        <c:txPr>
          <a:bodyPr rot="-5400000" vert="horz"/>
          <a:lstStyle/>
          <a:p>
            <a:pPr>
              <a:defRPr sz="1200" b="0" i="0" u="none" strike="noStrike" baseline="0">
                <a:solidFill>
                  <a:srgbClr val="000000"/>
                </a:solidFill>
                <a:latin typeface="Calibri"/>
                <a:ea typeface="Calibri"/>
                <a:cs typeface="Calibri"/>
              </a:defRPr>
            </a:pPr>
            <a:endParaRPr lang="en-US"/>
          </a:p>
        </c:txPr>
        <c:crossAx val="-1859863280"/>
        <c:crosses val="autoZero"/>
        <c:auto val="1"/>
        <c:lblAlgn val="ctr"/>
        <c:lblOffset val="100"/>
        <c:noMultiLvlLbl val="0"/>
      </c:catAx>
      <c:valAx>
        <c:axId val="-1859863280"/>
        <c:scaling>
          <c:orientation val="minMax"/>
        </c:scaling>
        <c:delete val="0"/>
        <c:axPos val="l"/>
        <c:majorGridlines/>
        <c:title>
          <c:tx>
            <c:rich>
              <a:bodyPr/>
              <a:lstStyle/>
              <a:p>
                <a:pPr>
                  <a:defRPr sz="1400" b="0" i="0" u="none" strike="noStrike" baseline="0">
                    <a:solidFill>
                      <a:srgbClr val="000000"/>
                    </a:solidFill>
                    <a:latin typeface="Calibri"/>
                    <a:ea typeface="Calibri"/>
                    <a:cs typeface="Calibri"/>
                  </a:defRPr>
                </a:pPr>
                <a:r>
                  <a:rPr lang="en-US"/>
                  <a:t>Corn Price ($/bu)</a:t>
                </a:r>
              </a:p>
            </c:rich>
          </c:tx>
          <c:layout>
            <c:manualLayout>
              <c:xMode val="edge"/>
              <c:yMode val="edge"/>
              <c:x val="8.3467827391141405E-5"/>
              <c:y val="0.30024376781228501"/>
            </c:manualLayout>
          </c:layout>
          <c:overlay val="0"/>
        </c:title>
        <c:numFmt formatCode="_(&quot;$&quot;* #,##0.00_);_(&quot;$&quot;* \(#,##0.00\);_(&quot;$&quot;* &quot;-&quot;??_);_(@_)"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1859751136"/>
        <c:crosses val="autoZero"/>
        <c:crossBetween val="between"/>
      </c:valAx>
    </c:plotArea>
    <c:legend>
      <c:legendPos val="r"/>
      <c:layout>
        <c:manualLayout>
          <c:xMode val="edge"/>
          <c:yMode val="edge"/>
          <c:x val="0.13811890904941199"/>
          <c:y val="0.69937300755860499"/>
          <c:w val="0.199308912472897"/>
          <c:h val="0.10231309069199"/>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CCFFCC"/>
    </a:solidFill>
  </c:spPr>
  <c:txPr>
    <a:bodyPr/>
    <a:lstStyle/>
    <a:p>
      <a:pPr>
        <a:defRPr sz="12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Peanut Price Needed to Give Equal Returns Above Variable Costs to Cotton at Budgeted Yields *</a:t>
            </a:r>
          </a:p>
        </c:rich>
      </c:tx>
      <c:overlay val="0"/>
    </c:title>
    <c:autoTitleDeleted val="0"/>
    <c:plotArea>
      <c:layout>
        <c:manualLayout>
          <c:layoutTarget val="inner"/>
          <c:xMode val="edge"/>
          <c:yMode val="edge"/>
          <c:x val="0.13366369744322501"/>
          <c:y val="9.7056084681031607E-2"/>
          <c:w val="0.80786312183950004"/>
          <c:h val="0.71248991719977495"/>
        </c:manualLayout>
      </c:layout>
      <c:lineChart>
        <c:grouping val="standard"/>
        <c:varyColors val="0"/>
        <c:ser>
          <c:idx val="0"/>
          <c:order val="0"/>
          <c:tx>
            <c:strRef>
              <c:f>Prices!$C$6</c:f>
              <c:strCache>
                <c:ptCount val="1"/>
                <c:pt idx="0">
                  <c:v>Irrigated Peanut</c:v>
                </c:pt>
              </c:strCache>
            </c:strRef>
          </c:tx>
          <c:marker>
            <c:symbol val="circle"/>
            <c:size val="7"/>
          </c:marker>
          <c:dLbls>
            <c:spPr>
              <a:solidFill>
                <a:schemeClr val="tx2">
                  <a:lumMod val="60000"/>
                  <a:lumOff val="40000"/>
                  <a:alpha val="5000"/>
                </a:schemeClr>
              </a:solidFill>
            </c:spPr>
            <c:txPr>
              <a:bodyPr/>
              <a:lstStyle/>
              <a:p>
                <a:pPr>
                  <a:defRPr sz="12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Prices!$B$28:$B$42</c:f>
              <c:numCache>
                <c:formatCode>_("$"* #,##0.00_);_("$"* \(#,##0.00\);_("$"* "-"??_);_(@_)</c:formatCode>
                <c:ptCount val="15"/>
                <c:pt idx="0">
                  <c:v>0.58499999999999985</c:v>
                </c:pt>
                <c:pt idx="1">
                  <c:v>0.60999999999999988</c:v>
                </c:pt>
                <c:pt idx="2">
                  <c:v>0.6349999999999999</c:v>
                </c:pt>
                <c:pt idx="3">
                  <c:v>0.65999999999999992</c:v>
                </c:pt>
                <c:pt idx="4">
                  <c:v>0.68499999999999994</c:v>
                </c:pt>
                <c:pt idx="5">
                  <c:v>0.71</c:v>
                </c:pt>
                <c:pt idx="6">
                  <c:v>0.73499999999999999</c:v>
                </c:pt>
                <c:pt idx="7">
                  <c:v>0.76</c:v>
                </c:pt>
                <c:pt idx="8">
                  <c:v>0.78500000000000003</c:v>
                </c:pt>
                <c:pt idx="9">
                  <c:v>0.81</c:v>
                </c:pt>
                <c:pt idx="10">
                  <c:v>0.83500000000000008</c:v>
                </c:pt>
                <c:pt idx="11">
                  <c:v>0.8600000000000001</c:v>
                </c:pt>
                <c:pt idx="12">
                  <c:v>0.88500000000000012</c:v>
                </c:pt>
                <c:pt idx="13">
                  <c:v>0.91000000000000014</c:v>
                </c:pt>
                <c:pt idx="14">
                  <c:v>0.93500000000000016</c:v>
                </c:pt>
              </c:numCache>
            </c:numRef>
          </c:cat>
          <c:val>
            <c:numRef>
              <c:f>Prices!$C$49:$C$63</c:f>
              <c:numCache>
                <c:formatCode>_("$"* #,##0_);_("$"* \(#,##0\);_("$"* "-"??_);_(@_)</c:formatCode>
                <c:ptCount val="15"/>
                <c:pt idx="0">
                  <c:v>316.96170382011593</c:v>
                </c:pt>
                <c:pt idx="1">
                  <c:v>329.72766126692449</c:v>
                </c:pt>
                <c:pt idx="2">
                  <c:v>342.49361871373304</c:v>
                </c:pt>
                <c:pt idx="3">
                  <c:v>355.25957616054149</c:v>
                </c:pt>
                <c:pt idx="4">
                  <c:v>368.02553360735004</c:v>
                </c:pt>
                <c:pt idx="5">
                  <c:v>380.79149105415854</c:v>
                </c:pt>
                <c:pt idx="6">
                  <c:v>393.5574485009671</c:v>
                </c:pt>
                <c:pt idx="7">
                  <c:v>406.3234059477756</c:v>
                </c:pt>
                <c:pt idx="8">
                  <c:v>419.0893633945841</c:v>
                </c:pt>
                <c:pt idx="9">
                  <c:v>431.85532084139265</c:v>
                </c:pt>
                <c:pt idx="10">
                  <c:v>444.62127828820121</c:v>
                </c:pt>
                <c:pt idx="11">
                  <c:v>457.38723573500965</c:v>
                </c:pt>
                <c:pt idx="12">
                  <c:v>470.15319318181821</c:v>
                </c:pt>
                <c:pt idx="13">
                  <c:v>482.91915062862671</c:v>
                </c:pt>
                <c:pt idx="14">
                  <c:v>495.68510807543521</c:v>
                </c:pt>
              </c:numCache>
            </c:numRef>
          </c:val>
          <c:smooth val="0"/>
          <c:extLst>
            <c:ext xmlns:c16="http://schemas.microsoft.com/office/drawing/2014/chart" uri="{C3380CC4-5D6E-409C-BE32-E72D297353CC}">
              <c16:uniqueId val="{00000000-46ED-4BD1-925F-21AE2F5D3F80}"/>
            </c:ext>
          </c:extLst>
        </c:ser>
        <c:ser>
          <c:idx val="1"/>
          <c:order val="1"/>
          <c:tx>
            <c:strRef>
              <c:f>Prices!$C$27</c:f>
              <c:strCache>
                <c:ptCount val="1"/>
                <c:pt idx="0">
                  <c:v>Non Irrigated Peanut</c:v>
                </c:pt>
              </c:strCache>
            </c:strRef>
          </c:tx>
          <c:marker>
            <c:symbol val="square"/>
            <c:size val="6"/>
          </c:marker>
          <c:dLbls>
            <c:spPr>
              <a:solidFill>
                <a:schemeClr val="accent2">
                  <a:lumMod val="60000"/>
                  <a:lumOff val="40000"/>
                  <a:alpha val="5000"/>
                </a:schemeClr>
              </a:solidFill>
            </c:spPr>
            <c:txPr>
              <a:bodyPr rot="2700000" vert="horz"/>
              <a:lstStyle/>
              <a:p>
                <a:pPr algn="ctr">
                  <a:defRPr sz="1200" b="1"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Prices!$B$28:$B$42</c:f>
              <c:numCache>
                <c:formatCode>_("$"* #,##0.00_);_("$"* \(#,##0.00\);_("$"* "-"??_);_(@_)</c:formatCode>
                <c:ptCount val="15"/>
                <c:pt idx="0">
                  <c:v>0.58499999999999985</c:v>
                </c:pt>
                <c:pt idx="1">
                  <c:v>0.60999999999999988</c:v>
                </c:pt>
                <c:pt idx="2">
                  <c:v>0.6349999999999999</c:v>
                </c:pt>
                <c:pt idx="3">
                  <c:v>0.65999999999999992</c:v>
                </c:pt>
                <c:pt idx="4">
                  <c:v>0.68499999999999994</c:v>
                </c:pt>
                <c:pt idx="5">
                  <c:v>0.71</c:v>
                </c:pt>
                <c:pt idx="6">
                  <c:v>0.73499999999999999</c:v>
                </c:pt>
                <c:pt idx="7">
                  <c:v>0.76</c:v>
                </c:pt>
                <c:pt idx="8">
                  <c:v>0.78500000000000003</c:v>
                </c:pt>
                <c:pt idx="9">
                  <c:v>0.81</c:v>
                </c:pt>
                <c:pt idx="10">
                  <c:v>0.83500000000000008</c:v>
                </c:pt>
                <c:pt idx="11">
                  <c:v>0.8600000000000001</c:v>
                </c:pt>
                <c:pt idx="12">
                  <c:v>0.88500000000000012</c:v>
                </c:pt>
                <c:pt idx="13">
                  <c:v>0.91000000000000014</c:v>
                </c:pt>
                <c:pt idx="14">
                  <c:v>0.93500000000000016</c:v>
                </c:pt>
              </c:numCache>
            </c:numRef>
          </c:cat>
          <c:val>
            <c:numRef>
              <c:f>Prices!$C$70:$C$84</c:f>
              <c:numCache>
                <c:formatCode>_("$"* #,##0_);_("$"* \(#,##0\);_("$"* "-"??_);_(@_)</c:formatCode>
                <c:ptCount val="15"/>
                <c:pt idx="0">
                  <c:v>274.01820228943842</c:v>
                </c:pt>
                <c:pt idx="1">
                  <c:v>285.04761405414433</c:v>
                </c:pt>
                <c:pt idx="2">
                  <c:v>296.07702581885019</c:v>
                </c:pt>
                <c:pt idx="3">
                  <c:v>307.10643758355604</c:v>
                </c:pt>
                <c:pt idx="4">
                  <c:v>318.13584934826201</c:v>
                </c:pt>
                <c:pt idx="5">
                  <c:v>329.16526111296793</c:v>
                </c:pt>
                <c:pt idx="6">
                  <c:v>340.19467287767378</c:v>
                </c:pt>
                <c:pt idx="7">
                  <c:v>351.22408464237964</c:v>
                </c:pt>
                <c:pt idx="8">
                  <c:v>362.25349640708555</c:v>
                </c:pt>
                <c:pt idx="9">
                  <c:v>373.28290817179146</c:v>
                </c:pt>
                <c:pt idx="10">
                  <c:v>384.31231993649726</c:v>
                </c:pt>
                <c:pt idx="11">
                  <c:v>395.34173170120323</c:v>
                </c:pt>
                <c:pt idx="12">
                  <c:v>406.37114346590914</c:v>
                </c:pt>
                <c:pt idx="13">
                  <c:v>417.40055523061505</c:v>
                </c:pt>
                <c:pt idx="14">
                  <c:v>428.42996699532085</c:v>
                </c:pt>
              </c:numCache>
            </c:numRef>
          </c:val>
          <c:smooth val="0"/>
          <c:extLst>
            <c:ext xmlns:c16="http://schemas.microsoft.com/office/drawing/2014/chart" uri="{C3380CC4-5D6E-409C-BE32-E72D297353CC}">
              <c16:uniqueId val="{00000001-46ED-4BD1-925F-21AE2F5D3F80}"/>
            </c:ext>
          </c:extLst>
        </c:ser>
        <c:dLbls>
          <c:showLegendKey val="0"/>
          <c:showVal val="0"/>
          <c:showCatName val="0"/>
          <c:showSerName val="0"/>
          <c:showPercent val="0"/>
          <c:showBubbleSize val="0"/>
        </c:dLbls>
        <c:marker val="1"/>
        <c:smooth val="0"/>
        <c:axId val="-1811282112"/>
        <c:axId val="-1811278352"/>
      </c:lineChart>
      <c:catAx>
        <c:axId val="-1811282112"/>
        <c:scaling>
          <c:orientation val="minMax"/>
        </c:scaling>
        <c:delete val="0"/>
        <c:axPos val="b"/>
        <c:title>
          <c:tx>
            <c:rich>
              <a:bodyPr/>
              <a:lstStyle/>
              <a:p>
                <a:pPr>
                  <a:defRPr sz="1400" b="0" i="0" u="none" strike="noStrike" baseline="0">
                    <a:solidFill>
                      <a:srgbClr val="000000"/>
                    </a:solidFill>
                    <a:latin typeface="Calibri"/>
                    <a:ea typeface="Calibri"/>
                    <a:cs typeface="Calibri"/>
                  </a:defRPr>
                </a:pPr>
                <a:r>
                  <a:rPr lang="en-US"/>
                  <a:t>Cotton Price ($/lb)</a:t>
                </a:r>
              </a:p>
            </c:rich>
          </c:tx>
          <c:layout>
            <c:manualLayout>
              <c:xMode val="edge"/>
              <c:yMode val="edge"/>
              <c:x val="0.44886532661678202"/>
              <c:y val="0.93017475379680103"/>
            </c:manualLayout>
          </c:layout>
          <c:overlay val="0"/>
        </c:title>
        <c:numFmt formatCode="_(&quot;$&quot;* #,##0.00_);_(&quot;$&quot;* \(#,##0.00\);_(&quot;$&quot;* &quot;-&quot;??_);_(@_)" sourceLinked="1"/>
        <c:majorTickMark val="none"/>
        <c:minorTickMark val="none"/>
        <c:tickLblPos val="nextTo"/>
        <c:txPr>
          <a:bodyPr rot="-5400000" vert="horz"/>
          <a:lstStyle/>
          <a:p>
            <a:pPr>
              <a:defRPr sz="1200" b="0" i="0" u="none" strike="noStrike" baseline="0">
                <a:solidFill>
                  <a:srgbClr val="000000"/>
                </a:solidFill>
                <a:latin typeface="Calibri"/>
                <a:ea typeface="Calibri"/>
                <a:cs typeface="Calibri"/>
              </a:defRPr>
            </a:pPr>
            <a:endParaRPr lang="en-US"/>
          </a:p>
        </c:txPr>
        <c:crossAx val="-1811278352"/>
        <c:crosses val="autoZero"/>
        <c:auto val="1"/>
        <c:lblAlgn val="ctr"/>
        <c:lblOffset val="100"/>
        <c:noMultiLvlLbl val="0"/>
      </c:catAx>
      <c:valAx>
        <c:axId val="-1811278352"/>
        <c:scaling>
          <c:orientation val="minMax"/>
        </c:scaling>
        <c:delete val="0"/>
        <c:axPos val="l"/>
        <c:majorGridlines/>
        <c:title>
          <c:tx>
            <c:rich>
              <a:bodyPr/>
              <a:lstStyle/>
              <a:p>
                <a:pPr>
                  <a:defRPr sz="1400" b="0" i="0" u="none" strike="noStrike" baseline="0">
                    <a:solidFill>
                      <a:srgbClr val="000000"/>
                    </a:solidFill>
                    <a:latin typeface="Calibri"/>
                    <a:ea typeface="Calibri"/>
                    <a:cs typeface="Calibri"/>
                  </a:defRPr>
                </a:pPr>
                <a:r>
                  <a:rPr lang="en-US"/>
                  <a:t>Peanut Price ($/ton)</a:t>
                </a:r>
              </a:p>
            </c:rich>
          </c:tx>
          <c:layout>
            <c:manualLayout>
              <c:xMode val="edge"/>
              <c:yMode val="edge"/>
              <c:x val="8.3467827391141405E-5"/>
              <c:y val="0.30024384772416302"/>
            </c:manualLayout>
          </c:layout>
          <c:overlay val="0"/>
        </c:title>
        <c:numFmt formatCode="_(&quot;$&quot;* #,##0_);_(&quot;$&quot;* \(#,##0\);_(&quot;$&quot;* &quot;-&quot;??_);_(@_)"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1811282112"/>
        <c:crosses val="autoZero"/>
        <c:crossBetween val="between"/>
      </c:valAx>
    </c:plotArea>
    <c:legend>
      <c:legendPos val="r"/>
      <c:layout>
        <c:manualLayout>
          <c:xMode val="edge"/>
          <c:yMode val="edge"/>
          <c:x val="0.134133059454525"/>
          <c:y val="0.70512775646633896"/>
          <c:w val="0.21994215940398801"/>
          <c:h val="9.6314467101868695E-2"/>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EF4CE"/>
    </a:solidFill>
  </c:spPr>
  <c:txPr>
    <a:bodyPr/>
    <a:lstStyle/>
    <a:p>
      <a:pPr>
        <a:defRPr sz="1000" b="1"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Corn Price Needed to Give Equal Returns Above Variable Costs to Cotton at Budgeted Yields *
</a:t>
            </a:r>
          </a:p>
        </c:rich>
      </c:tx>
      <c:overlay val="0"/>
    </c:title>
    <c:autoTitleDeleted val="0"/>
    <c:plotArea>
      <c:layout>
        <c:manualLayout>
          <c:layoutTarget val="inner"/>
          <c:xMode val="edge"/>
          <c:yMode val="edge"/>
          <c:x val="0.13366369744322501"/>
          <c:y val="9.7056084681031607E-2"/>
          <c:w val="0.80786312183950004"/>
          <c:h val="0.71248991719977495"/>
        </c:manualLayout>
      </c:layout>
      <c:lineChart>
        <c:grouping val="standard"/>
        <c:varyColors val="0"/>
        <c:ser>
          <c:idx val="1"/>
          <c:order val="0"/>
          <c:tx>
            <c:strRef>
              <c:f>Prices!$D$27</c:f>
              <c:strCache>
                <c:ptCount val="1"/>
                <c:pt idx="0">
                  <c:v>Non Irrigated Corn</c:v>
                </c:pt>
              </c:strCache>
            </c:strRef>
          </c:tx>
          <c:spPr>
            <a:ln>
              <a:solidFill>
                <a:srgbClr val="C00000"/>
              </a:solidFill>
            </a:ln>
          </c:spPr>
          <c:marker>
            <c:symbol val="square"/>
            <c:size val="6"/>
            <c:spPr>
              <a:solidFill>
                <a:schemeClr val="accent2"/>
              </a:solidFill>
              <a:ln>
                <a:solidFill>
                  <a:srgbClr val="FF0000"/>
                </a:solidFill>
              </a:ln>
            </c:spPr>
          </c:marker>
          <c:dLbls>
            <c:spPr>
              <a:solidFill>
                <a:schemeClr val="accent6">
                  <a:alpha val="5000"/>
                </a:schemeClr>
              </a:solidFill>
            </c:spPr>
            <c:txPr>
              <a:bodyPr/>
              <a:lstStyle/>
              <a:p>
                <a:pPr>
                  <a:defRPr sz="1200" b="1"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Prices!$B$28:$B$42</c:f>
              <c:numCache>
                <c:formatCode>_("$"* #,##0.00_);_("$"* \(#,##0.00\);_("$"* "-"??_);_(@_)</c:formatCode>
                <c:ptCount val="15"/>
                <c:pt idx="0">
                  <c:v>0.58499999999999985</c:v>
                </c:pt>
                <c:pt idx="1">
                  <c:v>0.60999999999999988</c:v>
                </c:pt>
                <c:pt idx="2">
                  <c:v>0.6349999999999999</c:v>
                </c:pt>
                <c:pt idx="3">
                  <c:v>0.65999999999999992</c:v>
                </c:pt>
                <c:pt idx="4">
                  <c:v>0.68499999999999994</c:v>
                </c:pt>
                <c:pt idx="5">
                  <c:v>0.71</c:v>
                </c:pt>
                <c:pt idx="6">
                  <c:v>0.73499999999999999</c:v>
                </c:pt>
                <c:pt idx="7">
                  <c:v>0.76</c:v>
                </c:pt>
                <c:pt idx="8">
                  <c:v>0.78500000000000003</c:v>
                </c:pt>
                <c:pt idx="9">
                  <c:v>0.81</c:v>
                </c:pt>
                <c:pt idx="10">
                  <c:v>0.83500000000000008</c:v>
                </c:pt>
                <c:pt idx="11">
                  <c:v>0.8600000000000001</c:v>
                </c:pt>
                <c:pt idx="12">
                  <c:v>0.88500000000000012</c:v>
                </c:pt>
                <c:pt idx="13">
                  <c:v>0.91000000000000014</c:v>
                </c:pt>
                <c:pt idx="14">
                  <c:v>0.93500000000000016</c:v>
                </c:pt>
              </c:numCache>
            </c:numRef>
          </c:cat>
          <c:val>
            <c:numRef>
              <c:f>Prices!$D$70:$D$84</c:f>
              <c:numCache>
                <c:formatCode>_("$"* #,##0.00_);_("$"* \(#,##0.00\);_("$"* "-"??_);_(@_)</c:formatCode>
                <c:ptCount val="15"/>
                <c:pt idx="0">
                  <c:v>2.6084931671122971</c:v>
                </c:pt>
                <c:pt idx="1">
                  <c:v>2.8290814024064148</c:v>
                </c:pt>
                <c:pt idx="2">
                  <c:v>3.049669637700533</c:v>
                </c:pt>
                <c:pt idx="3">
                  <c:v>3.2702578729946508</c:v>
                </c:pt>
                <c:pt idx="4">
                  <c:v>3.490846108288769</c:v>
                </c:pt>
                <c:pt idx="5">
                  <c:v>3.7114343435828867</c:v>
                </c:pt>
                <c:pt idx="6">
                  <c:v>3.9320225788770045</c:v>
                </c:pt>
                <c:pt idx="7">
                  <c:v>4.1526108141711218</c:v>
                </c:pt>
                <c:pt idx="8">
                  <c:v>4.3731990494652395</c:v>
                </c:pt>
                <c:pt idx="9">
                  <c:v>4.5937872847593573</c:v>
                </c:pt>
                <c:pt idx="10">
                  <c:v>4.814375520053475</c:v>
                </c:pt>
                <c:pt idx="11">
                  <c:v>5.0349637553475937</c:v>
                </c:pt>
                <c:pt idx="12">
                  <c:v>5.2555519906417114</c:v>
                </c:pt>
                <c:pt idx="13">
                  <c:v>5.4761402259358292</c:v>
                </c:pt>
                <c:pt idx="14">
                  <c:v>5.6967284612299469</c:v>
                </c:pt>
              </c:numCache>
            </c:numRef>
          </c:val>
          <c:smooth val="0"/>
          <c:extLst>
            <c:ext xmlns:c16="http://schemas.microsoft.com/office/drawing/2014/chart" uri="{C3380CC4-5D6E-409C-BE32-E72D297353CC}">
              <c16:uniqueId val="{00000000-AE03-4450-B307-4E9B57436797}"/>
            </c:ext>
          </c:extLst>
        </c:ser>
        <c:ser>
          <c:idx val="0"/>
          <c:order val="1"/>
          <c:tx>
            <c:strRef>
              <c:f>Prices!$D$6</c:f>
              <c:strCache>
                <c:ptCount val="1"/>
                <c:pt idx="0">
                  <c:v>Irrigated Corn</c:v>
                </c:pt>
              </c:strCache>
            </c:strRef>
          </c:tx>
          <c:spPr>
            <a:ln>
              <a:solidFill>
                <a:srgbClr val="00B050"/>
              </a:solidFill>
            </a:ln>
          </c:spPr>
          <c:marker>
            <c:symbol val="circle"/>
            <c:size val="7"/>
            <c:spPr>
              <a:solidFill>
                <a:srgbClr val="92D050"/>
              </a:solidFill>
              <a:ln>
                <a:solidFill>
                  <a:srgbClr val="00B050"/>
                </a:solidFill>
              </a:ln>
            </c:spPr>
          </c:marker>
          <c:dLbls>
            <c:spPr>
              <a:solidFill>
                <a:srgbClr val="00B050">
                  <a:alpha val="5000"/>
                </a:srgbClr>
              </a:solidFill>
            </c:spPr>
            <c:txPr>
              <a:bodyPr rot="2700000" vert="horz"/>
              <a:lstStyle/>
              <a:p>
                <a:pPr algn="ctr">
                  <a:defRPr sz="12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Prices!$B$28:$B$42</c:f>
              <c:numCache>
                <c:formatCode>_("$"* #,##0.00_);_("$"* \(#,##0.00\);_("$"* "-"??_);_(@_)</c:formatCode>
                <c:ptCount val="15"/>
                <c:pt idx="0">
                  <c:v>0.58499999999999985</c:v>
                </c:pt>
                <c:pt idx="1">
                  <c:v>0.60999999999999988</c:v>
                </c:pt>
                <c:pt idx="2">
                  <c:v>0.6349999999999999</c:v>
                </c:pt>
                <c:pt idx="3">
                  <c:v>0.65999999999999992</c:v>
                </c:pt>
                <c:pt idx="4">
                  <c:v>0.68499999999999994</c:v>
                </c:pt>
                <c:pt idx="5">
                  <c:v>0.71</c:v>
                </c:pt>
                <c:pt idx="6">
                  <c:v>0.73499999999999999</c:v>
                </c:pt>
                <c:pt idx="7">
                  <c:v>0.76</c:v>
                </c:pt>
                <c:pt idx="8">
                  <c:v>0.78500000000000003</c:v>
                </c:pt>
                <c:pt idx="9">
                  <c:v>0.81</c:v>
                </c:pt>
                <c:pt idx="10">
                  <c:v>0.83500000000000008</c:v>
                </c:pt>
                <c:pt idx="11">
                  <c:v>0.8600000000000001</c:v>
                </c:pt>
                <c:pt idx="12">
                  <c:v>0.88500000000000012</c:v>
                </c:pt>
                <c:pt idx="13">
                  <c:v>0.91000000000000014</c:v>
                </c:pt>
                <c:pt idx="14">
                  <c:v>0.93500000000000016</c:v>
                </c:pt>
              </c:numCache>
            </c:numRef>
          </c:cat>
          <c:val>
            <c:numRef>
              <c:f>Prices!$D$49:$D$63</c:f>
              <c:numCache>
                <c:formatCode>_("$"* #,##0.00_);_("$"* \(#,##0.00\);_("$"* "-"??_);_(@_)</c:formatCode>
                <c:ptCount val="15"/>
                <c:pt idx="0">
                  <c:v>3.7265000198863616</c:v>
                </c:pt>
                <c:pt idx="1">
                  <c:v>3.8765000198863624</c:v>
                </c:pt>
                <c:pt idx="2">
                  <c:v>4.0265000198863623</c:v>
                </c:pt>
                <c:pt idx="3">
                  <c:v>4.1765000198863627</c:v>
                </c:pt>
                <c:pt idx="4">
                  <c:v>4.3265000198863621</c:v>
                </c:pt>
                <c:pt idx="5">
                  <c:v>4.4765000198863625</c:v>
                </c:pt>
                <c:pt idx="6">
                  <c:v>4.6265000198863628</c:v>
                </c:pt>
                <c:pt idx="7">
                  <c:v>4.7765000198863632</c:v>
                </c:pt>
                <c:pt idx="8">
                  <c:v>4.9265000198863627</c:v>
                </c:pt>
                <c:pt idx="9">
                  <c:v>5.0765000198863639</c:v>
                </c:pt>
                <c:pt idx="10">
                  <c:v>5.2265000198863643</c:v>
                </c:pt>
                <c:pt idx="11">
                  <c:v>5.3765000198863637</c:v>
                </c:pt>
                <c:pt idx="12">
                  <c:v>5.5265000198863641</c:v>
                </c:pt>
                <c:pt idx="13">
                  <c:v>5.6765000198863644</c:v>
                </c:pt>
                <c:pt idx="14">
                  <c:v>5.8265000198863639</c:v>
                </c:pt>
              </c:numCache>
            </c:numRef>
          </c:val>
          <c:smooth val="0"/>
          <c:extLst>
            <c:ext xmlns:c16="http://schemas.microsoft.com/office/drawing/2014/chart" uri="{C3380CC4-5D6E-409C-BE32-E72D297353CC}">
              <c16:uniqueId val="{00000001-AE03-4450-B307-4E9B57436797}"/>
            </c:ext>
          </c:extLst>
        </c:ser>
        <c:dLbls>
          <c:showLegendKey val="0"/>
          <c:showVal val="0"/>
          <c:showCatName val="0"/>
          <c:showSerName val="0"/>
          <c:showPercent val="0"/>
          <c:showBubbleSize val="0"/>
        </c:dLbls>
        <c:marker val="1"/>
        <c:smooth val="0"/>
        <c:axId val="-1811248512"/>
        <c:axId val="-1811244752"/>
      </c:lineChart>
      <c:catAx>
        <c:axId val="-1811248512"/>
        <c:scaling>
          <c:orientation val="minMax"/>
        </c:scaling>
        <c:delete val="0"/>
        <c:axPos val="b"/>
        <c:title>
          <c:tx>
            <c:rich>
              <a:bodyPr/>
              <a:lstStyle/>
              <a:p>
                <a:pPr>
                  <a:defRPr sz="1400" b="0" i="0" u="none" strike="noStrike" baseline="0">
                    <a:solidFill>
                      <a:srgbClr val="000000"/>
                    </a:solidFill>
                    <a:latin typeface="Calibri"/>
                    <a:ea typeface="Calibri"/>
                    <a:cs typeface="Calibri"/>
                  </a:defRPr>
                </a:pPr>
                <a:r>
                  <a:rPr lang="en-US"/>
                  <a:t>Cotton Price ($/lb)</a:t>
                </a:r>
              </a:p>
            </c:rich>
          </c:tx>
          <c:layout>
            <c:manualLayout>
              <c:xMode val="edge"/>
              <c:yMode val="edge"/>
              <c:x val="0.44852271726903697"/>
              <c:y val="0.932920804599639"/>
            </c:manualLayout>
          </c:layout>
          <c:overlay val="0"/>
        </c:title>
        <c:numFmt formatCode="_(&quot;$&quot;* #,##0.00_);_(&quot;$&quot;* \(#,##0.00\);_(&quot;$&quot;* &quot;-&quot;??_);_(@_)" sourceLinked="1"/>
        <c:majorTickMark val="none"/>
        <c:minorTickMark val="none"/>
        <c:tickLblPos val="nextTo"/>
        <c:txPr>
          <a:bodyPr rot="-5400000" vert="horz"/>
          <a:lstStyle/>
          <a:p>
            <a:pPr>
              <a:defRPr sz="1200" b="0" i="0" u="none" strike="noStrike" baseline="0">
                <a:solidFill>
                  <a:srgbClr val="000000"/>
                </a:solidFill>
                <a:latin typeface="Calibri"/>
                <a:ea typeface="Calibri"/>
                <a:cs typeface="Calibri"/>
              </a:defRPr>
            </a:pPr>
            <a:endParaRPr lang="en-US"/>
          </a:p>
        </c:txPr>
        <c:crossAx val="-1811244752"/>
        <c:crosses val="autoZero"/>
        <c:auto val="1"/>
        <c:lblAlgn val="ctr"/>
        <c:lblOffset val="100"/>
        <c:noMultiLvlLbl val="0"/>
      </c:catAx>
      <c:valAx>
        <c:axId val="-1811244752"/>
        <c:scaling>
          <c:orientation val="minMax"/>
        </c:scaling>
        <c:delete val="0"/>
        <c:axPos val="l"/>
        <c:majorGridlines/>
        <c:title>
          <c:tx>
            <c:rich>
              <a:bodyPr/>
              <a:lstStyle/>
              <a:p>
                <a:pPr>
                  <a:defRPr sz="1400" b="0" i="0" u="none" strike="noStrike" baseline="0">
                    <a:solidFill>
                      <a:srgbClr val="000000"/>
                    </a:solidFill>
                    <a:latin typeface="Calibri"/>
                    <a:ea typeface="Calibri"/>
                    <a:cs typeface="Calibri"/>
                  </a:defRPr>
                </a:pPr>
                <a:r>
                  <a:rPr lang="en-US"/>
                  <a:t>Corn Price ($/bu)</a:t>
                </a:r>
              </a:p>
            </c:rich>
          </c:tx>
          <c:layout>
            <c:manualLayout>
              <c:xMode val="edge"/>
              <c:yMode val="edge"/>
              <c:x val="8.3467827391141405E-5"/>
              <c:y val="0.30024380785378302"/>
            </c:manualLayout>
          </c:layout>
          <c:overlay val="0"/>
        </c:title>
        <c:numFmt formatCode="_(&quot;$&quot;* #,##0.00_);_(&quot;$&quot;* \(#,##0.00\);_(&quot;$&quot;* &quot;-&quot;??_);_(@_)"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1811248512"/>
        <c:crosses val="autoZero"/>
        <c:crossBetween val="between"/>
      </c:valAx>
    </c:plotArea>
    <c:legend>
      <c:legendPos val="r"/>
      <c:layout>
        <c:manualLayout>
          <c:xMode val="edge"/>
          <c:yMode val="edge"/>
          <c:x val="0.13811890904941199"/>
          <c:y val="0.71092639116042"/>
          <c:w val="0.199308912472897"/>
          <c:h val="8.5449650699444199E-2"/>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EF4CE"/>
    </a:solidFill>
  </c:spPr>
  <c:txPr>
    <a:bodyPr/>
    <a:lstStyle/>
    <a:p>
      <a:pPr>
        <a:defRPr sz="12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horizontalDpi="300"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sz="1100"/>
              <a:t>Soybean Price Needed to Give Equal Returns Above Variable Costs to Cotton at Budgeted Yields *</a:t>
            </a:r>
          </a:p>
        </c:rich>
      </c:tx>
      <c:layout>
        <c:manualLayout>
          <c:xMode val="edge"/>
          <c:yMode val="edge"/>
          <c:x val="0.12883115697494299"/>
          <c:y val="8.6096012192024406E-3"/>
        </c:manualLayout>
      </c:layout>
      <c:overlay val="0"/>
    </c:title>
    <c:autoTitleDeleted val="0"/>
    <c:plotArea>
      <c:layout>
        <c:manualLayout>
          <c:layoutTarget val="inner"/>
          <c:xMode val="edge"/>
          <c:yMode val="edge"/>
          <c:x val="0.13366369744322501"/>
          <c:y val="9.7056084681031607E-2"/>
          <c:w val="0.80786312183950004"/>
          <c:h val="0.71248991719977495"/>
        </c:manualLayout>
      </c:layout>
      <c:lineChart>
        <c:grouping val="standard"/>
        <c:varyColors val="0"/>
        <c:ser>
          <c:idx val="1"/>
          <c:order val="0"/>
          <c:tx>
            <c:strRef>
              <c:f>Prices!$E$27</c:f>
              <c:strCache>
                <c:ptCount val="1"/>
                <c:pt idx="0">
                  <c:v>Non Irrigated Soybean</c:v>
                </c:pt>
              </c:strCache>
            </c:strRef>
          </c:tx>
          <c:spPr>
            <a:ln>
              <a:solidFill>
                <a:schemeClr val="accent6">
                  <a:lumMod val="75000"/>
                </a:schemeClr>
              </a:solidFill>
            </a:ln>
          </c:spPr>
          <c:marker>
            <c:symbol val="square"/>
            <c:size val="6"/>
            <c:spPr>
              <a:solidFill>
                <a:schemeClr val="accent6">
                  <a:lumMod val="60000"/>
                  <a:lumOff val="40000"/>
                </a:schemeClr>
              </a:solidFill>
              <a:ln>
                <a:solidFill>
                  <a:schemeClr val="accent6">
                    <a:lumMod val="50000"/>
                  </a:schemeClr>
                </a:solidFill>
              </a:ln>
            </c:spPr>
          </c:marker>
          <c:dLbls>
            <c:spPr>
              <a:solidFill>
                <a:srgbClr val="FFC000">
                  <a:alpha val="5000"/>
                </a:srgbClr>
              </a:solidFill>
            </c:spPr>
            <c:txPr>
              <a:bodyPr/>
              <a:lstStyle/>
              <a:p>
                <a:pPr>
                  <a:defRPr sz="12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Prices!$B$28:$B$42</c:f>
              <c:numCache>
                <c:formatCode>_("$"* #,##0.00_);_("$"* \(#,##0.00\);_("$"* "-"??_);_(@_)</c:formatCode>
                <c:ptCount val="15"/>
                <c:pt idx="0">
                  <c:v>0.58499999999999985</c:v>
                </c:pt>
                <c:pt idx="1">
                  <c:v>0.60999999999999988</c:v>
                </c:pt>
                <c:pt idx="2">
                  <c:v>0.6349999999999999</c:v>
                </c:pt>
                <c:pt idx="3">
                  <c:v>0.65999999999999992</c:v>
                </c:pt>
                <c:pt idx="4">
                  <c:v>0.68499999999999994</c:v>
                </c:pt>
                <c:pt idx="5">
                  <c:v>0.71</c:v>
                </c:pt>
                <c:pt idx="6">
                  <c:v>0.73499999999999999</c:v>
                </c:pt>
                <c:pt idx="7">
                  <c:v>0.76</c:v>
                </c:pt>
                <c:pt idx="8">
                  <c:v>0.78500000000000003</c:v>
                </c:pt>
                <c:pt idx="9">
                  <c:v>0.81</c:v>
                </c:pt>
                <c:pt idx="10">
                  <c:v>0.83500000000000008</c:v>
                </c:pt>
                <c:pt idx="11">
                  <c:v>0.8600000000000001</c:v>
                </c:pt>
                <c:pt idx="12">
                  <c:v>0.88500000000000012</c:v>
                </c:pt>
                <c:pt idx="13">
                  <c:v>0.91000000000000014</c:v>
                </c:pt>
                <c:pt idx="14">
                  <c:v>0.93500000000000016</c:v>
                </c:pt>
              </c:numCache>
            </c:numRef>
          </c:cat>
          <c:val>
            <c:numRef>
              <c:f>Prices!$E$70:$E$84</c:f>
              <c:numCache>
                <c:formatCode>_("$"* #,##0.00_);_("$"* \(#,##0.00\);_("$"* "-"??_);_(@_)</c:formatCode>
                <c:ptCount val="15"/>
                <c:pt idx="0">
                  <c:v>3.8148804109848413</c:v>
                </c:pt>
                <c:pt idx="1">
                  <c:v>4.4398804109848413</c:v>
                </c:pt>
                <c:pt idx="2">
                  <c:v>5.0648804109848431</c:v>
                </c:pt>
                <c:pt idx="3">
                  <c:v>5.6898804109848431</c:v>
                </c:pt>
                <c:pt idx="4">
                  <c:v>6.3148804109848449</c:v>
                </c:pt>
                <c:pt idx="5">
                  <c:v>6.9398804109848449</c:v>
                </c:pt>
                <c:pt idx="6">
                  <c:v>7.5648804109848449</c:v>
                </c:pt>
                <c:pt idx="7">
                  <c:v>8.1898804109848449</c:v>
                </c:pt>
                <c:pt idx="8">
                  <c:v>8.8148804109848449</c:v>
                </c:pt>
                <c:pt idx="9">
                  <c:v>9.4398804109848449</c:v>
                </c:pt>
                <c:pt idx="10">
                  <c:v>10.064880410984845</c:v>
                </c:pt>
                <c:pt idx="11">
                  <c:v>10.689880410984848</c:v>
                </c:pt>
                <c:pt idx="12">
                  <c:v>11.314880410984848</c:v>
                </c:pt>
                <c:pt idx="13">
                  <c:v>11.939880410984848</c:v>
                </c:pt>
                <c:pt idx="14">
                  <c:v>12.564880410984848</c:v>
                </c:pt>
              </c:numCache>
            </c:numRef>
          </c:val>
          <c:smooth val="0"/>
          <c:extLst>
            <c:ext xmlns:c16="http://schemas.microsoft.com/office/drawing/2014/chart" uri="{C3380CC4-5D6E-409C-BE32-E72D297353CC}">
              <c16:uniqueId val="{00000000-5E3F-49DD-9ED9-3D31F7CC46F0}"/>
            </c:ext>
          </c:extLst>
        </c:ser>
        <c:ser>
          <c:idx val="0"/>
          <c:order val="1"/>
          <c:tx>
            <c:strRef>
              <c:f>Prices!$E$6</c:f>
              <c:strCache>
                <c:ptCount val="1"/>
                <c:pt idx="0">
                  <c:v>Irrigated Soybean</c:v>
                </c:pt>
              </c:strCache>
            </c:strRef>
          </c:tx>
          <c:spPr>
            <a:ln>
              <a:solidFill>
                <a:schemeClr val="accent4">
                  <a:lumMod val="75000"/>
                </a:schemeClr>
              </a:solidFill>
            </a:ln>
          </c:spPr>
          <c:marker>
            <c:symbol val="circle"/>
            <c:size val="7"/>
            <c:spPr>
              <a:solidFill>
                <a:schemeClr val="accent4">
                  <a:lumMod val="60000"/>
                  <a:lumOff val="40000"/>
                </a:schemeClr>
              </a:solidFill>
              <a:ln>
                <a:solidFill>
                  <a:srgbClr val="7030A0"/>
                </a:solidFill>
              </a:ln>
            </c:spPr>
          </c:marker>
          <c:dLbls>
            <c:spPr>
              <a:solidFill>
                <a:schemeClr val="accent4">
                  <a:lumMod val="60000"/>
                  <a:lumOff val="40000"/>
                  <a:alpha val="5000"/>
                </a:schemeClr>
              </a:solidFill>
            </c:spPr>
            <c:txPr>
              <a:bodyPr rot="2700000" vert="horz"/>
              <a:lstStyle/>
              <a:p>
                <a:pPr algn="ctr">
                  <a:defRPr sz="1200" b="1"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Prices!$B$28:$B$42</c:f>
              <c:numCache>
                <c:formatCode>_("$"* #,##0.00_);_("$"* \(#,##0.00\);_("$"* "-"??_);_(@_)</c:formatCode>
                <c:ptCount val="15"/>
                <c:pt idx="0">
                  <c:v>0.58499999999999985</c:v>
                </c:pt>
                <c:pt idx="1">
                  <c:v>0.60999999999999988</c:v>
                </c:pt>
                <c:pt idx="2">
                  <c:v>0.6349999999999999</c:v>
                </c:pt>
                <c:pt idx="3">
                  <c:v>0.65999999999999992</c:v>
                </c:pt>
                <c:pt idx="4">
                  <c:v>0.68499999999999994</c:v>
                </c:pt>
                <c:pt idx="5">
                  <c:v>0.71</c:v>
                </c:pt>
                <c:pt idx="6">
                  <c:v>0.73499999999999999</c:v>
                </c:pt>
                <c:pt idx="7">
                  <c:v>0.76</c:v>
                </c:pt>
                <c:pt idx="8">
                  <c:v>0.78500000000000003</c:v>
                </c:pt>
                <c:pt idx="9">
                  <c:v>0.81</c:v>
                </c:pt>
                <c:pt idx="10">
                  <c:v>0.83500000000000008</c:v>
                </c:pt>
                <c:pt idx="11">
                  <c:v>0.8600000000000001</c:v>
                </c:pt>
                <c:pt idx="12">
                  <c:v>0.88500000000000012</c:v>
                </c:pt>
                <c:pt idx="13">
                  <c:v>0.91000000000000014</c:v>
                </c:pt>
                <c:pt idx="14">
                  <c:v>0.93500000000000016</c:v>
                </c:pt>
              </c:numCache>
            </c:numRef>
          </c:cat>
          <c:val>
            <c:numRef>
              <c:f>Prices!$E$49:$E$63</c:f>
              <c:numCache>
                <c:formatCode>_("$"* #,##0.00_);_("$"* \(#,##0.00\);_("$"* "-"??_);_(@_)</c:formatCode>
                <c:ptCount val="15"/>
                <c:pt idx="0">
                  <c:v>5.1273758058712078</c:v>
                </c:pt>
                <c:pt idx="1">
                  <c:v>5.6273758058712096</c:v>
                </c:pt>
                <c:pt idx="2">
                  <c:v>6.1273758058712096</c:v>
                </c:pt>
                <c:pt idx="3">
                  <c:v>6.6273758058712096</c:v>
                </c:pt>
                <c:pt idx="4">
                  <c:v>7.1273758058712096</c:v>
                </c:pt>
                <c:pt idx="5">
                  <c:v>7.6273758058712113</c:v>
                </c:pt>
                <c:pt idx="6">
                  <c:v>8.1273758058712122</c:v>
                </c:pt>
                <c:pt idx="7">
                  <c:v>8.6273758058712122</c:v>
                </c:pt>
                <c:pt idx="8">
                  <c:v>9.1273758058712122</c:v>
                </c:pt>
                <c:pt idx="9">
                  <c:v>9.627375805871214</c:v>
                </c:pt>
                <c:pt idx="10">
                  <c:v>10.127375805871214</c:v>
                </c:pt>
                <c:pt idx="11">
                  <c:v>10.627375805871216</c:v>
                </c:pt>
                <c:pt idx="12">
                  <c:v>11.127375805871216</c:v>
                </c:pt>
                <c:pt idx="13">
                  <c:v>11.627375805871216</c:v>
                </c:pt>
                <c:pt idx="14">
                  <c:v>12.127375805871216</c:v>
                </c:pt>
              </c:numCache>
            </c:numRef>
          </c:val>
          <c:smooth val="0"/>
          <c:extLst>
            <c:ext xmlns:c16="http://schemas.microsoft.com/office/drawing/2014/chart" uri="{C3380CC4-5D6E-409C-BE32-E72D297353CC}">
              <c16:uniqueId val="{00000001-5E3F-49DD-9ED9-3D31F7CC46F0}"/>
            </c:ext>
          </c:extLst>
        </c:ser>
        <c:dLbls>
          <c:showLegendKey val="0"/>
          <c:showVal val="0"/>
          <c:showCatName val="0"/>
          <c:showSerName val="0"/>
          <c:showPercent val="0"/>
          <c:showBubbleSize val="0"/>
        </c:dLbls>
        <c:marker val="1"/>
        <c:smooth val="0"/>
        <c:axId val="-1810572352"/>
        <c:axId val="-1810568592"/>
      </c:lineChart>
      <c:catAx>
        <c:axId val="-1810572352"/>
        <c:scaling>
          <c:orientation val="minMax"/>
        </c:scaling>
        <c:delete val="0"/>
        <c:axPos val="b"/>
        <c:title>
          <c:tx>
            <c:rich>
              <a:bodyPr/>
              <a:lstStyle/>
              <a:p>
                <a:pPr>
                  <a:defRPr sz="1400" b="0" i="0" u="none" strike="noStrike" baseline="0">
                    <a:solidFill>
                      <a:srgbClr val="000000"/>
                    </a:solidFill>
                    <a:latin typeface="Calibri"/>
                    <a:ea typeface="Calibri"/>
                    <a:cs typeface="Calibri"/>
                  </a:defRPr>
                </a:pPr>
                <a:r>
                  <a:rPr lang="en-US"/>
                  <a:t>Cotton Price ($/lb)</a:t>
                </a:r>
              </a:p>
            </c:rich>
          </c:tx>
          <c:layout>
            <c:manualLayout>
              <c:xMode val="edge"/>
              <c:yMode val="edge"/>
              <c:x val="0.44852271726903697"/>
              <c:y val="0.91945090734625901"/>
            </c:manualLayout>
          </c:layout>
          <c:overlay val="0"/>
        </c:title>
        <c:numFmt formatCode="_(&quot;$&quot;* #,##0.00_);_(&quot;$&quot;* \(#,##0.00\);_(&quot;$&quot;* &quot;-&quot;??_);_(@_)" sourceLinked="1"/>
        <c:majorTickMark val="none"/>
        <c:minorTickMark val="none"/>
        <c:tickLblPos val="nextTo"/>
        <c:txPr>
          <a:bodyPr rot="-5400000" vert="horz"/>
          <a:lstStyle/>
          <a:p>
            <a:pPr>
              <a:defRPr sz="1200" b="0" i="0" u="none" strike="noStrike" baseline="0">
                <a:solidFill>
                  <a:srgbClr val="000000"/>
                </a:solidFill>
                <a:latin typeface="Calibri"/>
                <a:ea typeface="Calibri"/>
                <a:cs typeface="Calibri"/>
              </a:defRPr>
            </a:pPr>
            <a:endParaRPr lang="en-US"/>
          </a:p>
        </c:txPr>
        <c:crossAx val="-1810568592"/>
        <c:crosses val="autoZero"/>
        <c:auto val="1"/>
        <c:lblAlgn val="ctr"/>
        <c:lblOffset val="100"/>
        <c:noMultiLvlLbl val="0"/>
      </c:catAx>
      <c:valAx>
        <c:axId val="-1810568592"/>
        <c:scaling>
          <c:orientation val="minMax"/>
        </c:scaling>
        <c:delete val="0"/>
        <c:axPos val="l"/>
        <c:majorGridlines/>
        <c:title>
          <c:tx>
            <c:rich>
              <a:bodyPr/>
              <a:lstStyle/>
              <a:p>
                <a:pPr>
                  <a:defRPr sz="1400" b="0" i="0" u="none" strike="noStrike" baseline="0">
                    <a:solidFill>
                      <a:srgbClr val="000000"/>
                    </a:solidFill>
                    <a:latin typeface="Calibri"/>
                    <a:ea typeface="Calibri"/>
                    <a:cs typeface="Calibri"/>
                  </a:defRPr>
                </a:pPr>
                <a:r>
                  <a:rPr lang="en-US"/>
                  <a:t>Soybean Price ($/bu)</a:t>
                </a:r>
              </a:p>
            </c:rich>
          </c:tx>
          <c:layout>
            <c:manualLayout>
              <c:xMode val="edge"/>
              <c:yMode val="edge"/>
              <c:x val="8.3467827391141405E-5"/>
              <c:y val="0.30024372759856599"/>
            </c:manualLayout>
          </c:layout>
          <c:overlay val="0"/>
        </c:title>
        <c:numFmt formatCode="_(&quot;$&quot;* #,##0.00_);_(&quot;$&quot;* \(#,##0.00\);_(&quot;$&quot;* &quot;-&quot;??_);_(@_)"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1810572352"/>
        <c:crosses val="autoZero"/>
        <c:crossBetween val="between"/>
      </c:valAx>
    </c:plotArea>
    <c:legend>
      <c:legendPos val="r"/>
      <c:layout>
        <c:manualLayout>
          <c:xMode val="edge"/>
          <c:yMode val="edge"/>
          <c:x val="0.13802370355879401"/>
          <c:y val="0.69167950780345999"/>
          <c:w val="0.21861397760062601"/>
          <c:h val="0.102313210848644"/>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EF4CE"/>
    </a:solidFill>
  </c:spPr>
  <c:txPr>
    <a:bodyPr/>
    <a:lstStyle/>
    <a:p>
      <a:pPr>
        <a:defRPr sz="12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horizontalDpi="3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sz="1100"/>
              <a:t>Cotton Price Needed to Give Equal Returns Above Variable Costs to Peanuts at Budgeted Yields *</a:t>
            </a:r>
          </a:p>
        </c:rich>
      </c:tx>
      <c:layout>
        <c:manualLayout>
          <c:xMode val="edge"/>
          <c:yMode val="edge"/>
          <c:x val="0.13070735723252"/>
          <c:y val="8.6096026789754705E-3"/>
        </c:manualLayout>
      </c:layout>
      <c:overlay val="0"/>
    </c:title>
    <c:autoTitleDeleted val="0"/>
    <c:plotArea>
      <c:layout>
        <c:manualLayout>
          <c:layoutTarget val="inner"/>
          <c:xMode val="edge"/>
          <c:yMode val="edge"/>
          <c:x val="0.13366369744322501"/>
          <c:y val="9.7056084681031607E-2"/>
          <c:w val="0.80786312183950004"/>
          <c:h val="0.71248991719977495"/>
        </c:manualLayout>
      </c:layout>
      <c:lineChart>
        <c:grouping val="standard"/>
        <c:varyColors val="0"/>
        <c:ser>
          <c:idx val="1"/>
          <c:order val="0"/>
          <c:tx>
            <c:strRef>
              <c:f>Prices!$G$27</c:f>
              <c:strCache>
                <c:ptCount val="1"/>
                <c:pt idx="0">
                  <c:v>Non Irrigated Cotton</c:v>
                </c:pt>
              </c:strCache>
            </c:strRef>
          </c:tx>
          <c:marker>
            <c:symbol val="square"/>
            <c:size val="6"/>
          </c:marker>
          <c:dLbls>
            <c:spPr>
              <a:solidFill>
                <a:schemeClr val="accent2">
                  <a:lumMod val="60000"/>
                  <a:lumOff val="40000"/>
                  <a:alpha val="5000"/>
                </a:schemeClr>
              </a:solidFill>
            </c:spPr>
            <c:txPr>
              <a:bodyPr/>
              <a:lstStyle/>
              <a:p>
                <a:pPr>
                  <a:defRPr sz="12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Prices!$H$28:$H$42</c:f>
              <c:numCache>
                <c:formatCode>_("$"* #,##0_);_("$"* \(#,##0\);_("$"* "-"??_);_(@_)</c:formatCode>
                <c:ptCount val="15"/>
                <c:pt idx="0">
                  <c:v>442.5</c:v>
                </c:pt>
                <c:pt idx="1">
                  <c:v>452.5</c:v>
                </c:pt>
                <c:pt idx="2">
                  <c:v>462.5</c:v>
                </c:pt>
                <c:pt idx="3">
                  <c:v>472.5</c:v>
                </c:pt>
                <c:pt idx="4">
                  <c:v>482.5</c:v>
                </c:pt>
                <c:pt idx="5">
                  <c:v>492.5</c:v>
                </c:pt>
                <c:pt idx="6">
                  <c:v>502.5</c:v>
                </c:pt>
                <c:pt idx="7">
                  <c:v>512.5</c:v>
                </c:pt>
                <c:pt idx="8">
                  <c:v>522.5</c:v>
                </c:pt>
                <c:pt idx="9">
                  <c:v>532.5</c:v>
                </c:pt>
                <c:pt idx="10">
                  <c:v>542.5</c:v>
                </c:pt>
                <c:pt idx="11">
                  <c:v>552.5</c:v>
                </c:pt>
                <c:pt idx="12">
                  <c:v>562.5</c:v>
                </c:pt>
                <c:pt idx="13">
                  <c:v>572.5</c:v>
                </c:pt>
                <c:pt idx="14">
                  <c:v>582.5</c:v>
                </c:pt>
              </c:numCache>
            </c:numRef>
          </c:cat>
          <c:val>
            <c:numRef>
              <c:f>Prices!$G$70:$G$84</c:f>
              <c:numCache>
                <c:formatCode>_("$"* #,##0.00_);_("$"* \(#,##0.00\);_("$"* "-"??_);_(@_)</c:formatCode>
                <c:ptCount val="15"/>
                <c:pt idx="0">
                  <c:v>0.96689207481060613</c:v>
                </c:pt>
                <c:pt idx="1">
                  <c:v>0.98955874147727274</c:v>
                </c:pt>
                <c:pt idx="2">
                  <c:v>1.0122254081439395</c:v>
                </c:pt>
                <c:pt idx="3">
                  <c:v>1.0348920748106061</c:v>
                </c:pt>
                <c:pt idx="4">
                  <c:v>1.0575587414772727</c:v>
                </c:pt>
                <c:pt idx="5">
                  <c:v>1.0802254081439395</c:v>
                </c:pt>
                <c:pt idx="6">
                  <c:v>1.1028920748106061</c:v>
                </c:pt>
                <c:pt idx="7">
                  <c:v>1.1255587414772728</c:v>
                </c:pt>
                <c:pt idx="8">
                  <c:v>1.1482254081439394</c:v>
                </c:pt>
                <c:pt idx="9">
                  <c:v>1.1708920748106062</c:v>
                </c:pt>
                <c:pt idx="10">
                  <c:v>1.1935587414772728</c:v>
                </c:pt>
                <c:pt idx="11">
                  <c:v>1.2162254081439394</c:v>
                </c:pt>
                <c:pt idx="12">
                  <c:v>1.238892074810606</c:v>
                </c:pt>
                <c:pt idx="13">
                  <c:v>1.2615587414772729</c:v>
                </c:pt>
                <c:pt idx="14">
                  <c:v>1.2842254081439395</c:v>
                </c:pt>
              </c:numCache>
            </c:numRef>
          </c:val>
          <c:smooth val="0"/>
          <c:extLst>
            <c:ext xmlns:c16="http://schemas.microsoft.com/office/drawing/2014/chart" uri="{C3380CC4-5D6E-409C-BE32-E72D297353CC}">
              <c16:uniqueId val="{00000000-C17C-416A-B10B-5E6BB12D0D73}"/>
            </c:ext>
          </c:extLst>
        </c:ser>
        <c:ser>
          <c:idx val="0"/>
          <c:order val="1"/>
          <c:tx>
            <c:strRef>
              <c:f>Prices!$G$6</c:f>
              <c:strCache>
                <c:ptCount val="1"/>
                <c:pt idx="0">
                  <c:v>Irrigated Cotton</c:v>
                </c:pt>
              </c:strCache>
            </c:strRef>
          </c:tx>
          <c:marker>
            <c:symbol val="circle"/>
            <c:size val="7"/>
          </c:marker>
          <c:dLbls>
            <c:spPr>
              <a:solidFill>
                <a:schemeClr val="tx2">
                  <a:lumMod val="60000"/>
                  <a:lumOff val="40000"/>
                  <a:alpha val="5000"/>
                </a:schemeClr>
              </a:solidFill>
            </c:spPr>
            <c:txPr>
              <a:bodyPr rot="2700000" vert="horz"/>
              <a:lstStyle/>
              <a:p>
                <a:pPr algn="ctr">
                  <a:defRPr sz="1200" b="1"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Prices!$H$28:$H$42</c:f>
              <c:numCache>
                <c:formatCode>_("$"* #,##0_);_("$"* \(#,##0\);_("$"* "-"??_);_(@_)</c:formatCode>
                <c:ptCount val="15"/>
                <c:pt idx="0">
                  <c:v>442.5</c:v>
                </c:pt>
                <c:pt idx="1">
                  <c:v>452.5</c:v>
                </c:pt>
                <c:pt idx="2">
                  <c:v>462.5</c:v>
                </c:pt>
                <c:pt idx="3">
                  <c:v>472.5</c:v>
                </c:pt>
                <c:pt idx="4">
                  <c:v>482.5</c:v>
                </c:pt>
                <c:pt idx="5">
                  <c:v>492.5</c:v>
                </c:pt>
                <c:pt idx="6">
                  <c:v>502.5</c:v>
                </c:pt>
                <c:pt idx="7">
                  <c:v>512.5</c:v>
                </c:pt>
                <c:pt idx="8">
                  <c:v>522.5</c:v>
                </c:pt>
                <c:pt idx="9">
                  <c:v>532.5</c:v>
                </c:pt>
                <c:pt idx="10">
                  <c:v>542.5</c:v>
                </c:pt>
                <c:pt idx="11">
                  <c:v>552.5</c:v>
                </c:pt>
                <c:pt idx="12">
                  <c:v>562.5</c:v>
                </c:pt>
                <c:pt idx="13">
                  <c:v>572.5</c:v>
                </c:pt>
                <c:pt idx="14">
                  <c:v>582.5</c:v>
                </c:pt>
              </c:numCache>
            </c:numRef>
          </c:cat>
          <c:val>
            <c:numRef>
              <c:f>Prices!$G$49:$G$63</c:f>
              <c:numCache>
                <c:formatCode>_("$"* #,##0.00_);_("$"* \(#,##0.00\);_("$"* "-"??_);_(@_)</c:formatCode>
                <c:ptCount val="15"/>
                <c:pt idx="0">
                  <c:v>0.83084583001893941</c:v>
                </c:pt>
                <c:pt idx="1">
                  <c:v>0.85042916335227281</c:v>
                </c:pt>
                <c:pt idx="2">
                  <c:v>0.87001249668560598</c:v>
                </c:pt>
                <c:pt idx="3">
                  <c:v>0.88959583001893938</c:v>
                </c:pt>
                <c:pt idx="4">
                  <c:v>0.90917916335227267</c:v>
                </c:pt>
                <c:pt idx="5">
                  <c:v>0.92876249668560606</c:v>
                </c:pt>
                <c:pt idx="6">
                  <c:v>0.94834583001893935</c:v>
                </c:pt>
                <c:pt idx="7">
                  <c:v>0.96792916335227275</c:v>
                </c:pt>
                <c:pt idx="8">
                  <c:v>0.98751249668560603</c:v>
                </c:pt>
                <c:pt idx="9">
                  <c:v>1.0070958300189394</c:v>
                </c:pt>
                <c:pt idx="10">
                  <c:v>1.0266791633522727</c:v>
                </c:pt>
                <c:pt idx="11">
                  <c:v>1.046262496685606</c:v>
                </c:pt>
                <c:pt idx="12">
                  <c:v>1.0658458300189393</c:v>
                </c:pt>
                <c:pt idx="13">
                  <c:v>1.0854291633522728</c:v>
                </c:pt>
                <c:pt idx="14">
                  <c:v>1.1050124966856061</c:v>
                </c:pt>
              </c:numCache>
            </c:numRef>
          </c:val>
          <c:smooth val="0"/>
          <c:extLst>
            <c:ext xmlns:c16="http://schemas.microsoft.com/office/drawing/2014/chart" uri="{C3380CC4-5D6E-409C-BE32-E72D297353CC}">
              <c16:uniqueId val="{00000001-C17C-416A-B10B-5E6BB12D0D73}"/>
            </c:ext>
          </c:extLst>
        </c:ser>
        <c:dLbls>
          <c:showLegendKey val="0"/>
          <c:showVal val="0"/>
          <c:showCatName val="0"/>
          <c:showSerName val="0"/>
          <c:showPercent val="0"/>
          <c:showBubbleSize val="0"/>
        </c:dLbls>
        <c:marker val="1"/>
        <c:smooth val="0"/>
        <c:axId val="-1810538720"/>
        <c:axId val="-1810534960"/>
      </c:lineChart>
      <c:catAx>
        <c:axId val="-1810538720"/>
        <c:scaling>
          <c:orientation val="minMax"/>
        </c:scaling>
        <c:delete val="0"/>
        <c:axPos val="b"/>
        <c:title>
          <c:tx>
            <c:rich>
              <a:bodyPr/>
              <a:lstStyle/>
              <a:p>
                <a:pPr>
                  <a:defRPr sz="1400" b="0" i="0" u="none" strike="noStrike" baseline="0">
                    <a:solidFill>
                      <a:srgbClr val="000000"/>
                    </a:solidFill>
                    <a:latin typeface="Calibri"/>
                    <a:ea typeface="Calibri"/>
                    <a:cs typeface="Calibri"/>
                  </a:defRPr>
                </a:pPr>
                <a:r>
                  <a:rPr lang="en-US"/>
                  <a:t>Peanut Price ($/ton)</a:t>
                </a:r>
              </a:p>
            </c:rich>
          </c:tx>
          <c:overlay val="0"/>
        </c:title>
        <c:numFmt formatCode="_(&quot;$&quot;* #,##0_);_(&quot;$&quot;* \(#,##0\);_(&quot;$&quot;* &quot;-&quot;??_);_(@_)" sourceLinked="1"/>
        <c:majorTickMark val="none"/>
        <c:minorTickMark val="none"/>
        <c:tickLblPos val="nextTo"/>
        <c:txPr>
          <a:bodyPr rot="-5400000" vert="horz"/>
          <a:lstStyle/>
          <a:p>
            <a:pPr>
              <a:defRPr sz="1200" b="0" i="0" u="none" strike="noStrike" baseline="0">
                <a:solidFill>
                  <a:srgbClr val="000000"/>
                </a:solidFill>
                <a:latin typeface="Calibri"/>
                <a:ea typeface="Calibri"/>
                <a:cs typeface="Calibri"/>
              </a:defRPr>
            </a:pPr>
            <a:endParaRPr lang="en-US"/>
          </a:p>
        </c:txPr>
        <c:crossAx val="-1810534960"/>
        <c:crosses val="autoZero"/>
        <c:auto val="1"/>
        <c:lblAlgn val="ctr"/>
        <c:lblOffset val="100"/>
        <c:noMultiLvlLbl val="0"/>
      </c:catAx>
      <c:valAx>
        <c:axId val="-1810534960"/>
        <c:scaling>
          <c:orientation val="minMax"/>
        </c:scaling>
        <c:delete val="0"/>
        <c:axPos val="l"/>
        <c:majorGridlines/>
        <c:title>
          <c:tx>
            <c:rich>
              <a:bodyPr/>
              <a:lstStyle/>
              <a:p>
                <a:pPr>
                  <a:defRPr sz="1400" b="0" i="0" u="none" strike="noStrike" baseline="0">
                    <a:solidFill>
                      <a:srgbClr val="000000"/>
                    </a:solidFill>
                    <a:latin typeface="Calibri"/>
                    <a:ea typeface="Calibri"/>
                    <a:cs typeface="Calibri"/>
                  </a:defRPr>
                </a:pPr>
                <a:r>
                  <a:rPr lang="en-US"/>
                  <a:t>Cotton Price ($/lb)</a:t>
                </a:r>
              </a:p>
            </c:rich>
          </c:tx>
          <c:layout>
            <c:manualLayout>
              <c:xMode val="edge"/>
              <c:yMode val="edge"/>
              <c:x val="8.3467827391141405E-5"/>
              <c:y val="0.30024368721151201"/>
            </c:manualLayout>
          </c:layout>
          <c:overlay val="0"/>
        </c:title>
        <c:numFmt formatCode="_(&quot;$&quot;* #,##0.00_);_(&quot;$&quot;* \(#,##0.00\);_(&quot;$&quot;* &quot;-&quot;??_);_(@_)"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1810538720"/>
        <c:crosses val="autoZero"/>
        <c:crossBetween val="between"/>
      </c:valAx>
    </c:plotArea>
    <c:legend>
      <c:legendPos val="r"/>
      <c:layout>
        <c:manualLayout>
          <c:xMode val="edge"/>
          <c:yMode val="edge"/>
          <c:x val="0.13641499160431"/>
          <c:y val="0.69854308082179395"/>
          <c:w val="0.210570287409726"/>
          <c:h val="0.102312878993574"/>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CC99"/>
    </a:solidFill>
  </c:spPr>
  <c:txPr>
    <a:bodyPr/>
    <a:lstStyle/>
    <a:p>
      <a:pPr>
        <a:defRPr sz="12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horizontalDpi="300" verticalDpi="300"/>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Corn Price Needed to Give Equal Returns Above Variable Costs to Peanuts at Budgeted Yields *</a:t>
            </a:r>
          </a:p>
        </c:rich>
      </c:tx>
      <c:overlay val="0"/>
    </c:title>
    <c:autoTitleDeleted val="0"/>
    <c:plotArea>
      <c:layout>
        <c:manualLayout>
          <c:layoutTarget val="inner"/>
          <c:xMode val="edge"/>
          <c:yMode val="edge"/>
          <c:x val="0.13366369744322501"/>
          <c:y val="9.7056084681031607E-2"/>
          <c:w val="0.80786312183950004"/>
          <c:h val="0.71248991719977495"/>
        </c:manualLayout>
      </c:layout>
      <c:lineChart>
        <c:grouping val="standard"/>
        <c:varyColors val="0"/>
        <c:ser>
          <c:idx val="1"/>
          <c:order val="0"/>
          <c:tx>
            <c:strRef>
              <c:f>Prices!$I$27</c:f>
              <c:strCache>
                <c:ptCount val="1"/>
                <c:pt idx="0">
                  <c:v>Non Irrigated Corn</c:v>
                </c:pt>
              </c:strCache>
            </c:strRef>
          </c:tx>
          <c:spPr>
            <a:ln>
              <a:solidFill>
                <a:srgbClr val="FF0000"/>
              </a:solidFill>
            </a:ln>
          </c:spPr>
          <c:marker>
            <c:symbol val="square"/>
            <c:size val="6"/>
          </c:marker>
          <c:dLbls>
            <c:spPr>
              <a:solidFill>
                <a:schemeClr val="accent6">
                  <a:alpha val="5000"/>
                </a:schemeClr>
              </a:solidFill>
            </c:spPr>
            <c:txPr>
              <a:bodyPr/>
              <a:lstStyle/>
              <a:p>
                <a:pPr>
                  <a:defRPr sz="12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Prices!$H$28:$H$42</c:f>
              <c:numCache>
                <c:formatCode>_("$"* #,##0_);_("$"* \(#,##0\);_("$"* "-"??_);_(@_)</c:formatCode>
                <c:ptCount val="15"/>
                <c:pt idx="0">
                  <c:v>442.5</c:v>
                </c:pt>
                <c:pt idx="1">
                  <c:v>452.5</c:v>
                </c:pt>
                <c:pt idx="2">
                  <c:v>462.5</c:v>
                </c:pt>
                <c:pt idx="3">
                  <c:v>472.5</c:v>
                </c:pt>
                <c:pt idx="4">
                  <c:v>482.5</c:v>
                </c:pt>
                <c:pt idx="5">
                  <c:v>492.5</c:v>
                </c:pt>
                <c:pt idx="6">
                  <c:v>502.5</c:v>
                </c:pt>
                <c:pt idx="7">
                  <c:v>512.5</c:v>
                </c:pt>
                <c:pt idx="8">
                  <c:v>522.5</c:v>
                </c:pt>
                <c:pt idx="9">
                  <c:v>532.5</c:v>
                </c:pt>
                <c:pt idx="10">
                  <c:v>542.5</c:v>
                </c:pt>
                <c:pt idx="11">
                  <c:v>552.5</c:v>
                </c:pt>
                <c:pt idx="12">
                  <c:v>562.5</c:v>
                </c:pt>
                <c:pt idx="13">
                  <c:v>572.5</c:v>
                </c:pt>
                <c:pt idx="14">
                  <c:v>582.5</c:v>
                </c:pt>
              </c:numCache>
            </c:numRef>
          </c:cat>
          <c:val>
            <c:numRef>
              <c:f>Prices!$I$70:$I$84</c:f>
              <c:numCache>
                <c:formatCode>_("$"* #,##0.00_);_("$"* \(#,##0.00\);_("$"* "-"??_);_(@_)</c:formatCode>
                <c:ptCount val="15"/>
                <c:pt idx="0">
                  <c:v>5.978129121323529</c:v>
                </c:pt>
                <c:pt idx="1">
                  <c:v>6.1781291213235283</c:v>
                </c:pt>
                <c:pt idx="2">
                  <c:v>6.3781291213235285</c:v>
                </c:pt>
                <c:pt idx="3">
                  <c:v>6.5781291213235287</c:v>
                </c:pt>
                <c:pt idx="4">
                  <c:v>6.778129121323528</c:v>
                </c:pt>
                <c:pt idx="5">
                  <c:v>6.9781291213235281</c:v>
                </c:pt>
                <c:pt idx="6">
                  <c:v>7.1781291213235283</c:v>
                </c:pt>
                <c:pt idx="7">
                  <c:v>7.3781291213235285</c:v>
                </c:pt>
                <c:pt idx="8">
                  <c:v>7.5781291213235287</c:v>
                </c:pt>
                <c:pt idx="9">
                  <c:v>7.778129121323528</c:v>
                </c:pt>
                <c:pt idx="10">
                  <c:v>7.9781291213235281</c:v>
                </c:pt>
                <c:pt idx="11">
                  <c:v>8.1781291213235274</c:v>
                </c:pt>
                <c:pt idx="12">
                  <c:v>8.3781291213235285</c:v>
                </c:pt>
                <c:pt idx="13">
                  <c:v>8.5781291213235278</c:v>
                </c:pt>
                <c:pt idx="14">
                  <c:v>8.7781291213235288</c:v>
                </c:pt>
              </c:numCache>
            </c:numRef>
          </c:val>
          <c:smooth val="0"/>
          <c:extLst>
            <c:ext xmlns:c16="http://schemas.microsoft.com/office/drawing/2014/chart" uri="{C3380CC4-5D6E-409C-BE32-E72D297353CC}">
              <c16:uniqueId val="{00000000-4E23-4065-B288-8907831B06CA}"/>
            </c:ext>
          </c:extLst>
        </c:ser>
        <c:ser>
          <c:idx val="0"/>
          <c:order val="1"/>
          <c:tx>
            <c:strRef>
              <c:f>Prices!$I$6</c:f>
              <c:strCache>
                <c:ptCount val="1"/>
                <c:pt idx="0">
                  <c:v>Irrigated Corn</c:v>
                </c:pt>
              </c:strCache>
            </c:strRef>
          </c:tx>
          <c:spPr>
            <a:ln>
              <a:solidFill>
                <a:srgbClr val="00B050"/>
              </a:solidFill>
            </a:ln>
          </c:spPr>
          <c:marker>
            <c:symbol val="circle"/>
            <c:size val="7"/>
            <c:spPr>
              <a:solidFill>
                <a:srgbClr val="92D050"/>
              </a:solidFill>
              <a:ln>
                <a:solidFill>
                  <a:srgbClr val="00B050"/>
                </a:solidFill>
              </a:ln>
            </c:spPr>
          </c:marker>
          <c:dLbls>
            <c:spPr>
              <a:solidFill>
                <a:srgbClr val="00B050">
                  <a:alpha val="5000"/>
                </a:srgbClr>
              </a:solidFill>
            </c:spPr>
            <c:txPr>
              <a:bodyPr rot="2700000" vert="horz"/>
              <a:lstStyle/>
              <a:p>
                <a:pPr algn="ctr">
                  <a:defRPr sz="1200" b="1"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Prices!$H$28:$H$42</c:f>
              <c:numCache>
                <c:formatCode>_("$"* #,##0_);_("$"* \(#,##0\);_("$"* "-"??_);_(@_)</c:formatCode>
                <c:ptCount val="15"/>
                <c:pt idx="0">
                  <c:v>442.5</c:v>
                </c:pt>
                <c:pt idx="1">
                  <c:v>452.5</c:v>
                </c:pt>
                <c:pt idx="2">
                  <c:v>462.5</c:v>
                </c:pt>
                <c:pt idx="3">
                  <c:v>472.5</c:v>
                </c:pt>
                <c:pt idx="4">
                  <c:v>482.5</c:v>
                </c:pt>
                <c:pt idx="5">
                  <c:v>492.5</c:v>
                </c:pt>
                <c:pt idx="6">
                  <c:v>502.5</c:v>
                </c:pt>
                <c:pt idx="7">
                  <c:v>512.5</c:v>
                </c:pt>
                <c:pt idx="8">
                  <c:v>522.5</c:v>
                </c:pt>
                <c:pt idx="9">
                  <c:v>532.5</c:v>
                </c:pt>
                <c:pt idx="10">
                  <c:v>542.5</c:v>
                </c:pt>
                <c:pt idx="11">
                  <c:v>552.5</c:v>
                </c:pt>
                <c:pt idx="12">
                  <c:v>562.5</c:v>
                </c:pt>
                <c:pt idx="13">
                  <c:v>572.5</c:v>
                </c:pt>
                <c:pt idx="14">
                  <c:v>582.5</c:v>
                </c:pt>
              </c:numCache>
            </c:numRef>
          </c:cat>
          <c:val>
            <c:numRef>
              <c:f>Prices!$I$49:$I$63</c:f>
              <c:numCache>
                <c:formatCode>_("$"* #,##0.00_);_("$"* \(#,##0.00\);_("$"* "-"??_);_(@_)</c:formatCode>
                <c:ptCount val="15"/>
                <c:pt idx="0">
                  <c:v>5.2015750000000001</c:v>
                </c:pt>
                <c:pt idx="1">
                  <c:v>5.3190750000000007</c:v>
                </c:pt>
                <c:pt idx="2">
                  <c:v>5.4365750000000004</c:v>
                </c:pt>
                <c:pt idx="3">
                  <c:v>5.5540750000000001</c:v>
                </c:pt>
                <c:pt idx="4">
                  <c:v>5.6715750000000007</c:v>
                </c:pt>
                <c:pt idx="5">
                  <c:v>5.7890750000000004</c:v>
                </c:pt>
                <c:pt idx="6">
                  <c:v>5.9065750000000001</c:v>
                </c:pt>
                <c:pt idx="7">
                  <c:v>6.0240749999999998</c:v>
                </c:pt>
                <c:pt idx="8">
                  <c:v>6.1415750000000005</c:v>
                </c:pt>
                <c:pt idx="9">
                  <c:v>6.2590750000000002</c:v>
                </c:pt>
                <c:pt idx="10">
                  <c:v>6.3765749999999999</c:v>
                </c:pt>
                <c:pt idx="11">
                  <c:v>6.4940750000000005</c:v>
                </c:pt>
                <c:pt idx="12">
                  <c:v>6.6115750000000002</c:v>
                </c:pt>
                <c:pt idx="13">
                  <c:v>6.7290749999999999</c:v>
                </c:pt>
                <c:pt idx="14">
                  <c:v>6.8465750000000005</c:v>
                </c:pt>
              </c:numCache>
            </c:numRef>
          </c:val>
          <c:smooth val="0"/>
          <c:extLst>
            <c:ext xmlns:c16="http://schemas.microsoft.com/office/drawing/2014/chart" uri="{C3380CC4-5D6E-409C-BE32-E72D297353CC}">
              <c16:uniqueId val="{00000001-4E23-4065-B288-8907831B06CA}"/>
            </c:ext>
          </c:extLst>
        </c:ser>
        <c:dLbls>
          <c:showLegendKey val="0"/>
          <c:showVal val="0"/>
          <c:showCatName val="0"/>
          <c:showSerName val="0"/>
          <c:showPercent val="0"/>
          <c:showBubbleSize val="0"/>
        </c:dLbls>
        <c:marker val="1"/>
        <c:smooth val="0"/>
        <c:axId val="-1810505088"/>
        <c:axId val="-1810501328"/>
      </c:lineChart>
      <c:catAx>
        <c:axId val="-1810505088"/>
        <c:scaling>
          <c:orientation val="minMax"/>
        </c:scaling>
        <c:delete val="0"/>
        <c:axPos val="b"/>
        <c:title>
          <c:tx>
            <c:rich>
              <a:bodyPr/>
              <a:lstStyle/>
              <a:p>
                <a:pPr>
                  <a:defRPr sz="1400" b="0" i="0" u="none" strike="noStrike" baseline="0">
                    <a:solidFill>
                      <a:srgbClr val="000000"/>
                    </a:solidFill>
                    <a:latin typeface="Calibri"/>
                    <a:ea typeface="Calibri"/>
                    <a:cs typeface="Calibri"/>
                  </a:defRPr>
                </a:pPr>
                <a:r>
                  <a:rPr lang="en-US"/>
                  <a:t>Peanut Price ($/ton)</a:t>
                </a:r>
              </a:p>
            </c:rich>
          </c:tx>
          <c:overlay val="0"/>
        </c:title>
        <c:numFmt formatCode="_(&quot;$&quot;* #,##0_);_(&quot;$&quot;* \(#,##0\);_(&quot;$&quot;* &quot;-&quot;??_);_(@_)" sourceLinked="1"/>
        <c:majorTickMark val="none"/>
        <c:minorTickMark val="none"/>
        <c:tickLblPos val="nextTo"/>
        <c:txPr>
          <a:bodyPr rot="-5400000" vert="horz"/>
          <a:lstStyle/>
          <a:p>
            <a:pPr>
              <a:defRPr sz="1200" b="0" i="0" u="none" strike="noStrike" baseline="0">
                <a:solidFill>
                  <a:srgbClr val="000000"/>
                </a:solidFill>
                <a:latin typeface="Calibri"/>
                <a:ea typeface="Calibri"/>
                <a:cs typeface="Calibri"/>
              </a:defRPr>
            </a:pPr>
            <a:endParaRPr lang="en-US"/>
          </a:p>
        </c:txPr>
        <c:crossAx val="-1810501328"/>
        <c:crosses val="autoZero"/>
        <c:auto val="1"/>
        <c:lblAlgn val="ctr"/>
        <c:lblOffset val="100"/>
        <c:noMultiLvlLbl val="0"/>
      </c:catAx>
      <c:valAx>
        <c:axId val="-1810501328"/>
        <c:scaling>
          <c:orientation val="minMax"/>
        </c:scaling>
        <c:delete val="0"/>
        <c:axPos val="l"/>
        <c:majorGridlines/>
        <c:title>
          <c:tx>
            <c:rich>
              <a:bodyPr/>
              <a:lstStyle/>
              <a:p>
                <a:pPr>
                  <a:defRPr sz="1400" b="0" i="0" u="none" strike="noStrike" baseline="0">
                    <a:solidFill>
                      <a:srgbClr val="000000"/>
                    </a:solidFill>
                    <a:latin typeface="Calibri"/>
                    <a:ea typeface="Calibri"/>
                    <a:cs typeface="Calibri"/>
                  </a:defRPr>
                </a:pPr>
                <a:r>
                  <a:rPr lang="en-US"/>
                  <a:t>Corn Price ($/bu)</a:t>
                </a:r>
              </a:p>
            </c:rich>
          </c:tx>
          <c:layout>
            <c:manualLayout>
              <c:xMode val="edge"/>
              <c:yMode val="edge"/>
              <c:x val="8.3467827391141405E-5"/>
              <c:y val="0.300243913476333"/>
            </c:manualLayout>
          </c:layout>
          <c:overlay val="0"/>
        </c:title>
        <c:numFmt formatCode="_(&quot;$&quot;* #,##0.00_);_(&quot;$&quot;* \(#,##0.00\);_(&quot;$&quot;* &quot;-&quot;??_);_(@_)"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1810505088"/>
        <c:crosses val="autoZero"/>
        <c:crossBetween val="between"/>
      </c:valAx>
    </c:plotArea>
    <c:legend>
      <c:legendPos val="r"/>
      <c:layout>
        <c:manualLayout>
          <c:xMode val="edge"/>
          <c:yMode val="edge"/>
          <c:x val="0.13816638137624099"/>
          <c:y val="0.69125780613630206"/>
          <c:w val="0.197700200518413"/>
          <c:h val="0.102313105258394"/>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CC99"/>
    </a:solidFill>
  </c:spPr>
  <c:txPr>
    <a:bodyPr/>
    <a:lstStyle/>
    <a:p>
      <a:pPr>
        <a:defRPr sz="12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horizontalDpi="300" verticalDpi="30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sz="1100"/>
              <a:t>Soybean Price Needed to Give Equal Returns Above Variable Costs to Peanuts at Budgeted Yields *</a:t>
            </a:r>
          </a:p>
        </c:rich>
      </c:tx>
      <c:overlay val="0"/>
    </c:title>
    <c:autoTitleDeleted val="0"/>
    <c:plotArea>
      <c:layout>
        <c:manualLayout>
          <c:layoutTarget val="inner"/>
          <c:xMode val="edge"/>
          <c:yMode val="edge"/>
          <c:x val="0.13366369744322501"/>
          <c:y val="9.7056084681031607E-2"/>
          <c:w val="0.80786312183950004"/>
          <c:h val="0.71248991719977495"/>
        </c:manualLayout>
      </c:layout>
      <c:lineChart>
        <c:grouping val="standard"/>
        <c:varyColors val="0"/>
        <c:ser>
          <c:idx val="1"/>
          <c:order val="0"/>
          <c:tx>
            <c:strRef>
              <c:f>Prices!$J$27</c:f>
              <c:strCache>
                <c:ptCount val="1"/>
                <c:pt idx="0">
                  <c:v>Non Irrigated Soybean</c:v>
                </c:pt>
              </c:strCache>
            </c:strRef>
          </c:tx>
          <c:spPr>
            <a:ln>
              <a:solidFill>
                <a:schemeClr val="accent6">
                  <a:lumMod val="75000"/>
                </a:schemeClr>
              </a:solidFill>
            </a:ln>
          </c:spPr>
          <c:marker>
            <c:symbol val="square"/>
            <c:size val="6"/>
            <c:spPr>
              <a:solidFill>
                <a:schemeClr val="accent6">
                  <a:lumMod val="60000"/>
                  <a:lumOff val="40000"/>
                </a:schemeClr>
              </a:solidFill>
              <a:ln>
                <a:solidFill>
                  <a:schemeClr val="accent6">
                    <a:lumMod val="50000"/>
                  </a:schemeClr>
                </a:solidFill>
              </a:ln>
            </c:spPr>
          </c:marker>
          <c:dLbls>
            <c:spPr>
              <a:solidFill>
                <a:srgbClr val="FFC000">
                  <a:alpha val="5000"/>
                </a:srgbClr>
              </a:solidFill>
            </c:spPr>
            <c:txPr>
              <a:bodyPr/>
              <a:lstStyle/>
              <a:p>
                <a:pPr>
                  <a:defRPr sz="12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Prices!$H$28:$H$42</c:f>
              <c:numCache>
                <c:formatCode>_("$"* #,##0_);_("$"* \(#,##0\);_("$"* "-"??_);_(@_)</c:formatCode>
                <c:ptCount val="15"/>
                <c:pt idx="0">
                  <c:v>442.5</c:v>
                </c:pt>
                <c:pt idx="1">
                  <c:v>452.5</c:v>
                </c:pt>
                <c:pt idx="2">
                  <c:v>462.5</c:v>
                </c:pt>
                <c:pt idx="3">
                  <c:v>472.5</c:v>
                </c:pt>
                <c:pt idx="4">
                  <c:v>482.5</c:v>
                </c:pt>
                <c:pt idx="5">
                  <c:v>492.5</c:v>
                </c:pt>
                <c:pt idx="6">
                  <c:v>502.5</c:v>
                </c:pt>
                <c:pt idx="7">
                  <c:v>512.5</c:v>
                </c:pt>
                <c:pt idx="8">
                  <c:v>522.5</c:v>
                </c:pt>
                <c:pt idx="9">
                  <c:v>532.5</c:v>
                </c:pt>
                <c:pt idx="10">
                  <c:v>542.5</c:v>
                </c:pt>
                <c:pt idx="11">
                  <c:v>552.5</c:v>
                </c:pt>
                <c:pt idx="12">
                  <c:v>562.5</c:v>
                </c:pt>
                <c:pt idx="13">
                  <c:v>572.5</c:v>
                </c:pt>
                <c:pt idx="14">
                  <c:v>582.5</c:v>
                </c:pt>
              </c:numCache>
            </c:numRef>
          </c:cat>
          <c:val>
            <c:numRef>
              <c:f>Prices!$J$70:$J$84</c:f>
              <c:numCache>
                <c:formatCode>_("$"* #,##0.00_);_("$"* \(#,##0.00\);_("$"* "-"??_);_(@_)</c:formatCode>
                <c:ptCount val="15"/>
                <c:pt idx="0">
                  <c:v>13.362182281249998</c:v>
                </c:pt>
                <c:pt idx="1">
                  <c:v>13.928848947916665</c:v>
                </c:pt>
                <c:pt idx="2">
                  <c:v>14.495515614583331</c:v>
                </c:pt>
                <c:pt idx="3">
                  <c:v>15.062182281249997</c:v>
                </c:pt>
                <c:pt idx="4">
                  <c:v>15.628848947916664</c:v>
                </c:pt>
                <c:pt idx="5">
                  <c:v>16.195515614583332</c:v>
                </c:pt>
                <c:pt idx="6">
                  <c:v>16.762182281249999</c:v>
                </c:pt>
                <c:pt idx="7">
                  <c:v>17.328848947916661</c:v>
                </c:pt>
                <c:pt idx="8">
                  <c:v>17.895515614583328</c:v>
                </c:pt>
                <c:pt idx="9">
                  <c:v>18.462182281249998</c:v>
                </c:pt>
                <c:pt idx="10">
                  <c:v>19.028848947916664</c:v>
                </c:pt>
                <c:pt idx="11">
                  <c:v>19.595515614583331</c:v>
                </c:pt>
                <c:pt idx="12">
                  <c:v>20.162182281249997</c:v>
                </c:pt>
                <c:pt idx="13">
                  <c:v>20.728848947916664</c:v>
                </c:pt>
                <c:pt idx="14">
                  <c:v>21.29551561458333</c:v>
                </c:pt>
              </c:numCache>
            </c:numRef>
          </c:val>
          <c:smooth val="0"/>
          <c:extLst>
            <c:ext xmlns:c16="http://schemas.microsoft.com/office/drawing/2014/chart" uri="{C3380CC4-5D6E-409C-BE32-E72D297353CC}">
              <c16:uniqueId val="{00000000-4A26-41BD-A571-9D65880AD818}"/>
            </c:ext>
          </c:extLst>
        </c:ser>
        <c:ser>
          <c:idx val="0"/>
          <c:order val="1"/>
          <c:tx>
            <c:strRef>
              <c:f>Prices!$J$6</c:f>
              <c:strCache>
                <c:ptCount val="1"/>
                <c:pt idx="0">
                  <c:v>Irrigated Soybean</c:v>
                </c:pt>
              </c:strCache>
            </c:strRef>
          </c:tx>
          <c:spPr>
            <a:ln>
              <a:solidFill>
                <a:schemeClr val="accent4">
                  <a:lumMod val="75000"/>
                </a:schemeClr>
              </a:solidFill>
            </a:ln>
          </c:spPr>
          <c:marker>
            <c:symbol val="circle"/>
            <c:size val="7"/>
            <c:spPr>
              <a:solidFill>
                <a:schemeClr val="accent4">
                  <a:lumMod val="60000"/>
                  <a:lumOff val="40000"/>
                </a:schemeClr>
              </a:solidFill>
              <a:ln>
                <a:solidFill>
                  <a:srgbClr val="7030A0"/>
                </a:solidFill>
              </a:ln>
            </c:spPr>
          </c:marker>
          <c:dLbls>
            <c:spPr>
              <a:solidFill>
                <a:schemeClr val="accent4">
                  <a:lumMod val="60000"/>
                  <a:lumOff val="40000"/>
                  <a:alpha val="5000"/>
                </a:schemeClr>
              </a:solidFill>
            </c:spPr>
            <c:txPr>
              <a:bodyPr rot="2700000" vert="horz"/>
              <a:lstStyle/>
              <a:p>
                <a:pPr algn="ctr">
                  <a:defRPr sz="1200" b="1"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Prices!$H$28:$H$42</c:f>
              <c:numCache>
                <c:formatCode>_("$"* #,##0_);_("$"* \(#,##0\);_("$"* "-"??_);_(@_)</c:formatCode>
                <c:ptCount val="15"/>
                <c:pt idx="0">
                  <c:v>442.5</c:v>
                </c:pt>
                <c:pt idx="1">
                  <c:v>452.5</c:v>
                </c:pt>
                <c:pt idx="2">
                  <c:v>462.5</c:v>
                </c:pt>
                <c:pt idx="3">
                  <c:v>472.5</c:v>
                </c:pt>
                <c:pt idx="4">
                  <c:v>482.5</c:v>
                </c:pt>
                <c:pt idx="5">
                  <c:v>492.5</c:v>
                </c:pt>
                <c:pt idx="6">
                  <c:v>502.5</c:v>
                </c:pt>
                <c:pt idx="7">
                  <c:v>512.5</c:v>
                </c:pt>
                <c:pt idx="8">
                  <c:v>522.5</c:v>
                </c:pt>
                <c:pt idx="9">
                  <c:v>532.5</c:v>
                </c:pt>
                <c:pt idx="10">
                  <c:v>542.5</c:v>
                </c:pt>
                <c:pt idx="11">
                  <c:v>552.5</c:v>
                </c:pt>
                <c:pt idx="12">
                  <c:v>562.5</c:v>
                </c:pt>
                <c:pt idx="13">
                  <c:v>572.5</c:v>
                </c:pt>
                <c:pt idx="14">
                  <c:v>582.5</c:v>
                </c:pt>
              </c:numCache>
            </c:numRef>
          </c:cat>
          <c:val>
            <c:numRef>
              <c:f>Prices!$J$49:$J$63</c:f>
              <c:numCache>
                <c:formatCode>_("$"* #,##0.00_);_("$"* \(#,##0.00\);_("$"* "-"??_);_(@_)</c:formatCode>
                <c:ptCount val="15"/>
                <c:pt idx="0">
                  <c:v>10.044292406250001</c:v>
                </c:pt>
                <c:pt idx="1">
                  <c:v>10.435959072916667</c:v>
                </c:pt>
                <c:pt idx="2">
                  <c:v>10.827625739583334</c:v>
                </c:pt>
                <c:pt idx="3">
                  <c:v>11.21929240625</c:v>
                </c:pt>
                <c:pt idx="4">
                  <c:v>11.610959072916668</c:v>
                </c:pt>
                <c:pt idx="5">
                  <c:v>12.002625739583333</c:v>
                </c:pt>
                <c:pt idx="6">
                  <c:v>12.394292406250001</c:v>
                </c:pt>
                <c:pt idx="7">
                  <c:v>12.785959072916667</c:v>
                </c:pt>
                <c:pt idx="8">
                  <c:v>13.177625739583334</c:v>
                </c:pt>
                <c:pt idx="9">
                  <c:v>13.569292406250002</c:v>
                </c:pt>
                <c:pt idx="10">
                  <c:v>13.960959072916667</c:v>
                </c:pt>
                <c:pt idx="11">
                  <c:v>14.352625739583335</c:v>
                </c:pt>
                <c:pt idx="12">
                  <c:v>14.74429240625</c:v>
                </c:pt>
                <c:pt idx="13">
                  <c:v>15.135959072916668</c:v>
                </c:pt>
                <c:pt idx="14">
                  <c:v>15.527625739583334</c:v>
                </c:pt>
              </c:numCache>
            </c:numRef>
          </c:val>
          <c:smooth val="0"/>
          <c:extLst>
            <c:ext xmlns:c16="http://schemas.microsoft.com/office/drawing/2014/chart" uri="{C3380CC4-5D6E-409C-BE32-E72D297353CC}">
              <c16:uniqueId val="{00000001-4A26-41BD-A571-9D65880AD818}"/>
            </c:ext>
          </c:extLst>
        </c:ser>
        <c:dLbls>
          <c:showLegendKey val="0"/>
          <c:showVal val="0"/>
          <c:showCatName val="0"/>
          <c:showSerName val="0"/>
          <c:showPercent val="0"/>
          <c:showBubbleSize val="0"/>
        </c:dLbls>
        <c:marker val="1"/>
        <c:smooth val="0"/>
        <c:axId val="-1810471168"/>
        <c:axId val="-1810467408"/>
      </c:lineChart>
      <c:catAx>
        <c:axId val="-1810471168"/>
        <c:scaling>
          <c:orientation val="minMax"/>
        </c:scaling>
        <c:delete val="0"/>
        <c:axPos val="b"/>
        <c:title>
          <c:tx>
            <c:rich>
              <a:bodyPr/>
              <a:lstStyle/>
              <a:p>
                <a:pPr>
                  <a:defRPr sz="1400" b="0" i="0" u="none" strike="noStrike" baseline="0">
                    <a:solidFill>
                      <a:srgbClr val="000000"/>
                    </a:solidFill>
                    <a:latin typeface="Calibri"/>
                    <a:ea typeface="Calibri"/>
                    <a:cs typeface="Calibri"/>
                  </a:defRPr>
                </a:pPr>
                <a:r>
                  <a:rPr lang="en-US"/>
                  <a:t>Peanut Price ($/ton)</a:t>
                </a:r>
              </a:p>
            </c:rich>
          </c:tx>
          <c:overlay val="0"/>
        </c:title>
        <c:numFmt formatCode="_(&quot;$&quot;* #,##0_);_(&quot;$&quot;* \(#,##0\);_(&quot;$&quot;* &quot;-&quot;??_);_(@_)" sourceLinked="1"/>
        <c:majorTickMark val="none"/>
        <c:minorTickMark val="none"/>
        <c:tickLblPos val="nextTo"/>
        <c:txPr>
          <a:bodyPr rot="-5400000" vert="horz"/>
          <a:lstStyle/>
          <a:p>
            <a:pPr>
              <a:defRPr sz="1200" b="0" i="0" u="none" strike="noStrike" baseline="0">
                <a:solidFill>
                  <a:srgbClr val="000000"/>
                </a:solidFill>
                <a:latin typeface="Calibri"/>
                <a:ea typeface="Calibri"/>
                <a:cs typeface="Calibri"/>
              </a:defRPr>
            </a:pPr>
            <a:endParaRPr lang="en-US"/>
          </a:p>
        </c:txPr>
        <c:crossAx val="-1810467408"/>
        <c:crosses val="autoZero"/>
        <c:auto val="1"/>
        <c:lblAlgn val="ctr"/>
        <c:lblOffset val="100"/>
        <c:noMultiLvlLbl val="0"/>
      </c:catAx>
      <c:valAx>
        <c:axId val="-1810467408"/>
        <c:scaling>
          <c:orientation val="minMax"/>
        </c:scaling>
        <c:delete val="0"/>
        <c:axPos val="l"/>
        <c:majorGridlines/>
        <c:title>
          <c:tx>
            <c:rich>
              <a:bodyPr/>
              <a:lstStyle/>
              <a:p>
                <a:pPr>
                  <a:defRPr sz="1400" b="0" i="0" u="none" strike="noStrike" baseline="0">
                    <a:solidFill>
                      <a:srgbClr val="000000"/>
                    </a:solidFill>
                    <a:latin typeface="Calibri"/>
                    <a:ea typeface="Calibri"/>
                    <a:cs typeface="Calibri"/>
                  </a:defRPr>
                </a:pPr>
                <a:r>
                  <a:rPr lang="en-US"/>
                  <a:t>Soybean Price ($/bu)</a:t>
                </a:r>
              </a:p>
            </c:rich>
          </c:tx>
          <c:layout>
            <c:manualLayout>
              <c:xMode val="edge"/>
              <c:yMode val="edge"/>
              <c:x val="8.3467827391141405E-5"/>
              <c:y val="0.30024380785378302"/>
            </c:manualLayout>
          </c:layout>
          <c:overlay val="0"/>
        </c:title>
        <c:numFmt formatCode="_(&quot;$&quot;* #,##0.00_);_(&quot;$&quot;* \(#,##0.00\);_(&quot;$&quot;* &quot;-&quot;??_);_(@_)"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1810471168"/>
        <c:crosses val="autoZero"/>
        <c:crossBetween val="between"/>
      </c:valAx>
    </c:plotArea>
    <c:legend>
      <c:legendPos val="r"/>
      <c:layout>
        <c:manualLayout>
          <c:xMode val="edge"/>
          <c:yMode val="edge"/>
          <c:x val="0.13636738885900099"/>
          <c:y val="0.69171851377250204"/>
          <c:w val="0.225049086255522"/>
          <c:h val="0.102313195861224"/>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CC99"/>
    </a:solidFill>
  </c:spPr>
  <c:txPr>
    <a:bodyPr/>
    <a:lstStyle/>
    <a:p>
      <a:pPr>
        <a:defRPr sz="12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horizontalDpi="300" verticalDpi="300"/>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Cotton Price Needed to Give Equal Returns Above Variable Costs to Corn at Budgeted Yields *</a:t>
            </a:r>
          </a:p>
        </c:rich>
      </c:tx>
      <c:overlay val="0"/>
    </c:title>
    <c:autoTitleDeleted val="0"/>
    <c:plotArea>
      <c:layout>
        <c:manualLayout>
          <c:layoutTarget val="inner"/>
          <c:xMode val="edge"/>
          <c:yMode val="edge"/>
          <c:x val="0.13366369744322501"/>
          <c:y val="9.7056084681031607E-2"/>
          <c:w val="0.80786312183950004"/>
          <c:h val="0.71248991719977495"/>
        </c:manualLayout>
      </c:layout>
      <c:lineChart>
        <c:grouping val="standard"/>
        <c:varyColors val="0"/>
        <c:ser>
          <c:idx val="0"/>
          <c:order val="0"/>
          <c:tx>
            <c:strRef>
              <c:f>Prices!$L$6</c:f>
              <c:strCache>
                <c:ptCount val="1"/>
                <c:pt idx="0">
                  <c:v>Irrigated Cotton</c:v>
                </c:pt>
              </c:strCache>
            </c:strRef>
          </c:tx>
          <c:marker>
            <c:symbol val="circle"/>
            <c:size val="7"/>
          </c:marker>
          <c:dLbls>
            <c:spPr>
              <a:solidFill>
                <a:schemeClr val="tx2">
                  <a:lumMod val="60000"/>
                  <a:lumOff val="40000"/>
                  <a:alpha val="5000"/>
                </a:schemeClr>
              </a:solidFill>
            </c:spPr>
            <c:txPr>
              <a:bodyPr/>
              <a:lstStyle/>
              <a:p>
                <a:pPr>
                  <a:defRPr sz="1200" b="1"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Prices!$N$28:$N$42</c:f>
              <c:numCache>
                <c:formatCode>_("$"* #,##0.00_);_("$"* \(#,##0.00\);_("$"* "-"??_);_(@_)</c:formatCode>
                <c:ptCount val="15"/>
                <c:pt idx="0">
                  <c:v>4.3499999999999979</c:v>
                </c:pt>
                <c:pt idx="1">
                  <c:v>4.4999999999999982</c:v>
                </c:pt>
                <c:pt idx="2">
                  <c:v>4.6499999999999986</c:v>
                </c:pt>
                <c:pt idx="3">
                  <c:v>4.7999999999999989</c:v>
                </c:pt>
                <c:pt idx="4">
                  <c:v>4.9499999999999993</c:v>
                </c:pt>
                <c:pt idx="5">
                  <c:v>5.0999999999999996</c:v>
                </c:pt>
                <c:pt idx="6">
                  <c:v>5.25</c:v>
                </c:pt>
                <c:pt idx="7">
                  <c:v>5.4</c:v>
                </c:pt>
                <c:pt idx="8">
                  <c:v>5.5500000000000007</c:v>
                </c:pt>
                <c:pt idx="9">
                  <c:v>5.7000000000000011</c:v>
                </c:pt>
                <c:pt idx="10">
                  <c:v>5.8500000000000014</c:v>
                </c:pt>
                <c:pt idx="11">
                  <c:v>6.0000000000000018</c:v>
                </c:pt>
                <c:pt idx="12">
                  <c:v>6.1500000000000021</c:v>
                </c:pt>
                <c:pt idx="13">
                  <c:v>6.3000000000000025</c:v>
                </c:pt>
                <c:pt idx="14">
                  <c:v>6.4500000000000028</c:v>
                </c:pt>
              </c:numCache>
            </c:numRef>
          </c:cat>
          <c:val>
            <c:numRef>
              <c:f>Prices!$L$49:$L$63</c:f>
              <c:numCache>
                <c:formatCode>_("$"* #,##0.00_);_("$"* \(#,##0.00\);_("$"* "-"??_);_(@_)</c:formatCode>
                <c:ptCount val="15"/>
                <c:pt idx="0">
                  <c:v>0.68891666335227242</c:v>
                </c:pt>
                <c:pt idx="1">
                  <c:v>0.71391666335227255</c:v>
                </c:pt>
                <c:pt idx="2">
                  <c:v>0.73891666335227268</c:v>
                </c:pt>
                <c:pt idx="3">
                  <c:v>0.76391666335227271</c:v>
                </c:pt>
                <c:pt idx="4">
                  <c:v>0.78891666335227273</c:v>
                </c:pt>
                <c:pt idx="5">
                  <c:v>0.81391666335227275</c:v>
                </c:pt>
                <c:pt idx="6">
                  <c:v>0.83891666335227288</c:v>
                </c:pt>
                <c:pt idx="7">
                  <c:v>0.8639166633522728</c:v>
                </c:pt>
                <c:pt idx="8">
                  <c:v>0.88891666335227304</c:v>
                </c:pt>
                <c:pt idx="9">
                  <c:v>0.91391666335227306</c:v>
                </c:pt>
                <c:pt idx="10">
                  <c:v>0.93891666335227308</c:v>
                </c:pt>
                <c:pt idx="11">
                  <c:v>0.96391666335227322</c:v>
                </c:pt>
                <c:pt idx="12">
                  <c:v>0.98891666335227324</c:v>
                </c:pt>
                <c:pt idx="13">
                  <c:v>1.0139166633522732</c:v>
                </c:pt>
                <c:pt idx="14">
                  <c:v>1.0389166633522733</c:v>
                </c:pt>
              </c:numCache>
            </c:numRef>
          </c:val>
          <c:smooth val="0"/>
          <c:extLst>
            <c:ext xmlns:c16="http://schemas.microsoft.com/office/drawing/2014/chart" uri="{C3380CC4-5D6E-409C-BE32-E72D297353CC}">
              <c16:uniqueId val="{00000000-1492-47AE-B8FA-586CF226BD86}"/>
            </c:ext>
          </c:extLst>
        </c:ser>
        <c:ser>
          <c:idx val="1"/>
          <c:order val="1"/>
          <c:tx>
            <c:strRef>
              <c:f>Prices!$L$27</c:f>
              <c:strCache>
                <c:ptCount val="1"/>
                <c:pt idx="0">
                  <c:v>Non Irrigated Cotton</c:v>
                </c:pt>
              </c:strCache>
            </c:strRef>
          </c:tx>
          <c:marker>
            <c:symbol val="square"/>
            <c:size val="6"/>
          </c:marker>
          <c:dLbls>
            <c:spPr>
              <a:solidFill>
                <a:schemeClr val="accent2">
                  <a:lumMod val="60000"/>
                  <a:lumOff val="40000"/>
                  <a:alpha val="5000"/>
                </a:schemeClr>
              </a:solidFill>
            </c:spPr>
            <c:txPr>
              <a:bodyPr rot="2700000" vert="horz"/>
              <a:lstStyle/>
              <a:p>
                <a:pPr algn="ctr">
                  <a:defRPr sz="12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Prices!$N$28:$N$42</c:f>
              <c:numCache>
                <c:formatCode>_("$"* #,##0.00_);_("$"* \(#,##0.00\);_("$"* "-"??_);_(@_)</c:formatCode>
                <c:ptCount val="15"/>
                <c:pt idx="0">
                  <c:v>4.3499999999999979</c:v>
                </c:pt>
                <c:pt idx="1">
                  <c:v>4.4999999999999982</c:v>
                </c:pt>
                <c:pt idx="2">
                  <c:v>4.6499999999999986</c:v>
                </c:pt>
                <c:pt idx="3">
                  <c:v>4.7999999999999989</c:v>
                </c:pt>
                <c:pt idx="4">
                  <c:v>4.9499999999999993</c:v>
                </c:pt>
                <c:pt idx="5">
                  <c:v>5.0999999999999996</c:v>
                </c:pt>
                <c:pt idx="6">
                  <c:v>5.25</c:v>
                </c:pt>
                <c:pt idx="7">
                  <c:v>5.4</c:v>
                </c:pt>
                <c:pt idx="8">
                  <c:v>5.5500000000000007</c:v>
                </c:pt>
                <c:pt idx="9">
                  <c:v>5.7000000000000011</c:v>
                </c:pt>
                <c:pt idx="10">
                  <c:v>5.8500000000000014</c:v>
                </c:pt>
                <c:pt idx="11">
                  <c:v>6.0000000000000018</c:v>
                </c:pt>
                <c:pt idx="12">
                  <c:v>6.1500000000000021</c:v>
                </c:pt>
                <c:pt idx="13">
                  <c:v>6.3000000000000025</c:v>
                </c:pt>
                <c:pt idx="14">
                  <c:v>6.4500000000000028</c:v>
                </c:pt>
              </c:numCache>
            </c:numRef>
          </c:cat>
          <c:val>
            <c:numRef>
              <c:f>Prices!$L$70:$L$84</c:f>
              <c:numCache>
                <c:formatCode>_("$"* #,##0.00_);_("$"* \(#,##0.00\);_("$"* "-"??_);_(@_)</c:formatCode>
                <c:ptCount val="15"/>
                <c:pt idx="0">
                  <c:v>0.78237077439393932</c:v>
                </c:pt>
                <c:pt idx="1">
                  <c:v>0.79937077439393922</c:v>
                </c:pt>
                <c:pt idx="2">
                  <c:v>0.81637077439393946</c:v>
                </c:pt>
                <c:pt idx="3">
                  <c:v>0.83337077439393947</c:v>
                </c:pt>
                <c:pt idx="4">
                  <c:v>0.85037077439393938</c:v>
                </c:pt>
                <c:pt idx="5">
                  <c:v>0.86737077439393939</c:v>
                </c:pt>
                <c:pt idx="6">
                  <c:v>0.88437077439393941</c:v>
                </c:pt>
                <c:pt idx="7">
                  <c:v>0.90137077439393953</c:v>
                </c:pt>
                <c:pt idx="8">
                  <c:v>0.91837077439393955</c:v>
                </c:pt>
                <c:pt idx="9">
                  <c:v>0.93537077439393979</c:v>
                </c:pt>
                <c:pt idx="10">
                  <c:v>0.95237077439393969</c:v>
                </c:pt>
                <c:pt idx="11">
                  <c:v>0.9693707743939397</c:v>
                </c:pt>
                <c:pt idx="12">
                  <c:v>0.98637077439393972</c:v>
                </c:pt>
                <c:pt idx="13">
                  <c:v>1.0033707743939397</c:v>
                </c:pt>
                <c:pt idx="14">
                  <c:v>1.0203707743939396</c:v>
                </c:pt>
              </c:numCache>
            </c:numRef>
          </c:val>
          <c:smooth val="0"/>
          <c:extLst>
            <c:ext xmlns:c16="http://schemas.microsoft.com/office/drawing/2014/chart" uri="{C3380CC4-5D6E-409C-BE32-E72D297353CC}">
              <c16:uniqueId val="{00000001-1492-47AE-B8FA-586CF226BD86}"/>
            </c:ext>
          </c:extLst>
        </c:ser>
        <c:dLbls>
          <c:showLegendKey val="0"/>
          <c:showVal val="0"/>
          <c:showCatName val="0"/>
          <c:showSerName val="0"/>
          <c:showPercent val="0"/>
          <c:showBubbleSize val="0"/>
        </c:dLbls>
        <c:marker val="1"/>
        <c:smooth val="0"/>
        <c:axId val="-1811215424"/>
        <c:axId val="-1811211664"/>
      </c:lineChart>
      <c:catAx>
        <c:axId val="-1811215424"/>
        <c:scaling>
          <c:orientation val="minMax"/>
        </c:scaling>
        <c:delete val="0"/>
        <c:axPos val="b"/>
        <c:title>
          <c:tx>
            <c:rich>
              <a:bodyPr/>
              <a:lstStyle/>
              <a:p>
                <a:pPr>
                  <a:defRPr sz="1400" b="0" i="0" u="none" strike="noStrike" baseline="0">
                    <a:solidFill>
                      <a:srgbClr val="000000"/>
                    </a:solidFill>
                    <a:latin typeface="Calibri"/>
                    <a:ea typeface="Calibri"/>
                    <a:cs typeface="Calibri"/>
                  </a:defRPr>
                </a:pPr>
                <a:r>
                  <a:rPr lang="en-US"/>
                  <a:t>Corn Price ($/bu)</a:t>
                </a:r>
              </a:p>
            </c:rich>
          </c:tx>
          <c:overlay val="0"/>
        </c:title>
        <c:numFmt formatCode="_(&quot;$&quot;* #,##0.00_);_(&quot;$&quot;* \(#,##0.00\);_(&quot;$&quot;* &quot;-&quot;??_);_(@_)" sourceLinked="1"/>
        <c:majorTickMark val="none"/>
        <c:minorTickMark val="none"/>
        <c:tickLblPos val="nextTo"/>
        <c:txPr>
          <a:bodyPr rot="-5400000" vert="horz"/>
          <a:lstStyle/>
          <a:p>
            <a:pPr>
              <a:defRPr sz="1200" b="0" i="0" u="none" strike="noStrike" baseline="0">
                <a:solidFill>
                  <a:srgbClr val="000000"/>
                </a:solidFill>
                <a:latin typeface="Calibri"/>
                <a:ea typeface="Calibri"/>
                <a:cs typeface="Calibri"/>
              </a:defRPr>
            </a:pPr>
            <a:endParaRPr lang="en-US"/>
          </a:p>
        </c:txPr>
        <c:crossAx val="-1811211664"/>
        <c:crosses val="autoZero"/>
        <c:auto val="1"/>
        <c:lblAlgn val="ctr"/>
        <c:lblOffset val="100"/>
        <c:noMultiLvlLbl val="0"/>
      </c:catAx>
      <c:valAx>
        <c:axId val="-1811211664"/>
        <c:scaling>
          <c:orientation val="minMax"/>
        </c:scaling>
        <c:delete val="0"/>
        <c:axPos val="l"/>
        <c:majorGridlines/>
        <c:title>
          <c:tx>
            <c:rich>
              <a:bodyPr/>
              <a:lstStyle/>
              <a:p>
                <a:pPr>
                  <a:defRPr sz="1400" b="0" i="0" u="none" strike="noStrike" baseline="0">
                    <a:solidFill>
                      <a:srgbClr val="000000"/>
                    </a:solidFill>
                    <a:latin typeface="Calibri"/>
                    <a:ea typeface="Calibri"/>
                    <a:cs typeface="Calibri"/>
                  </a:defRPr>
                </a:pPr>
                <a:r>
                  <a:rPr lang="en-US"/>
                  <a:t>Cotton Price ($/lb)</a:t>
                </a:r>
              </a:p>
            </c:rich>
          </c:tx>
          <c:layout>
            <c:manualLayout>
              <c:xMode val="edge"/>
              <c:yMode val="edge"/>
              <c:x val="8.3467827391141405E-5"/>
              <c:y val="0.30024388742452002"/>
            </c:manualLayout>
          </c:layout>
          <c:overlay val="0"/>
        </c:title>
        <c:numFmt formatCode="_(&quot;$&quot;* #,##0.00_);_(&quot;$&quot;* \(#,##0.00\);_(&quot;$&quot;* &quot;-&quot;??_);_(@_)"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1811215424"/>
        <c:crosses val="autoZero"/>
        <c:crossBetween val="between"/>
      </c:valAx>
    </c:plotArea>
    <c:legend>
      <c:legendPos val="r"/>
      <c:layout>
        <c:manualLayout>
          <c:xMode val="edge"/>
          <c:yMode val="edge"/>
          <c:x val="0.13811890904941199"/>
          <c:y val="0.69742647840661698"/>
          <c:w val="0.239527885101319"/>
          <c:h val="0.10231318100162901"/>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99"/>
    </a:solidFill>
  </c:spPr>
  <c:txPr>
    <a:bodyPr/>
    <a:lstStyle/>
    <a:p>
      <a:pPr>
        <a:defRPr sz="12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Corn Price Needed to Give Equal Returns Above Variable Costs to Cotton at Budgeted Yields *
</a:t>
            </a:r>
          </a:p>
        </c:rich>
      </c:tx>
      <c:overlay val="0"/>
    </c:title>
    <c:autoTitleDeleted val="0"/>
    <c:plotArea>
      <c:layout>
        <c:manualLayout>
          <c:layoutTarget val="inner"/>
          <c:xMode val="edge"/>
          <c:yMode val="edge"/>
          <c:x val="0.13366369744322501"/>
          <c:y val="9.7056084681031607E-2"/>
          <c:w val="0.80786312183950004"/>
          <c:h val="0.71248991719977495"/>
        </c:manualLayout>
      </c:layout>
      <c:lineChart>
        <c:grouping val="standard"/>
        <c:varyColors val="0"/>
        <c:ser>
          <c:idx val="1"/>
          <c:order val="0"/>
          <c:tx>
            <c:strRef>
              <c:f>Prices!$D$27</c:f>
              <c:strCache>
                <c:ptCount val="1"/>
                <c:pt idx="0">
                  <c:v>Non Irrigated Corn</c:v>
                </c:pt>
              </c:strCache>
            </c:strRef>
          </c:tx>
          <c:spPr>
            <a:ln>
              <a:solidFill>
                <a:srgbClr val="C00000"/>
              </a:solidFill>
            </a:ln>
          </c:spPr>
          <c:marker>
            <c:symbol val="square"/>
            <c:size val="6"/>
            <c:spPr>
              <a:solidFill>
                <a:schemeClr val="accent2"/>
              </a:solidFill>
              <a:ln>
                <a:solidFill>
                  <a:srgbClr val="FF0000"/>
                </a:solidFill>
              </a:ln>
            </c:spPr>
          </c:marker>
          <c:dLbls>
            <c:spPr>
              <a:solidFill>
                <a:schemeClr val="accent6">
                  <a:lumMod val="75000"/>
                  <a:alpha val="5000"/>
                </a:schemeClr>
              </a:solidFill>
            </c:spPr>
            <c:txPr>
              <a:bodyPr/>
              <a:lstStyle/>
              <a:p>
                <a:pPr>
                  <a:defRPr sz="1200" b="1"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Prices!$B$28:$B$42</c:f>
              <c:numCache>
                <c:formatCode>_("$"* #,##0.00_);_("$"* \(#,##0.00\);_("$"* "-"??_);_(@_)</c:formatCode>
                <c:ptCount val="15"/>
                <c:pt idx="0">
                  <c:v>0.58499999999999985</c:v>
                </c:pt>
                <c:pt idx="1">
                  <c:v>0.60999999999999988</c:v>
                </c:pt>
                <c:pt idx="2">
                  <c:v>0.6349999999999999</c:v>
                </c:pt>
                <c:pt idx="3">
                  <c:v>0.65999999999999992</c:v>
                </c:pt>
                <c:pt idx="4">
                  <c:v>0.68499999999999994</c:v>
                </c:pt>
                <c:pt idx="5">
                  <c:v>0.71</c:v>
                </c:pt>
                <c:pt idx="6">
                  <c:v>0.73499999999999999</c:v>
                </c:pt>
                <c:pt idx="7">
                  <c:v>0.76</c:v>
                </c:pt>
                <c:pt idx="8">
                  <c:v>0.78500000000000003</c:v>
                </c:pt>
                <c:pt idx="9">
                  <c:v>0.81</c:v>
                </c:pt>
                <c:pt idx="10">
                  <c:v>0.83500000000000008</c:v>
                </c:pt>
                <c:pt idx="11">
                  <c:v>0.8600000000000001</c:v>
                </c:pt>
                <c:pt idx="12">
                  <c:v>0.88500000000000012</c:v>
                </c:pt>
                <c:pt idx="13">
                  <c:v>0.91000000000000014</c:v>
                </c:pt>
                <c:pt idx="14">
                  <c:v>0.93500000000000016</c:v>
                </c:pt>
              </c:numCache>
            </c:numRef>
          </c:cat>
          <c:val>
            <c:numRef>
              <c:f>Prices!$D$28:$D$42</c:f>
              <c:numCache>
                <c:formatCode>_("$"* #,##0.00_);_("$"* \(#,##0.00\);_("$"* "-"??_);_(@_)</c:formatCode>
                <c:ptCount val="15"/>
                <c:pt idx="0">
                  <c:v>3.0991170641711197</c:v>
                </c:pt>
                <c:pt idx="1">
                  <c:v>3.3197052994652374</c:v>
                </c:pt>
                <c:pt idx="2">
                  <c:v>3.5402935347593556</c:v>
                </c:pt>
                <c:pt idx="3">
                  <c:v>3.7608817700534733</c:v>
                </c:pt>
                <c:pt idx="4">
                  <c:v>3.9814700053475915</c:v>
                </c:pt>
                <c:pt idx="5">
                  <c:v>4.2020582406417093</c:v>
                </c:pt>
                <c:pt idx="6">
                  <c:v>4.422646475935827</c:v>
                </c:pt>
                <c:pt idx="7">
                  <c:v>4.6432347112299448</c:v>
                </c:pt>
                <c:pt idx="8">
                  <c:v>4.8638229465240626</c:v>
                </c:pt>
                <c:pt idx="9">
                  <c:v>5.0844111818181803</c:v>
                </c:pt>
                <c:pt idx="10">
                  <c:v>5.3049994171122972</c:v>
                </c:pt>
                <c:pt idx="11">
                  <c:v>5.5255876524064167</c:v>
                </c:pt>
                <c:pt idx="12">
                  <c:v>5.7461758877005344</c:v>
                </c:pt>
                <c:pt idx="13">
                  <c:v>5.9667641229946522</c:v>
                </c:pt>
                <c:pt idx="14">
                  <c:v>6.1873523582887699</c:v>
                </c:pt>
              </c:numCache>
            </c:numRef>
          </c:val>
          <c:smooth val="0"/>
          <c:extLst>
            <c:ext xmlns:c16="http://schemas.microsoft.com/office/drawing/2014/chart" uri="{C3380CC4-5D6E-409C-BE32-E72D297353CC}">
              <c16:uniqueId val="{00000000-3FA3-4C9F-B846-62067A6B4287}"/>
            </c:ext>
          </c:extLst>
        </c:ser>
        <c:ser>
          <c:idx val="0"/>
          <c:order val="1"/>
          <c:tx>
            <c:strRef>
              <c:f>Prices!$D$6</c:f>
              <c:strCache>
                <c:ptCount val="1"/>
                <c:pt idx="0">
                  <c:v>Irrigated Corn</c:v>
                </c:pt>
              </c:strCache>
            </c:strRef>
          </c:tx>
          <c:spPr>
            <a:ln>
              <a:solidFill>
                <a:srgbClr val="00B050"/>
              </a:solidFill>
            </a:ln>
          </c:spPr>
          <c:marker>
            <c:symbol val="circle"/>
            <c:size val="7"/>
            <c:spPr>
              <a:solidFill>
                <a:srgbClr val="92D050"/>
              </a:solidFill>
              <a:ln>
                <a:solidFill>
                  <a:srgbClr val="00B050"/>
                </a:solidFill>
              </a:ln>
            </c:spPr>
          </c:marker>
          <c:dLbls>
            <c:spPr>
              <a:solidFill>
                <a:srgbClr val="00B050">
                  <a:alpha val="5000"/>
                </a:srgbClr>
              </a:solidFill>
            </c:spPr>
            <c:txPr>
              <a:bodyPr rot="2700000" vert="horz"/>
              <a:lstStyle/>
              <a:p>
                <a:pPr algn="ctr">
                  <a:defRPr sz="12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Prices!$B$28:$B$42</c:f>
              <c:numCache>
                <c:formatCode>_("$"* #,##0.00_);_("$"* \(#,##0.00\);_("$"* "-"??_);_(@_)</c:formatCode>
                <c:ptCount val="15"/>
                <c:pt idx="0">
                  <c:v>0.58499999999999985</c:v>
                </c:pt>
                <c:pt idx="1">
                  <c:v>0.60999999999999988</c:v>
                </c:pt>
                <c:pt idx="2">
                  <c:v>0.6349999999999999</c:v>
                </c:pt>
                <c:pt idx="3">
                  <c:v>0.65999999999999992</c:v>
                </c:pt>
                <c:pt idx="4">
                  <c:v>0.68499999999999994</c:v>
                </c:pt>
                <c:pt idx="5">
                  <c:v>0.71</c:v>
                </c:pt>
                <c:pt idx="6">
                  <c:v>0.73499999999999999</c:v>
                </c:pt>
                <c:pt idx="7">
                  <c:v>0.76</c:v>
                </c:pt>
                <c:pt idx="8">
                  <c:v>0.78500000000000003</c:v>
                </c:pt>
                <c:pt idx="9">
                  <c:v>0.81</c:v>
                </c:pt>
                <c:pt idx="10">
                  <c:v>0.83500000000000008</c:v>
                </c:pt>
                <c:pt idx="11">
                  <c:v>0.8600000000000001</c:v>
                </c:pt>
                <c:pt idx="12">
                  <c:v>0.88500000000000012</c:v>
                </c:pt>
                <c:pt idx="13">
                  <c:v>0.91000000000000014</c:v>
                </c:pt>
                <c:pt idx="14">
                  <c:v>0.93500000000000016</c:v>
                </c:pt>
              </c:numCache>
            </c:numRef>
          </c:cat>
          <c:val>
            <c:numRef>
              <c:f>Prices!$D$7:$D$21</c:f>
              <c:numCache>
                <c:formatCode>_("$"* #,##0.00_);_("$"* \(#,##0.00\);_("$"* "-"??_);_(@_)</c:formatCode>
                <c:ptCount val="15"/>
                <c:pt idx="0">
                  <c:v>3.9193067386363629</c:v>
                </c:pt>
                <c:pt idx="1">
                  <c:v>4.0693067386363637</c:v>
                </c:pt>
                <c:pt idx="2">
                  <c:v>4.2193067386363632</c:v>
                </c:pt>
                <c:pt idx="3">
                  <c:v>4.3693067386363635</c:v>
                </c:pt>
                <c:pt idx="4">
                  <c:v>4.519306738636363</c:v>
                </c:pt>
                <c:pt idx="5">
                  <c:v>4.6693067386363643</c:v>
                </c:pt>
                <c:pt idx="6">
                  <c:v>4.8193067386363637</c:v>
                </c:pt>
                <c:pt idx="7">
                  <c:v>4.9693067386363641</c:v>
                </c:pt>
                <c:pt idx="8">
                  <c:v>5.1193067386363644</c:v>
                </c:pt>
                <c:pt idx="9">
                  <c:v>5.2693067386363648</c:v>
                </c:pt>
                <c:pt idx="10">
                  <c:v>5.4193067386363643</c:v>
                </c:pt>
                <c:pt idx="11">
                  <c:v>5.5693067386363646</c:v>
                </c:pt>
                <c:pt idx="12">
                  <c:v>5.719306738636365</c:v>
                </c:pt>
                <c:pt idx="13">
                  <c:v>5.8693067386363644</c:v>
                </c:pt>
                <c:pt idx="14">
                  <c:v>6.0193067386363648</c:v>
                </c:pt>
              </c:numCache>
            </c:numRef>
          </c:val>
          <c:smooth val="0"/>
          <c:extLst>
            <c:ext xmlns:c16="http://schemas.microsoft.com/office/drawing/2014/chart" uri="{C3380CC4-5D6E-409C-BE32-E72D297353CC}">
              <c16:uniqueId val="{00000001-3FA3-4C9F-B846-62067A6B4287}"/>
            </c:ext>
          </c:extLst>
        </c:ser>
        <c:dLbls>
          <c:showLegendKey val="0"/>
          <c:showVal val="0"/>
          <c:showCatName val="0"/>
          <c:showSerName val="0"/>
          <c:showPercent val="0"/>
          <c:showBubbleSize val="0"/>
        </c:dLbls>
        <c:marker val="1"/>
        <c:smooth val="0"/>
        <c:axId val="-1811355680"/>
        <c:axId val="-1811351920"/>
      </c:lineChart>
      <c:catAx>
        <c:axId val="-1811355680"/>
        <c:scaling>
          <c:orientation val="minMax"/>
        </c:scaling>
        <c:delete val="0"/>
        <c:axPos val="b"/>
        <c:title>
          <c:tx>
            <c:rich>
              <a:bodyPr/>
              <a:lstStyle/>
              <a:p>
                <a:pPr>
                  <a:defRPr sz="1400" b="0" i="0" u="none" strike="noStrike" baseline="0">
                    <a:solidFill>
                      <a:srgbClr val="000000"/>
                    </a:solidFill>
                    <a:latin typeface="Calibri"/>
                    <a:ea typeface="Calibri"/>
                    <a:cs typeface="Calibri"/>
                  </a:defRPr>
                </a:pPr>
                <a:r>
                  <a:rPr lang="en-US"/>
                  <a:t>Cotton Price ($/lb)</a:t>
                </a:r>
              </a:p>
            </c:rich>
          </c:tx>
          <c:layout>
            <c:manualLayout>
              <c:xMode val="edge"/>
              <c:yMode val="edge"/>
              <c:x val="0.44852271726903697"/>
              <c:y val="0.932920804599639"/>
            </c:manualLayout>
          </c:layout>
          <c:overlay val="0"/>
        </c:title>
        <c:numFmt formatCode="_(&quot;$&quot;* #,##0.00_);_(&quot;$&quot;* \(#,##0.00\);_(&quot;$&quot;* &quot;-&quot;??_);_(@_)" sourceLinked="1"/>
        <c:majorTickMark val="none"/>
        <c:minorTickMark val="none"/>
        <c:tickLblPos val="nextTo"/>
        <c:txPr>
          <a:bodyPr rot="-5400000" vert="horz"/>
          <a:lstStyle/>
          <a:p>
            <a:pPr>
              <a:defRPr sz="1200" b="0" i="0" u="none" strike="noStrike" baseline="0">
                <a:solidFill>
                  <a:srgbClr val="000000"/>
                </a:solidFill>
                <a:latin typeface="Calibri"/>
                <a:ea typeface="Calibri"/>
                <a:cs typeface="Calibri"/>
              </a:defRPr>
            </a:pPr>
            <a:endParaRPr lang="en-US"/>
          </a:p>
        </c:txPr>
        <c:crossAx val="-1811351920"/>
        <c:crosses val="autoZero"/>
        <c:auto val="1"/>
        <c:lblAlgn val="ctr"/>
        <c:lblOffset val="100"/>
        <c:noMultiLvlLbl val="0"/>
      </c:catAx>
      <c:valAx>
        <c:axId val="-1811351920"/>
        <c:scaling>
          <c:orientation val="minMax"/>
        </c:scaling>
        <c:delete val="0"/>
        <c:axPos val="l"/>
        <c:majorGridlines/>
        <c:title>
          <c:tx>
            <c:rich>
              <a:bodyPr/>
              <a:lstStyle/>
              <a:p>
                <a:pPr>
                  <a:defRPr sz="1400" b="0" i="0" u="none" strike="noStrike" baseline="0">
                    <a:solidFill>
                      <a:srgbClr val="000000"/>
                    </a:solidFill>
                    <a:latin typeface="Calibri"/>
                    <a:ea typeface="Calibri"/>
                    <a:cs typeface="Calibri"/>
                  </a:defRPr>
                </a:pPr>
                <a:r>
                  <a:rPr lang="en-US"/>
                  <a:t>Corn Price ($/bu)</a:t>
                </a:r>
              </a:p>
            </c:rich>
          </c:tx>
          <c:layout>
            <c:manualLayout>
              <c:xMode val="edge"/>
              <c:yMode val="edge"/>
              <c:x val="8.3467827391141405E-5"/>
              <c:y val="0.30024380785378302"/>
            </c:manualLayout>
          </c:layout>
          <c:overlay val="0"/>
        </c:title>
        <c:numFmt formatCode="_(&quot;$&quot;* #,##0.00_);_(&quot;$&quot;* \(#,##0.00\);_(&quot;$&quot;* &quot;-&quot;??_);_(@_)"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1811355680"/>
        <c:crosses val="autoZero"/>
        <c:crossBetween val="between"/>
      </c:valAx>
    </c:plotArea>
    <c:legend>
      <c:legendPos val="r"/>
      <c:layout>
        <c:manualLayout>
          <c:xMode val="edge"/>
          <c:yMode val="edge"/>
          <c:x val="0.13811890904941199"/>
          <c:y val="0.71949170165292498"/>
          <c:w val="0.199308912472897"/>
          <c:h val="8.5449650699444199E-2"/>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EF4CE"/>
    </a:solidFill>
  </c:spPr>
  <c:txPr>
    <a:bodyPr/>
    <a:lstStyle/>
    <a:p>
      <a:pPr>
        <a:defRPr sz="12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horizontalDpi="300"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Peanut Price Needed to Give Equal Returns Above Variable Costs to Corn at Budgeted Yields *</a:t>
            </a:r>
          </a:p>
        </c:rich>
      </c:tx>
      <c:overlay val="0"/>
    </c:title>
    <c:autoTitleDeleted val="0"/>
    <c:plotArea>
      <c:layout>
        <c:manualLayout>
          <c:layoutTarget val="inner"/>
          <c:xMode val="edge"/>
          <c:yMode val="edge"/>
          <c:x val="0.13366369744322501"/>
          <c:y val="9.7056084681031607E-2"/>
          <c:w val="0.80786312183950004"/>
          <c:h val="0.71248991719977495"/>
        </c:manualLayout>
      </c:layout>
      <c:lineChart>
        <c:grouping val="standard"/>
        <c:varyColors val="0"/>
        <c:ser>
          <c:idx val="0"/>
          <c:order val="0"/>
          <c:tx>
            <c:strRef>
              <c:f>Prices!$M$6</c:f>
              <c:strCache>
                <c:ptCount val="1"/>
                <c:pt idx="0">
                  <c:v>Irrigated Peanut</c:v>
                </c:pt>
              </c:strCache>
            </c:strRef>
          </c:tx>
          <c:spPr>
            <a:ln>
              <a:solidFill>
                <a:srgbClr val="00B050"/>
              </a:solidFill>
            </a:ln>
          </c:spPr>
          <c:marker>
            <c:symbol val="circle"/>
            <c:size val="7"/>
            <c:spPr>
              <a:solidFill>
                <a:srgbClr val="92D050"/>
              </a:solidFill>
              <a:ln>
                <a:solidFill>
                  <a:srgbClr val="00B050"/>
                </a:solidFill>
              </a:ln>
            </c:spPr>
          </c:marker>
          <c:dLbls>
            <c:spPr>
              <a:solidFill>
                <a:srgbClr val="00B050">
                  <a:alpha val="5000"/>
                </a:srgbClr>
              </a:solidFill>
            </c:spPr>
            <c:txPr>
              <a:bodyPr/>
              <a:lstStyle/>
              <a:p>
                <a:pPr>
                  <a:defRPr sz="12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Prices!$N$7:$N$21</c:f>
              <c:numCache>
                <c:formatCode>_("$"* #,##0.00_);_("$"* \(#,##0.00\);_("$"* "-"??_);_(@_)</c:formatCode>
                <c:ptCount val="15"/>
                <c:pt idx="0">
                  <c:v>4.3499999999999979</c:v>
                </c:pt>
                <c:pt idx="1">
                  <c:v>4.4999999999999982</c:v>
                </c:pt>
                <c:pt idx="2">
                  <c:v>4.6499999999999986</c:v>
                </c:pt>
                <c:pt idx="3">
                  <c:v>4.7999999999999989</c:v>
                </c:pt>
                <c:pt idx="4">
                  <c:v>4.9499999999999993</c:v>
                </c:pt>
                <c:pt idx="5">
                  <c:v>5.0999999999999996</c:v>
                </c:pt>
                <c:pt idx="6">
                  <c:v>5.25</c:v>
                </c:pt>
                <c:pt idx="7">
                  <c:v>5.4</c:v>
                </c:pt>
                <c:pt idx="8">
                  <c:v>5.5500000000000007</c:v>
                </c:pt>
                <c:pt idx="9">
                  <c:v>5.7000000000000011</c:v>
                </c:pt>
                <c:pt idx="10">
                  <c:v>5.8500000000000014</c:v>
                </c:pt>
                <c:pt idx="11">
                  <c:v>6.0000000000000018</c:v>
                </c:pt>
                <c:pt idx="12">
                  <c:v>6.1500000000000021</c:v>
                </c:pt>
                <c:pt idx="13">
                  <c:v>6.3000000000000025</c:v>
                </c:pt>
                <c:pt idx="14">
                  <c:v>6.4500000000000028</c:v>
                </c:pt>
              </c:numCache>
            </c:numRef>
          </c:cat>
          <c:val>
            <c:numRef>
              <c:f>Prices!$M$49:$M$63</c:f>
              <c:numCache>
                <c:formatCode>_("$"* #,##0_);_("$"* \(#,##0\);_("$"* "-"??_);_(@_)</c:formatCode>
                <c:ptCount val="15"/>
                <c:pt idx="0">
                  <c:v>370.02553191489346</c:v>
                </c:pt>
                <c:pt idx="1">
                  <c:v>382.79148936170196</c:v>
                </c:pt>
                <c:pt idx="2">
                  <c:v>395.55744680851058</c:v>
                </c:pt>
                <c:pt idx="3">
                  <c:v>408.32340425531908</c:v>
                </c:pt>
                <c:pt idx="4">
                  <c:v>421.08936170212763</c:v>
                </c:pt>
                <c:pt idx="5">
                  <c:v>433.85531914893613</c:v>
                </c:pt>
                <c:pt idx="6">
                  <c:v>446.62127659574463</c:v>
                </c:pt>
                <c:pt idx="7">
                  <c:v>459.38723404255319</c:v>
                </c:pt>
                <c:pt idx="8">
                  <c:v>472.15319148936186</c:v>
                </c:pt>
                <c:pt idx="9">
                  <c:v>484.91914893617036</c:v>
                </c:pt>
                <c:pt idx="10">
                  <c:v>497.68510638297892</c:v>
                </c:pt>
                <c:pt idx="11">
                  <c:v>510.45106382978747</c:v>
                </c:pt>
                <c:pt idx="12">
                  <c:v>523.21702127659591</c:v>
                </c:pt>
                <c:pt idx="13">
                  <c:v>535.98297872340436</c:v>
                </c:pt>
                <c:pt idx="14">
                  <c:v>548.74893617021291</c:v>
                </c:pt>
              </c:numCache>
            </c:numRef>
          </c:val>
          <c:smooth val="0"/>
          <c:extLst>
            <c:ext xmlns:c16="http://schemas.microsoft.com/office/drawing/2014/chart" uri="{C3380CC4-5D6E-409C-BE32-E72D297353CC}">
              <c16:uniqueId val="{00000000-A663-433D-8B32-9606A59F3515}"/>
            </c:ext>
          </c:extLst>
        </c:ser>
        <c:ser>
          <c:idx val="1"/>
          <c:order val="1"/>
          <c:tx>
            <c:strRef>
              <c:f>Prices!$M$27</c:f>
              <c:strCache>
                <c:ptCount val="1"/>
                <c:pt idx="0">
                  <c:v>Non Irrigated Peanut</c:v>
                </c:pt>
              </c:strCache>
            </c:strRef>
          </c:tx>
          <c:spPr>
            <a:ln>
              <a:solidFill>
                <a:srgbClr val="FF0000"/>
              </a:solidFill>
            </a:ln>
          </c:spPr>
          <c:marker>
            <c:symbol val="square"/>
            <c:size val="6"/>
          </c:marker>
          <c:dLbls>
            <c:spPr>
              <a:solidFill>
                <a:schemeClr val="accent6">
                  <a:alpha val="5000"/>
                </a:schemeClr>
              </a:solidFill>
            </c:spPr>
            <c:txPr>
              <a:bodyPr rot="2700000" vert="horz"/>
              <a:lstStyle/>
              <a:p>
                <a:pPr algn="ctr">
                  <a:defRPr sz="1200" b="1"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Prices!$N$7:$N$21</c:f>
              <c:numCache>
                <c:formatCode>_("$"* #,##0.00_);_("$"* \(#,##0.00\);_("$"* "-"??_);_(@_)</c:formatCode>
                <c:ptCount val="15"/>
                <c:pt idx="0">
                  <c:v>4.3499999999999979</c:v>
                </c:pt>
                <c:pt idx="1">
                  <c:v>4.4999999999999982</c:v>
                </c:pt>
                <c:pt idx="2">
                  <c:v>4.6499999999999986</c:v>
                </c:pt>
                <c:pt idx="3">
                  <c:v>4.7999999999999989</c:v>
                </c:pt>
                <c:pt idx="4">
                  <c:v>4.9499999999999993</c:v>
                </c:pt>
                <c:pt idx="5">
                  <c:v>5.0999999999999996</c:v>
                </c:pt>
                <c:pt idx="6">
                  <c:v>5.25</c:v>
                </c:pt>
                <c:pt idx="7">
                  <c:v>5.4</c:v>
                </c:pt>
                <c:pt idx="8">
                  <c:v>5.5500000000000007</c:v>
                </c:pt>
                <c:pt idx="9">
                  <c:v>5.7000000000000011</c:v>
                </c:pt>
                <c:pt idx="10">
                  <c:v>5.8500000000000014</c:v>
                </c:pt>
                <c:pt idx="11">
                  <c:v>6.0000000000000018</c:v>
                </c:pt>
                <c:pt idx="12">
                  <c:v>6.1500000000000021</c:v>
                </c:pt>
                <c:pt idx="13">
                  <c:v>6.3000000000000025</c:v>
                </c:pt>
                <c:pt idx="14">
                  <c:v>6.4500000000000028</c:v>
                </c:pt>
              </c:numCache>
            </c:numRef>
          </c:cat>
          <c:val>
            <c:numRef>
              <c:f>Prices!$M$70:$M$84</c:f>
              <c:numCache>
                <c:formatCode>_("$"* #,##0_);_("$"* \(#,##0\);_("$"* "-"??_);_(@_)</c:formatCode>
                <c:ptCount val="15"/>
                <c:pt idx="0">
                  <c:v>361.09354393382341</c:v>
                </c:pt>
                <c:pt idx="1">
                  <c:v>368.59354393382341</c:v>
                </c:pt>
                <c:pt idx="2">
                  <c:v>376.09354393382341</c:v>
                </c:pt>
                <c:pt idx="3">
                  <c:v>383.59354393382347</c:v>
                </c:pt>
                <c:pt idx="4">
                  <c:v>391.09354393382353</c:v>
                </c:pt>
                <c:pt idx="5">
                  <c:v>398.59354393382353</c:v>
                </c:pt>
                <c:pt idx="6">
                  <c:v>406.09354393382358</c:v>
                </c:pt>
                <c:pt idx="7">
                  <c:v>413.59354393382358</c:v>
                </c:pt>
                <c:pt idx="8">
                  <c:v>421.09354393382358</c:v>
                </c:pt>
                <c:pt idx="9">
                  <c:v>428.59354393382358</c:v>
                </c:pt>
                <c:pt idx="10">
                  <c:v>436.09354393382358</c:v>
                </c:pt>
                <c:pt idx="11">
                  <c:v>443.59354393382364</c:v>
                </c:pt>
                <c:pt idx="12">
                  <c:v>451.09354393382375</c:v>
                </c:pt>
                <c:pt idx="13">
                  <c:v>458.59354393382375</c:v>
                </c:pt>
                <c:pt idx="14">
                  <c:v>466.09354393382375</c:v>
                </c:pt>
              </c:numCache>
            </c:numRef>
          </c:val>
          <c:smooth val="0"/>
          <c:extLst>
            <c:ext xmlns:c16="http://schemas.microsoft.com/office/drawing/2014/chart" uri="{C3380CC4-5D6E-409C-BE32-E72D297353CC}">
              <c16:uniqueId val="{00000001-A663-433D-8B32-9606A59F3515}"/>
            </c:ext>
          </c:extLst>
        </c:ser>
        <c:dLbls>
          <c:showLegendKey val="0"/>
          <c:showVal val="0"/>
          <c:showCatName val="0"/>
          <c:showSerName val="0"/>
          <c:showPercent val="0"/>
          <c:showBubbleSize val="0"/>
        </c:dLbls>
        <c:marker val="1"/>
        <c:smooth val="0"/>
        <c:axId val="-1810436512"/>
        <c:axId val="-1810432752"/>
      </c:lineChart>
      <c:catAx>
        <c:axId val="-1810436512"/>
        <c:scaling>
          <c:orientation val="minMax"/>
        </c:scaling>
        <c:delete val="0"/>
        <c:axPos val="b"/>
        <c:title>
          <c:tx>
            <c:rich>
              <a:bodyPr/>
              <a:lstStyle/>
              <a:p>
                <a:pPr>
                  <a:defRPr sz="1400" b="0" i="0" u="none" strike="noStrike" baseline="0">
                    <a:solidFill>
                      <a:srgbClr val="000000"/>
                    </a:solidFill>
                    <a:latin typeface="Calibri"/>
                    <a:ea typeface="Calibri"/>
                    <a:cs typeface="Calibri"/>
                  </a:defRPr>
                </a:pPr>
                <a:r>
                  <a:rPr lang="en-US"/>
                  <a:t>Corn Price ($/bu)</a:t>
                </a:r>
              </a:p>
            </c:rich>
          </c:tx>
          <c:overlay val="0"/>
        </c:title>
        <c:numFmt formatCode="_(&quot;$&quot;* #,##0.00_);_(&quot;$&quot;* \(#,##0.00\);_(&quot;$&quot;* &quot;-&quot;??_);_(@_)" sourceLinked="1"/>
        <c:majorTickMark val="none"/>
        <c:minorTickMark val="none"/>
        <c:tickLblPos val="nextTo"/>
        <c:txPr>
          <a:bodyPr rot="-5400000" vert="horz"/>
          <a:lstStyle/>
          <a:p>
            <a:pPr>
              <a:defRPr sz="1200" b="0" i="0" u="none" strike="noStrike" baseline="0">
                <a:solidFill>
                  <a:srgbClr val="000000"/>
                </a:solidFill>
                <a:latin typeface="Calibri"/>
                <a:ea typeface="Calibri"/>
                <a:cs typeface="Calibri"/>
              </a:defRPr>
            </a:pPr>
            <a:endParaRPr lang="en-US"/>
          </a:p>
        </c:txPr>
        <c:crossAx val="-1810432752"/>
        <c:crosses val="autoZero"/>
        <c:auto val="1"/>
        <c:lblAlgn val="ctr"/>
        <c:lblOffset val="100"/>
        <c:noMultiLvlLbl val="0"/>
      </c:catAx>
      <c:valAx>
        <c:axId val="-1810432752"/>
        <c:scaling>
          <c:orientation val="minMax"/>
        </c:scaling>
        <c:delete val="0"/>
        <c:axPos val="l"/>
        <c:majorGridlines/>
        <c:title>
          <c:tx>
            <c:rich>
              <a:bodyPr/>
              <a:lstStyle/>
              <a:p>
                <a:pPr>
                  <a:defRPr sz="1400" b="0" i="0" u="none" strike="noStrike" baseline="0">
                    <a:solidFill>
                      <a:srgbClr val="000000"/>
                    </a:solidFill>
                    <a:latin typeface="Calibri"/>
                    <a:ea typeface="Calibri"/>
                    <a:cs typeface="Calibri"/>
                  </a:defRPr>
                </a:pPr>
                <a:r>
                  <a:rPr lang="en-US"/>
                  <a:t>Peanut Price ($/ton)</a:t>
                </a:r>
              </a:p>
            </c:rich>
          </c:tx>
          <c:layout>
            <c:manualLayout>
              <c:xMode val="edge"/>
              <c:yMode val="edge"/>
              <c:x val="8.3441062404512902E-5"/>
              <c:y val="0.30024372759856599"/>
            </c:manualLayout>
          </c:layout>
          <c:overlay val="0"/>
        </c:title>
        <c:numFmt formatCode="_(&quot;$&quot;* #,##0_);_(&quot;$&quot;* \(#,##0\);_(&quot;$&quot;* &quot;-&quot;??_);_(@_)"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1810436512"/>
        <c:crosses val="autoZero"/>
        <c:crossBetween val="between"/>
      </c:valAx>
    </c:plotArea>
    <c:legend>
      <c:legendPos val="r"/>
      <c:layout>
        <c:manualLayout>
          <c:xMode val="edge"/>
          <c:yMode val="edge"/>
          <c:x val="0.13651010041655201"/>
          <c:y val="0.69715643609065003"/>
          <c:w val="0.22665778717958801"/>
          <c:h val="0.102313210848644"/>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99"/>
    </a:solidFill>
  </c:spPr>
  <c:txPr>
    <a:bodyPr/>
    <a:lstStyle/>
    <a:p>
      <a:pPr>
        <a:defRPr sz="12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horizontalDpi="300" verticalDpi="300"/>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Soybean Price Needed to Give Equal Returns Above Variable Costs to Corn at Budgeted Yields *</a:t>
            </a:r>
          </a:p>
        </c:rich>
      </c:tx>
      <c:overlay val="0"/>
    </c:title>
    <c:autoTitleDeleted val="0"/>
    <c:plotArea>
      <c:layout>
        <c:manualLayout>
          <c:layoutTarget val="inner"/>
          <c:xMode val="edge"/>
          <c:yMode val="edge"/>
          <c:x val="0.13366369744322501"/>
          <c:y val="9.7056084681031607E-2"/>
          <c:w val="0.80786312183950004"/>
          <c:h val="0.71248991719977495"/>
        </c:manualLayout>
      </c:layout>
      <c:lineChart>
        <c:grouping val="standard"/>
        <c:varyColors val="0"/>
        <c:ser>
          <c:idx val="0"/>
          <c:order val="0"/>
          <c:tx>
            <c:strRef>
              <c:f>Prices!$O$6</c:f>
              <c:strCache>
                <c:ptCount val="1"/>
                <c:pt idx="0">
                  <c:v>Irrigated Soybean</c:v>
                </c:pt>
              </c:strCache>
            </c:strRef>
          </c:tx>
          <c:spPr>
            <a:ln>
              <a:solidFill>
                <a:schemeClr val="accent4">
                  <a:lumMod val="75000"/>
                </a:schemeClr>
              </a:solidFill>
            </a:ln>
          </c:spPr>
          <c:marker>
            <c:symbol val="circle"/>
            <c:size val="7"/>
            <c:spPr>
              <a:solidFill>
                <a:schemeClr val="accent4">
                  <a:lumMod val="60000"/>
                  <a:lumOff val="40000"/>
                </a:schemeClr>
              </a:solidFill>
              <a:ln>
                <a:solidFill>
                  <a:srgbClr val="7030A0"/>
                </a:solidFill>
              </a:ln>
            </c:spPr>
          </c:marker>
          <c:dLbls>
            <c:spPr>
              <a:solidFill>
                <a:schemeClr val="accent4">
                  <a:lumMod val="60000"/>
                  <a:lumOff val="40000"/>
                  <a:alpha val="5000"/>
                </a:schemeClr>
              </a:solidFill>
            </c:spPr>
            <c:txPr>
              <a:bodyPr rot="2700000" vert="horz"/>
              <a:lstStyle/>
              <a:p>
                <a:pPr algn="ctr">
                  <a:defRPr sz="1200" b="1"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Prices!$N$7:$N$21</c:f>
              <c:numCache>
                <c:formatCode>_("$"* #,##0.00_);_("$"* \(#,##0.00\);_("$"* "-"??_);_(@_)</c:formatCode>
                <c:ptCount val="15"/>
                <c:pt idx="0">
                  <c:v>4.3499999999999979</c:v>
                </c:pt>
                <c:pt idx="1">
                  <c:v>4.4999999999999982</c:v>
                </c:pt>
                <c:pt idx="2">
                  <c:v>4.6499999999999986</c:v>
                </c:pt>
                <c:pt idx="3">
                  <c:v>4.7999999999999989</c:v>
                </c:pt>
                <c:pt idx="4">
                  <c:v>4.9499999999999993</c:v>
                </c:pt>
                <c:pt idx="5">
                  <c:v>5.0999999999999996</c:v>
                </c:pt>
                <c:pt idx="6">
                  <c:v>5.25</c:v>
                </c:pt>
                <c:pt idx="7">
                  <c:v>5.4</c:v>
                </c:pt>
                <c:pt idx="8">
                  <c:v>5.5500000000000007</c:v>
                </c:pt>
                <c:pt idx="9">
                  <c:v>5.7000000000000011</c:v>
                </c:pt>
                <c:pt idx="10">
                  <c:v>5.8500000000000014</c:v>
                </c:pt>
                <c:pt idx="11">
                  <c:v>6.0000000000000018</c:v>
                </c:pt>
                <c:pt idx="12">
                  <c:v>6.1500000000000021</c:v>
                </c:pt>
                <c:pt idx="13">
                  <c:v>6.3000000000000025</c:v>
                </c:pt>
                <c:pt idx="14">
                  <c:v>6.4500000000000028</c:v>
                </c:pt>
              </c:numCache>
            </c:numRef>
          </c:cat>
          <c:val>
            <c:numRef>
              <c:f>Prices!$O$49:$O$63</c:f>
              <c:numCache>
                <c:formatCode>_("$"* #,##0.00_);_("$"* \(#,##0.00\);_("$"* "-"??_);_(@_)</c:formatCode>
                <c:ptCount val="15"/>
                <c:pt idx="0">
                  <c:v>7.2057090729166609</c:v>
                </c:pt>
                <c:pt idx="1">
                  <c:v>7.7057090729166626</c:v>
                </c:pt>
                <c:pt idx="2">
                  <c:v>8.2057090729166653</c:v>
                </c:pt>
                <c:pt idx="3">
                  <c:v>8.7057090729166653</c:v>
                </c:pt>
                <c:pt idx="4">
                  <c:v>9.2057090729166671</c:v>
                </c:pt>
                <c:pt idx="5">
                  <c:v>9.7057090729166671</c:v>
                </c:pt>
                <c:pt idx="6">
                  <c:v>10.205709072916669</c:v>
                </c:pt>
                <c:pt idx="7">
                  <c:v>10.705709072916669</c:v>
                </c:pt>
                <c:pt idx="8">
                  <c:v>11.205709072916672</c:v>
                </c:pt>
                <c:pt idx="9">
                  <c:v>11.705709072916672</c:v>
                </c:pt>
                <c:pt idx="10">
                  <c:v>12.205709072916672</c:v>
                </c:pt>
                <c:pt idx="11">
                  <c:v>12.705709072916676</c:v>
                </c:pt>
                <c:pt idx="12">
                  <c:v>13.205709072916676</c:v>
                </c:pt>
                <c:pt idx="13">
                  <c:v>13.705709072916676</c:v>
                </c:pt>
                <c:pt idx="14">
                  <c:v>14.205709072916676</c:v>
                </c:pt>
              </c:numCache>
            </c:numRef>
          </c:val>
          <c:smooth val="0"/>
          <c:extLst>
            <c:ext xmlns:c16="http://schemas.microsoft.com/office/drawing/2014/chart" uri="{C3380CC4-5D6E-409C-BE32-E72D297353CC}">
              <c16:uniqueId val="{00000000-E9B6-4540-A6E8-A3FA0BF1002E}"/>
            </c:ext>
          </c:extLst>
        </c:ser>
        <c:ser>
          <c:idx val="1"/>
          <c:order val="1"/>
          <c:tx>
            <c:strRef>
              <c:f>Prices!$O$27</c:f>
              <c:strCache>
                <c:ptCount val="1"/>
                <c:pt idx="0">
                  <c:v>Non Irrigated Soybean</c:v>
                </c:pt>
              </c:strCache>
            </c:strRef>
          </c:tx>
          <c:spPr>
            <a:ln>
              <a:solidFill>
                <a:schemeClr val="accent6">
                  <a:lumMod val="75000"/>
                </a:schemeClr>
              </a:solidFill>
            </a:ln>
          </c:spPr>
          <c:marker>
            <c:symbol val="square"/>
            <c:size val="6"/>
            <c:spPr>
              <a:solidFill>
                <a:schemeClr val="accent6">
                  <a:lumMod val="60000"/>
                  <a:lumOff val="40000"/>
                </a:schemeClr>
              </a:solidFill>
              <a:ln>
                <a:solidFill>
                  <a:schemeClr val="accent6">
                    <a:lumMod val="50000"/>
                  </a:schemeClr>
                </a:solidFill>
              </a:ln>
            </c:spPr>
          </c:marker>
          <c:dLbls>
            <c:spPr>
              <a:solidFill>
                <a:srgbClr val="FFC000">
                  <a:alpha val="5000"/>
                </a:srgbClr>
              </a:solidFill>
            </c:spPr>
            <c:txPr>
              <a:bodyPr/>
              <a:lstStyle/>
              <a:p>
                <a:pPr>
                  <a:defRPr sz="12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Prices!$N$7:$N$21</c:f>
              <c:numCache>
                <c:formatCode>_("$"* #,##0.00_);_("$"* \(#,##0.00\);_("$"* "-"??_);_(@_)</c:formatCode>
                <c:ptCount val="15"/>
                <c:pt idx="0">
                  <c:v>4.3499999999999979</c:v>
                </c:pt>
                <c:pt idx="1">
                  <c:v>4.4999999999999982</c:v>
                </c:pt>
                <c:pt idx="2">
                  <c:v>4.6499999999999986</c:v>
                </c:pt>
                <c:pt idx="3">
                  <c:v>4.7999999999999989</c:v>
                </c:pt>
                <c:pt idx="4">
                  <c:v>4.9499999999999993</c:v>
                </c:pt>
                <c:pt idx="5">
                  <c:v>5.0999999999999996</c:v>
                </c:pt>
                <c:pt idx="6">
                  <c:v>5.25</c:v>
                </c:pt>
                <c:pt idx="7">
                  <c:v>5.4</c:v>
                </c:pt>
                <c:pt idx="8">
                  <c:v>5.5500000000000007</c:v>
                </c:pt>
                <c:pt idx="9">
                  <c:v>5.7000000000000011</c:v>
                </c:pt>
                <c:pt idx="10">
                  <c:v>5.8500000000000014</c:v>
                </c:pt>
                <c:pt idx="11">
                  <c:v>6.0000000000000018</c:v>
                </c:pt>
                <c:pt idx="12">
                  <c:v>6.1500000000000021</c:v>
                </c:pt>
                <c:pt idx="13">
                  <c:v>6.3000000000000025</c:v>
                </c:pt>
                <c:pt idx="14">
                  <c:v>6.4500000000000028</c:v>
                </c:pt>
              </c:numCache>
            </c:numRef>
          </c:cat>
          <c:val>
            <c:numRef>
              <c:f>Prices!$O$70:$O$84</c:f>
              <c:numCache>
                <c:formatCode>_("$"* #,##0.00_);_("$"* \(#,##0.00\);_("$"* "-"??_);_(@_)</c:formatCode>
                <c:ptCount val="15"/>
                <c:pt idx="0">
                  <c:v>8.749149770833327</c:v>
                </c:pt>
                <c:pt idx="1">
                  <c:v>9.1741497708333277</c:v>
                </c:pt>
                <c:pt idx="2">
                  <c:v>9.5991497708333284</c:v>
                </c:pt>
                <c:pt idx="3">
                  <c:v>10.024149770833329</c:v>
                </c:pt>
                <c:pt idx="4">
                  <c:v>10.449149770833332</c:v>
                </c:pt>
                <c:pt idx="5">
                  <c:v>10.874149770833331</c:v>
                </c:pt>
                <c:pt idx="6">
                  <c:v>11.299149770833333</c:v>
                </c:pt>
                <c:pt idx="7">
                  <c:v>11.724149770833334</c:v>
                </c:pt>
                <c:pt idx="8">
                  <c:v>12.149149770833334</c:v>
                </c:pt>
                <c:pt idx="9">
                  <c:v>12.574149770833337</c:v>
                </c:pt>
                <c:pt idx="10">
                  <c:v>12.999149770833336</c:v>
                </c:pt>
                <c:pt idx="11">
                  <c:v>13.424149770833338</c:v>
                </c:pt>
                <c:pt idx="12">
                  <c:v>13.849149770833341</c:v>
                </c:pt>
                <c:pt idx="13">
                  <c:v>14.27414977083334</c:v>
                </c:pt>
                <c:pt idx="14">
                  <c:v>14.699149770833341</c:v>
                </c:pt>
              </c:numCache>
            </c:numRef>
          </c:val>
          <c:smooth val="0"/>
          <c:extLst>
            <c:ext xmlns:c16="http://schemas.microsoft.com/office/drawing/2014/chart" uri="{C3380CC4-5D6E-409C-BE32-E72D297353CC}">
              <c16:uniqueId val="{00000001-E9B6-4540-A6E8-A3FA0BF1002E}"/>
            </c:ext>
          </c:extLst>
        </c:ser>
        <c:dLbls>
          <c:showLegendKey val="0"/>
          <c:showVal val="0"/>
          <c:showCatName val="0"/>
          <c:showSerName val="0"/>
          <c:showPercent val="0"/>
          <c:showBubbleSize val="0"/>
        </c:dLbls>
        <c:marker val="1"/>
        <c:smooth val="0"/>
        <c:axId val="-1810403104"/>
        <c:axId val="-1810399344"/>
      </c:lineChart>
      <c:catAx>
        <c:axId val="-1810403104"/>
        <c:scaling>
          <c:orientation val="minMax"/>
        </c:scaling>
        <c:delete val="0"/>
        <c:axPos val="b"/>
        <c:title>
          <c:tx>
            <c:rich>
              <a:bodyPr/>
              <a:lstStyle/>
              <a:p>
                <a:pPr>
                  <a:defRPr sz="1400" b="0" i="0" u="none" strike="noStrike" baseline="0">
                    <a:solidFill>
                      <a:srgbClr val="000000"/>
                    </a:solidFill>
                    <a:latin typeface="Calibri"/>
                    <a:ea typeface="Calibri"/>
                    <a:cs typeface="Calibri"/>
                  </a:defRPr>
                </a:pPr>
                <a:r>
                  <a:rPr lang="en-US"/>
                  <a:t>Corn Price ($/bu)</a:t>
                </a:r>
              </a:p>
            </c:rich>
          </c:tx>
          <c:overlay val="0"/>
        </c:title>
        <c:numFmt formatCode="_(&quot;$&quot;* #,##0.00_);_(&quot;$&quot;* \(#,##0.00\);_(&quot;$&quot;* &quot;-&quot;??_);_(@_)" sourceLinked="1"/>
        <c:majorTickMark val="none"/>
        <c:minorTickMark val="none"/>
        <c:tickLblPos val="nextTo"/>
        <c:txPr>
          <a:bodyPr rot="-5400000" vert="horz"/>
          <a:lstStyle/>
          <a:p>
            <a:pPr>
              <a:defRPr sz="1200" b="0" i="0" u="none" strike="noStrike" baseline="0">
                <a:solidFill>
                  <a:srgbClr val="000000"/>
                </a:solidFill>
                <a:latin typeface="Calibri"/>
                <a:ea typeface="Calibri"/>
                <a:cs typeface="Calibri"/>
              </a:defRPr>
            </a:pPr>
            <a:endParaRPr lang="en-US"/>
          </a:p>
        </c:txPr>
        <c:crossAx val="-1810399344"/>
        <c:crosses val="autoZero"/>
        <c:auto val="1"/>
        <c:lblAlgn val="ctr"/>
        <c:lblOffset val="100"/>
        <c:noMultiLvlLbl val="0"/>
      </c:catAx>
      <c:valAx>
        <c:axId val="-1810399344"/>
        <c:scaling>
          <c:orientation val="minMax"/>
        </c:scaling>
        <c:delete val="0"/>
        <c:axPos val="l"/>
        <c:majorGridlines/>
        <c:title>
          <c:tx>
            <c:rich>
              <a:bodyPr/>
              <a:lstStyle/>
              <a:p>
                <a:pPr>
                  <a:defRPr sz="1400" b="0" i="0" u="none" strike="noStrike" baseline="0">
                    <a:solidFill>
                      <a:srgbClr val="000000"/>
                    </a:solidFill>
                    <a:latin typeface="Calibri"/>
                    <a:ea typeface="Calibri"/>
                    <a:cs typeface="Calibri"/>
                  </a:defRPr>
                </a:pPr>
                <a:r>
                  <a:rPr lang="en-US"/>
                  <a:t>Soybean Price ($/bu)</a:t>
                </a:r>
              </a:p>
            </c:rich>
          </c:tx>
          <c:layout>
            <c:manualLayout>
              <c:xMode val="edge"/>
              <c:yMode val="edge"/>
              <c:x val="8.3467827391141405E-5"/>
              <c:y val="0.30024372759856599"/>
            </c:manualLayout>
          </c:layout>
          <c:overlay val="0"/>
        </c:title>
        <c:numFmt formatCode="_(&quot;$&quot;* #,##0.00_);_(&quot;$&quot;* \(#,##0.00\);_(&quot;$&quot;* &quot;-&quot;??_);_(@_)"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1810403104"/>
        <c:crosses val="autoZero"/>
        <c:crossBetween val="between"/>
      </c:valAx>
    </c:plotArea>
    <c:legend>
      <c:legendPos val="r"/>
      <c:layout>
        <c:manualLayout>
          <c:xMode val="edge"/>
          <c:yMode val="edge"/>
          <c:x val="0.13811890904941199"/>
          <c:y val="0.69656331668218896"/>
          <c:w val="0.24596286333773501"/>
          <c:h val="0.102313210848644"/>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99"/>
    </a:solidFill>
  </c:spPr>
  <c:txPr>
    <a:bodyPr/>
    <a:lstStyle/>
    <a:p>
      <a:pPr>
        <a:defRPr sz="12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horizontalDpi="300" verticalDpi="300"/>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sz="1100"/>
              <a:t>Cotton Price Needed to Give Equal Returns Above Variable Costs to Soybean at Budgeted Yields *</a:t>
            </a:r>
          </a:p>
        </c:rich>
      </c:tx>
      <c:layout>
        <c:manualLayout>
          <c:xMode val="edge"/>
          <c:yMode val="edge"/>
          <c:x val="0.12568617825514899"/>
          <c:y val="8.8416100305342606E-3"/>
        </c:manualLayout>
      </c:layout>
      <c:overlay val="0"/>
    </c:title>
    <c:autoTitleDeleted val="0"/>
    <c:plotArea>
      <c:layout>
        <c:manualLayout>
          <c:layoutTarget val="inner"/>
          <c:xMode val="edge"/>
          <c:yMode val="edge"/>
          <c:x val="0.13366369744322501"/>
          <c:y val="9.7056084681031607E-2"/>
          <c:w val="0.80786312183950004"/>
          <c:h val="0.71248991719977495"/>
        </c:manualLayout>
      </c:layout>
      <c:lineChart>
        <c:grouping val="standard"/>
        <c:varyColors val="0"/>
        <c:ser>
          <c:idx val="0"/>
          <c:order val="0"/>
          <c:tx>
            <c:strRef>
              <c:f>Prices!$Q$6</c:f>
              <c:strCache>
                <c:ptCount val="1"/>
                <c:pt idx="0">
                  <c:v>Irrigated Cotton</c:v>
                </c:pt>
              </c:strCache>
            </c:strRef>
          </c:tx>
          <c:marker>
            <c:symbol val="circle"/>
            <c:size val="7"/>
          </c:marker>
          <c:dLbls>
            <c:spPr>
              <a:solidFill>
                <a:schemeClr val="tx2">
                  <a:lumMod val="60000"/>
                  <a:lumOff val="40000"/>
                  <a:alpha val="5000"/>
                </a:schemeClr>
              </a:solidFill>
            </c:spPr>
            <c:txPr>
              <a:bodyPr/>
              <a:lstStyle/>
              <a:p>
                <a:pPr>
                  <a:defRPr sz="12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Prices!$T$28:$T$42</c:f>
              <c:numCache>
                <c:formatCode>_("$"* #,##0.00_);_("$"* \(#,##0.00\);_("$"* "-"??_);_(@_)</c:formatCode>
                <c:ptCount val="15"/>
                <c:pt idx="0">
                  <c:v>9.0500000000000025</c:v>
                </c:pt>
                <c:pt idx="1">
                  <c:v>9.4000000000000021</c:v>
                </c:pt>
                <c:pt idx="2">
                  <c:v>9.7500000000000018</c:v>
                </c:pt>
                <c:pt idx="3">
                  <c:v>10.100000000000001</c:v>
                </c:pt>
                <c:pt idx="4">
                  <c:v>10.450000000000001</c:v>
                </c:pt>
                <c:pt idx="5">
                  <c:v>10.8</c:v>
                </c:pt>
                <c:pt idx="6">
                  <c:v>11.15</c:v>
                </c:pt>
                <c:pt idx="7">
                  <c:v>11.5</c:v>
                </c:pt>
                <c:pt idx="8">
                  <c:v>11.85</c:v>
                </c:pt>
                <c:pt idx="9">
                  <c:v>12.2</c:v>
                </c:pt>
                <c:pt idx="10">
                  <c:v>12.549999999999999</c:v>
                </c:pt>
                <c:pt idx="11">
                  <c:v>12.899999999999999</c:v>
                </c:pt>
                <c:pt idx="12">
                  <c:v>13.249999999999998</c:v>
                </c:pt>
                <c:pt idx="13">
                  <c:v>13.599999999999998</c:v>
                </c:pt>
                <c:pt idx="14">
                  <c:v>13.949999999999998</c:v>
                </c:pt>
              </c:numCache>
            </c:numRef>
          </c:cat>
          <c:val>
            <c:numRef>
              <c:f>Prices!$Q$49:$Q$63</c:f>
              <c:numCache>
                <c:formatCode>_("$"* #,##0.00_);_("$"* \(#,##0.00\);_("$"* "-"??_);_(@_)</c:formatCode>
                <c:ptCount val="15"/>
                <c:pt idx="0">
                  <c:v>0.78113120970643957</c:v>
                </c:pt>
                <c:pt idx="1">
                  <c:v>0.79863120970643953</c:v>
                </c:pt>
                <c:pt idx="2">
                  <c:v>0.81613120970643949</c:v>
                </c:pt>
                <c:pt idx="3">
                  <c:v>0.83363120970643956</c:v>
                </c:pt>
                <c:pt idx="4">
                  <c:v>0.85113120970643952</c:v>
                </c:pt>
                <c:pt idx="5">
                  <c:v>0.86863120970643948</c:v>
                </c:pt>
                <c:pt idx="6">
                  <c:v>0.88613120970643955</c:v>
                </c:pt>
                <c:pt idx="7">
                  <c:v>0.90363120970643951</c:v>
                </c:pt>
                <c:pt idx="8">
                  <c:v>0.92113120970643958</c:v>
                </c:pt>
                <c:pt idx="9">
                  <c:v>0.93863120970643954</c:v>
                </c:pt>
                <c:pt idx="10">
                  <c:v>0.95613120970643939</c:v>
                </c:pt>
                <c:pt idx="11">
                  <c:v>0.97363120970643935</c:v>
                </c:pt>
                <c:pt idx="12">
                  <c:v>0.99113120970643931</c:v>
                </c:pt>
                <c:pt idx="13">
                  <c:v>1.0086312097064394</c:v>
                </c:pt>
                <c:pt idx="14">
                  <c:v>1.0261312097064392</c:v>
                </c:pt>
              </c:numCache>
            </c:numRef>
          </c:val>
          <c:smooth val="0"/>
          <c:extLst>
            <c:ext xmlns:c16="http://schemas.microsoft.com/office/drawing/2014/chart" uri="{C3380CC4-5D6E-409C-BE32-E72D297353CC}">
              <c16:uniqueId val="{00000000-84BF-44E8-B358-C5637DCE503B}"/>
            </c:ext>
          </c:extLst>
        </c:ser>
        <c:ser>
          <c:idx val="1"/>
          <c:order val="1"/>
          <c:tx>
            <c:strRef>
              <c:f>Prices!$Q$27</c:f>
              <c:strCache>
                <c:ptCount val="1"/>
                <c:pt idx="0">
                  <c:v>Non Irrigated Cotton</c:v>
                </c:pt>
              </c:strCache>
            </c:strRef>
          </c:tx>
          <c:marker>
            <c:symbol val="square"/>
            <c:size val="6"/>
          </c:marker>
          <c:dLbls>
            <c:spPr>
              <a:solidFill>
                <a:schemeClr val="accent2">
                  <a:lumMod val="60000"/>
                  <a:lumOff val="40000"/>
                  <a:alpha val="5000"/>
                </a:schemeClr>
              </a:solidFill>
            </c:spPr>
            <c:txPr>
              <a:bodyPr rot="2700000" vert="horz"/>
              <a:lstStyle/>
              <a:p>
                <a:pPr algn="ctr">
                  <a:defRPr sz="1200" b="1"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Prices!$T$28:$T$42</c:f>
              <c:numCache>
                <c:formatCode>_("$"* #,##0.00_);_("$"* \(#,##0.00\);_("$"* "-"??_);_(@_)</c:formatCode>
                <c:ptCount val="15"/>
                <c:pt idx="0">
                  <c:v>9.0500000000000025</c:v>
                </c:pt>
                <c:pt idx="1">
                  <c:v>9.4000000000000021</c:v>
                </c:pt>
                <c:pt idx="2">
                  <c:v>9.7500000000000018</c:v>
                </c:pt>
                <c:pt idx="3">
                  <c:v>10.100000000000001</c:v>
                </c:pt>
                <c:pt idx="4">
                  <c:v>10.450000000000001</c:v>
                </c:pt>
                <c:pt idx="5">
                  <c:v>10.8</c:v>
                </c:pt>
                <c:pt idx="6">
                  <c:v>11.15</c:v>
                </c:pt>
                <c:pt idx="7">
                  <c:v>11.5</c:v>
                </c:pt>
                <c:pt idx="8">
                  <c:v>11.85</c:v>
                </c:pt>
                <c:pt idx="9">
                  <c:v>12.2</c:v>
                </c:pt>
                <c:pt idx="10">
                  <c:v>12.549999999999999</c:v>
                </c:pt>
                <c:pt idx="11">
                  <c:v>12.899999999999999</c:v>
                </c:pt>
                <c:pt idx="12">
                  <c:v>13.249999999999998</c:v>
                </c:pt>
                <c:pt idx="13">
                  <c:v>13.599999999999998</c:v>
                </c:pt>
                <c:pt idx="14">
                  <c:v>13.949999999999998</c:v>
                </c:pt>
              </c:numCache>
            </c:numRef>
          </c:cat>
          <c:val>
            <c:numRef>
              <c:f>Prices!$Q$70:$Q$84</c:f>
              <c:numCache>
                <c:formatCode>_("$"* #,##0.00_);_("$"* \(#,##0.00\);_("$"* "-"??_);_(@_)</c:formatCode>
                <c:ptCount val="15"/>
                <c:pt idx="0">
                  <c:v>0.79440478356060629</c:v>
                </c:pt>
                <c:pt idx="1">
                  <c:v>0.8084047835606063</c:v>
                </c:pt>
                <c:pt idx="2">
                  <c:v>0.82240478356060631</c:v>
                </c:pt>
                <c:pt idx="3">
                  <c:v>0.83640478356060632</c:v>
                </c:pt>
                <c:pt idx="4">
                  <c:v>0.85040478356060623</c:v>
                </c:pt>
                <c:pt idx="5">
                  <c:v>0.86440478356060613</c:v>
                </c:pt>
                <c:pt idx="6">
                  <c:v>0.87840478356060614</c:v>
                </c:pt>
                <c:pt idx="7">
                  <c:v>0.89240478356060615</c:v>
                </c:pt>
                <c:pt idx="8">
                  <c:v>0.90640478356060616</c:v>
                </c:pt>
                <c:pt idx="9">
                  <c:v>0.92040478356060607</c:v>
                </c:pt>
                <c:pt idx="10">
                  <c:v>0.93440478356060608</c:v>
                </c:pt>
                <c:pt idx="11">
                  <c:v>0.94840478356060609</c:v>
                </c:pt>
                <c:pt idx="12">
                  <c:v>0.9624047835606061</c:v>
                </c:pt>
                <c:pt idx="13">
                  <c:v>0.97640478356060612</c:v>
                </c:pt>
                <c:pt idx="14">
                  <c:v>0.99040478356060613</c:v>
                </c:pt>
              </c:numCache>
            </c:numRef>
          </c:val>
          <c:smooth val="0"/>
          <c:extLst>
            <c:ext xmlns:c16="http://schemas.microsoft.com/office/drawing/2014/chart" uri="{C3380CC4-5D6E-409C-BE32-E72D297353CC}">
              <c16:uniqueId val="{00000001-84BF-44E8-B358-C5637DCE503B}"/>
            </c:ext>
          </c:extLst>
        </c:ser>
        <c:dLbls>
          <c:showLegendKey val="0"/>
          <c:showVal val="0"/>
          <c:showCatName val="0"/>
          <c:showSerName val="0"/>
          <c:showPercent val="0"/>
          <c:showBubbleSize val="0"/>
        </c:dLbls>
        <c:marker val="1"/>
        <c:smooth val="0"/>
        <c:axId val="-1981193984"/>
        <c:axId val="-1981512624"/>
      </c:lineChart>
      <c:catAx>
        <c:axId val="-1981193984"/>
        <c:scaling>
          <c:orientation val="minMax"/>
        </c:scaling>
        <c:delete val="0"/>
        <c:axPos val="b"/>
        <c:title>
          <c:tx>
            <c:rich>
              <a:bodyPr/>
              <a:lstStyle/>
              <a:p>
                <a:pPr>
                  <a:defRPr sz="1400" b="0" i="0" u="none" strike="noStrike" baseline="0">
                    <a:solidFill>
                      <a:srgbClr val="000000"/>
                    </a:solidFill>
                    <a:latin typeface="Calibri"/>
                    <a:ea typeface="Calibri"/>
                    <a:cs typeface="Calibri"/>
                  </a:defRPr>
                </a:pPr>
                <a:r>
                  <a:rPr lang="en-US"/>
                  <a:t>Soybean Price ($/bu)</a:t>
                </a:r>
              </a:p>
            </c:rich>
          </c:tx>
          <c:overlay val="0"/>
        </c:title>
        <c:numFmt formatCode="_(&quot;$&quot;* #,##0.00_);_(&quot;$&quot;* \(#,##0.00\);_(&quot;$&quot;* &quot;-&quot;??_);_(@_)" sourceLinked="1"/>
        <c:majorTickMark val="none"/>
        <c:minorTickMark val="none"/>
        <c:tickLblPos val="nextTo"/>
        <c:txPr>
          <a:bodyPr rot="-5400000" vert="horz"/>
          <a:lstStyle/>
          <a:p>
            <a:pPr>
              <a:defRPr sz="1200" b="0" i="0" u="none" strike="noStrike" baseline="0">
                <a:solidFill>
                  <a:srgbClr val="000000"/>
                </a:solidFill>
                <a:latin typeface="Calibri"/>
                <a:ea typeface="Calibri"/>
                <a:cs typeface="Calibri"/>
              </a:defRPr>
            </a:pPr>
            <a:endParaRPr lang="en-US"/>
          </a:p>
        </c:txPr>
        <c:crossAx val="-1981512624"/>
        <c:crosses val="autoZero"/>
        <c:auto val="1"/>
        <c:lblAlgn val="ctr"/>
        <c:lblOffset val="100"/>
        <c:noMultiLvlLbl val="0"/>
      </c:catAx>
      <c:valAx>
        <c:axId val="-1981512624"/>
        <c:scaling>
          <c:orientation val="minMax"/>
        </c:scaling>
        <c:delete val="0"/>
        <c:axPos val="l"/>
        <c:majorGridlines/>
        <c:title>
          <c:tx>
            <c:rich>
              <a:bodyPr/>
              <a:lstStyle/>
              <a:p>
                <a:pPr>
                  <a:defRPr sz="1400" b="0" i="0" u="none" strike="noStrike" baseline="0">
                    <a:solidFill>
                      <a:srgbClr val="000000"/>
                    </a:solidFill>
                    <a:latin typeface="Calibri"/>
                    <a:ea typeface="Calibri"/>
                    <a:cs typeface="Calibri"/>
                  </a:defRPr>
                </a:pPr>
                <a:r>
                  <a:rPr lang="en-US"/>
                  <a:t>Cotton Price ($/lb)</a:t>
                </a:r>
              </a:p>
            </c:rich>
          </c:tx>
          <c:layout>
            <c:manualLayout>
              <c:xMode val="edge"/>
              <c:yMode val="edge"/>
              <c:x val="8.3387332194448307E-5"/>
              <c:y val="0.30024392646283399"/>
            </c:manualLayout>
          </c:layout>
          <c:overlay val="0"/>
        </c:title>
        <c:numFmt formatCode="_(&quot;$&quot;* #,##0.00_);_(&quot;$&quot;* \(#,##0.00\);_(&quot;$&quot;* &quot;-&quot;??_);_(@_)"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1981193984"/>
        <c:crosses val="autoZero"/>
        <c:crossBetween val="between"/>
      </c:valAx>
    </c:plotArea>
    <c:legend>
      <c:legendPos val="r"/>
      <c:layout>
        <c:manualLayout>
          <c:xMode val="edge"/>
          <c:yMode val="edge"/>
          <c:x val="0.13811887603825099"/>
          <c:y val="0.69699072384163896"/>
          <c:w val="0.225049188053488"/>
          <c:h val="0.102313071793178"/>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CCFFCC"/>
    </a:solidFill>
  </c:spPr>
  <c:txPr>
    <a:bodyPr/>
    <a:lstStyle/>
    <a:p>
      <a:pPr>
        <a:defRPr sz="12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horizontalDpi="300" verticalDpi="300"/>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sz="1100"/>
              <a:t>Peanut Price Needed to Give Equal Returns Above Variable Costs to Soybean at Budgeted Yields *</a:t>
            </a:r>
          </a:p>
        </c:rich>
      </c:tx>
      <c:layout>
        <c:manualLayout>
          <c:xMode val="edge"/>
          <c:yMode val="edge"/>
          <c:x val="0.12778326216685601"/>
          <c:y val="8.59469985606638E-3"/>
        </c:manualLayout>
      </c:layout>
      <c:overlay val="0"/>
    </c:title>
    <c:autoTitleDeleted val="0"/>
    <c:plotArea>
      <c:layout>
        <c:manualLayout>
          <c:layoutTarget val="inner"/>
          <c:xMode val="edge"/>
          <c:yMode val="edge"/>
          <c:x val="0.13366369744322501"/>
          <c:y val="9.7056084681031607E-2"/>
          <c:w val="0.80786312183950004"/>
          <c:h val="0.71248991719977495"/>
        </c:manualLayout>
      </c:layout>
      <c:lineChart>
        <c:grouping val="standard"/>
        <c:varyColors val="0"/>
        <c:ser>
          <c:idx val="0"/>
          <c:order val="0"/>
          <c:tx>
            <c:strRef>
              <c:f>Prices!$R$6</c:f>
              <c:strCache>
                <c:ptCount val="1"/>
                <c:pt idx="0">
                  <c:v>Irrigated Peanut</c:v>
                </c:pt>
              </c:strCache>
            </c:strRef>
          </c:tx>
          <c:spPr>
            <a:ln>
              <a:solidFill>
                <a:srgbClr val="00B050"/>
              </a:solidFill>
            </a:ln>
          </c:spPr>
          <c:marker>
            <c:symbol val="circle"/>
            <c:size val="7"/>
            <c:spPr>
              <a:solidFill>
                <a:srgbClr val="92D050"/>
              </a:solidFill>
              <a:ln>
                <a:solidFill>
                  <a:srgbClr val="00B050"/>
                </a:solidFill>
              </a:ln>
            </c:spPr>
          </c:marker>
          <c:dLbls>
            <c:spPr>
              <a:solidFill>
                <a:srgbClr val="00B050">
                  <a:alpha val="5000"/>
                </a:srgbClr>
              </a:solidFill>
            </c:spPr>
            <c:txPr>
              <a:bodyPr/>
              <a:lstStyle/>
              <a:p>
                <a:pPr>
                  <a:defRPr sz="12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Prices!$T$7:$T$21</c:f>
              <c:numCache>
                <c:formatCode>_("$"* #,##0.00_);_("$"* \(#,##0.00\);_("$"* "-"??_);_(@_)</c:formatCode>
                <c:ptCount val="15"/>
                <c:pt idx="0">
                  <c:v>9.0500000000000025</c:v>
                </c:pt>
                <c:pt idx="1">
                  <c:v>9.4000000000000021</c:v>
                </c:pt>
                <c:pt idx="2">
                  <c:v>9.7500000000000018</c:v>
                </c:pt>
                <c:pt idx="3">
                  <c:v>10.100000000000001</c:v>
                </c:pt>
                <c:pt idx="4">
                  <c:v>10.450000000000001</c:v>
                </c:pt>
                <c:pt idx="5">
                  <c:v>10.8</c:v>
                </c:pt>
                <c:pt idx="6">
                  <c:v>11.15</c:v>
                </c:pt>
                <c:pt idx="7">
                  <c:v>11.5</c:v>
                </c:pt>
                <c:pt idx="8">
                  <c:v>11.85</c:v>
                </c:pt>
                <c:pt idx="9">
                  <c:v>12.2</c:v>
                </c:pt>
                <c:pt idx="10">
                  <c:v>12.549999999999999</c:v>
                </c:pt>
                <c:pt idx="11">
                  <c:v>12.899999999999999</c:v>
                </c:pt>
                <c:pt idx="12">
                  <c:v>13.249999999999998</c:v>
                </c:pt>
                <c:pt idx="13">
                  <c:v>13.599999999999998</c:v>
                </c:pt>
                <c:pt idx="14">
                  <c:v>13.949999999999998</c:v>
                </c:pt>
              </c:numCache>
            </c:numRef>
          </c:cat>
          <c:val>
            <c:numRef>
              <c:f>Prices!$R$49:$R$63</c:f>
              <c:numCache>
                <c:formatCode>_("$"* #,##0_);_("$"* \(#,##0\);_("$"* "-"??_);_(@_)</c:formatCode>
                <c:ptCount val="15"/>
                <c:pt idx="0">
                  <c:v>417.11381090425539</c:v>
                </c:pt>
                <c:pt idx="1">
                  <c:v>426.04998111702128</c:v>
                </c:pt>
                <c:pt idx="2">
                  <c:v>434.98615132978722</c:v>
                </c:pt>
                <c:pt idx="3">
                  <c:v>443.92232154255328</c:v>
                </c:pt>
                <c:pt idx="4">
                  <c:v>452.85849175531922</c:v>
                </c:pt>
                <c:pt idx="5">
                  <c:v>461.79466196808511</c:v>
                </c:pt>
                <c:pt idx="6">
                  <c:v>470.73083218085105</c:v>
                </c:pt>
                <c:pt idx="7">
                  <c:v>479.667002393617</c:v>
                </c:pt>
                <c:pt idx="8">
                  <c:v>488.603172606383</c:v>
                </c:pt>
                <c:pt idx="9">
                  <c:v>497.53934281914889</c:v>
                </c:pt>
                <c:pt idx="10">
                  <c:v>506.47551303191472</c:v>
                </c:pt>
                <c:pt idx="11">
                  <c:v>515.41168324468083</c:v>
                </c:pt>
                <c:pt idx="12">
                  <c:v>524.34785345744672</c:v>
                </c:pt>
                <c:pt idx="13">
                  <c:v>533.2840236702126</c:v>
                </c:pt>
                <c:pt idx="14">
                  <c:v>542.22019388297861</c:v>
                </c:pt>
              </c:numCache>
            </c:numRef>
          </c:val>
          <c:smooth val="0"/>
          <c:extLst>
            <c:ext xmlns:c16="http://schemas.microsoft.com/office/drawing/2014/chart" uri="{C3380CC4-5D6E-409C-BE32-E72D297353CC}">
              <c16:uniqueId val="{00000000-4F88-4934-9C4C-918D25D49BAB}"/>
            </c:ext>
          </c:extLst>
        </c:ser>
        <c:ser>
          <c:idx val="1"/>
          <c:order val="1"/>
          <c:tx>
            <c:strRef>
              <c:f>Prices!$R$27</c:f>
              <c:strCache>
                <c:ptCount val="1"/>
                <c:pt idx="0">
                  <c:v>Non Irrigated Peanut</c:v>
                </c:pt>
              </c:strCache>
            </c:strRef>
          </c:tx>
          <c:spPr>
            <a:ln>
              <a:solidFill>
                <a:srgbClr val="FF0000"/>
              </a:solidFill>
            </a:ln>
          </c:spPr>
          <c:marker>
            <c:symbol val="square"/>
            <c:size val="6"/>
          </c:marker>
          <c:dLbls>
            <c:spPr>
              <a:solidFill>
                <a:schemeClr val="accent6">
                  <a:alpha val="5000"/>
                </a:schemeClr>
              </a:solidFill>
            </c:spPr>
            <c:txPr>
              <a:bodyPr rot="2700000" vert="horz"/>
              <a:lstStyle/>
              <a:p>
                <a:pPr algn="ctr">
                  <a:defRPr sz="1200" b="1"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Prices!$T$7:$T$21</c:f>
              <c:numCache>
                <c:formatCode>_("$"* #,##0.00_);_("$"* \(#,##0.00\);_("$"* "-"??_);_(@_)</c:formatCode>
                <c:ptCount val="15"/>
                <c:pt idx="0">
                  <c:v>9.0500000000000025</c:v>
                </c:pt>
                <c:pt idx="1">
                  <c:v>9.4000000000000021</c:v>
                </c:pt>
                <c:pt idx="2">
                  <c:v>9.7500000000000018</c:v>
                </c:pt>
                <c:pt idx="3">
                  <c:v>10.100000000000001</c:v>
                </c:pt>
                <c:pt idx="4">
                  <c:v>10.450000000000001</c:v>
                </c:pt>
                <c:pt idx="5">
                  <c:v>10.8</c:v>
                </c:pt>
                <c:pt idx="6">
                  <c:v>11.15</c:v>
                </c:pt>
                <c:pt idx="7">
                  <c:v>11.5</c:v>
                </c:pt>
                <c:pt idx="8">
                  <c:v>11.85</c:v>
                </c:pt>
                <c:pt idx="9">
                  <c:v>12.2</c:v>
                </c:pt>
                <c:pt idx="10">
                  <c:v>12.549999999999999</c:v>
                </c:pt>
                <c:pt idx="11">
                  <c:v>12.899999999999999</c:v>
                </c:pt>
                <c:pt idx="12">
                  <c:v>13.249999999999998</c:v>
                </c:pt>
                <c:pt idx="13">
                  <c:v>13.599999999999998</c:v>
                </c:pt>
                <c:pt idx="14">
                  <c:v>13.949999999999998</c:v>
                </c:pt>
              </c:numCache>
            </c:numRef>
          </c:cat>
          <c:val>
            <c:numRef>
              <c:f>Prices!$R$70:$R$84</c:f>
              <c:numCache>
                <c:formatCode>_("$"* #,##0_);_("$"* \(#,##0\);_("$"* "-"??_);_(@_)</c:formatCode>
                <c:ptCount val="15"/>
                <c:pt idx="0">
                  <c:v>366.40266562500005</c:v>
                </c:pt>
                <c:pt idx="1">
                  <c:v>372.57913621323536</c:v>
                </c:pt>
                <c:pt idx="2">
                  <c:v>378.75560680147066</c:v>
                </c:pt>
                <c:pt idx="3">
                  <c:v>384.93207738970597</c:v>
                </c:pt>
                <c:pt idx="4">
                  <c:v>391.10854797794127</c:v>
                </c:pt>
                <c:pt idx="5">
                  <c:v>397.28501856617652</c:v>
                </c:pt>
                <c:pt idx="6">
                  <c:v>403.46148915441182</c:v>
                </c:pt>
                <c:pt idx="7">
                  <c:v>409.63795974264713</c:v>
                </c:pt>
                <c:pt idx="8">
                  <c:v>415.81443033088243</c:v>
                </c:pt>
                <c:pt idx="9">
                  <c:v>421.99090091911773</c:v>
                </c:pt>
                <c:pt idx="10">
                  <c:v>428.16737150735298</c:v>
                </c:pt>
                <c:pt idx="11">
                  <c:v>434.34384209558823</c:v>
                </c:pt>
                <c:pt idx="12">
                  <c:v>440.52031268382353</c:v>
                </c:pt>
                <c:pt idx="13">
                  <c:v>446.69678327205878</c:v>
                </c:pt>
                <c:pt idx="14">
                  <c:v>452.87325386029414</c:v>
                </c:pt>
              </c:numCache>
            </c:numRef>
          </c:val>
          <c:smooth val="0"/>
          <c:extLst>
            <c:ext xmlns:c16="http://schemas.microsoft.com/office/drawing/2014/chart" uri="{C3380CC4-5D6E-409C-BE32-E72D297353CC}">
              <c16:uniqueId val="{00000001-4F88-4934-9C4C-918D25D49BAB}"/>
            </c:ext>
          </c:extLst>
        </c:ser>
        <c:dLbls>
          <c:showLegendKey val="0"/>
          <c:showVal val="0"/>
          <c:showCatName val="0"/>
          <c:showSerName val="0"/>
          <c:showPercent val="0"/>
          <c:showBubbleSize val="0"/>
        </c:dLbls>
        <c:marker val="1"/>
        <c:smooth val="0"/>
        <c:axId val="-1980964272"/>
        <c:axId val="-1980961152"/>
      </c:lineChart>
      <c:catAx>
        <c:axId val="-1980964272"/>
        <c:scaling>
          <c:orientation val="minMax"/>
        </c:scaling>
        <c:delete val="0"/>
        <c:axPos val="b"/>
        <c:title>
          <c:tx>
            <c:rich>
              <a:bodyPr/>
              <a:lstStyle/>
              <a:p>
                <a:pPr>
                  <a:defRPr sz="1400" b="0" i="0" u="none" strike="noStrike" baseline="0">
                    <a:solidFill>
                      <a:srgbClr val="000000"/>
                    </a:solidFill>
                    <a:latin typeface="Calibri"/>
                    <a:ea typeface="Calibri"/>
                    <a:cs typeface="Calibri"/>
                  </a:defRPr>
                </a:pPr>
                <a:r>
                  <a:rPr lang="en-US"/>
                  <a:t>Soybean Price ($/bu)</a:t>
                </a:r>
              </a:p>
            </c:rich>
          </c:tx>
          <c:overlay val="0"/>
        </c:title>
        <c:numFmt formatCode="_(&quot;$&quot;* #,##0.00_);_(&quot;$&quot;* \(#,##0.00\);_(&quot;$&quot;* &quot;-&quot;??_);_(@_)" sourceLinked="1"/>
        <c:majorTickMark val="none"/>
        <c:minorTickMark val="none"/>
        <c:tickLblPos val="nextTo"/>
        <c:txPr>
          <a:bodyPr rot="-5400000" vert="horz"/>
          <a:lstStyle/>
          <a:p>
            <a:pPr>
              <a:defRPr sz="1200" b="0" i="0" u="none" strike="noStrike" baseline="0">
                <a:solidFill>
                  <a:srgbClr val="000000"/>
                </a:solidFill>
                <a:latin typeface="Calibri"/>
                <a:ea typeface="Calibri"/>
                <a:cs typeface="Calibri"/>
              </a:defRPr>
            </a:pPr>
            <a:endParaRPr lang="en-US"/>
          </a:p>
        </c:txPr>
        <c:crossAx val="-1980961152"/>
        <c:crosses val="autoZero"/>
        <c:auto val="1"/>
        <c:lblAlgn val="ctr"/>
        <c:lblOffset val="100"/>
        <c:noMultiLvlLbl val="0"/>
      </c:catAx>
      <c:valAx>
        <c:axId val="-1980961152"/>
        <c:scaling>
          <c:orientation val="minMax"/>
        </c:scaling>
        <c:delete val="0"/>
        <c:axPos val="l"/>
        <c:majorGridlines/>
        <c:title>
          <c:tx>
            <c:rich>
              <a:bodyPr/>
              <a:lstStyle/>
              <a:p>
                <a:pPr>
                  <a:defRPr sz="1400" b="0" i="0" u="none" strike="noStrike" baseline="0">
                    <a:solidFill>
                      <a:srgbClr val="000000"/>
                    </a:solidFill>
                    <a:latin typeface="Calibri"/>
                    <a:ea typeface="Calibri"/>
                    <a:cs typeface="Calibri"/>
                  </a:defRPr>
                </a:pPr>
                <a:r>
                  <a:rPr lang="en-US"/>
                  <a:t>Peanut Price ($/ton)</a:t>
                </a:r>
              </a:p>
            </c:rich>
          </c:tx>
          <c:layout>
            <c:manualLayout>
              <c:xMode val="edge"/>
              <c:yMode val="edge"/>
              <c:x val="8.3441062404512902E-5"/>
              <c:y val="0.30024372759856599"/>
            </c:manualLayout>
          </c:layout>
          <c:overlay val="0"/>
        </c:title>
        <c:numFmt formatCode="_(&quot;$&quot;* #,##0_);_(&quot;$&quot;* \(#,##0\);_(&quot;$&quot;* &quot;-&quot;??_);_(@_)"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1980964272"/>
        <c:crosses val="autoZero"/>
        <c:crossBetween val="between"/>
      </c:valAx>
    </c:plotArea>
    <c:legend>
      <c:legendPos val="r"/>
      <c:layout>
        <c:manualLayout>
          <c:xMode val="edge"/>
          <c:yMode val="edge"/>
          <c:x val="0.13972747809508901"/>
          <c:y val="0.69972737278807895"/>
          <c:w val="0.221831524790744"/>
          <c:h val="0.102313210848644"/>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CCFFCC"/>
    </a:solidFill>
  </c:spPr>
  <c:txPr>
    <a:bodyPr/>
    <a:lstStyle/>
    <a:p>
      <a:pPr>
        <a:defRPr sz="12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horizontalDpi="300" verticalDpi="300"/>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Corn Price Needed to Give Equal Returns Above Variable Costs to Soybean at Budgeted Yields *</a:t>
            </a:r>
          </a:p>
        </c:rich>
      </c:tx>
      <c:overlay val="0"/>
    </c:title>
    <c:autoTitleDeleted val="0"/>
    <c:plotArea>
      <c:layout>
        <c:manualLayout>
          <c:layoutTarget val="inner"/>
          <c:xMode val="edge"/>
          <c:yMode val="edge"/>
          <c:x val="0.13366369744322501"/>
          <c:y val="9.7056084681031607E-2"/>
          <c:w val="0.80786312183950004"/>
          <c:h val="0.71248991719977495"/>
        </c:manualLayout>
      </c:layout>
      <c:lineChart>
        <c:grouping val="standard"/>
        <c:varyColors val="0"/>
        <c:ser>
          <c:idx val="0"/>
          <c:order val="0"/>
          <c:tx>
            <c:strRef>
              <c:f>Prices!$S$6</c:f>
              <c:strCache>
                <c:ptCount val="1"/>
                <c:pt idx="0">
                  <c:v>Irrigated Corn</c:v>
                </c:pt>
              </c:strCache>
            </c:strRef>
          </c:tx>
          <c:spPr>
            <a:ln>
              <a:solidFill>
                <a:schemeClr val="accent4">
                  <a:lumMod val="75000"/>
                </a:schemeClr>
              </a:solidFill>
            </a:ln>
          </c:spPr>
          <c:marker>
            <c:symbol val="circle"/>
            <c:size val="7"/>
            <c:spPr>
              <a:solidFill>
                <a:schemeClr val="accent4">
                  <a:lumMod val="60000"/>
                  <a:lumOff val="40000"/>
                </a:schemeClr>
              </a:solidFill>
              <a:ln>
                <a:solidFill>
                  <a:srgbClr val="7030A0"/>
                </a:solidFill>
              </a:ln>
            </c:spPr>
          </c:marker>
          <c:dLbls>
            <c:spPr>
              <a:solidFill>
                <a:schemeClr val="accent4">
                  <a:lumMod val="60000"/>
                  <a:lumOff val="40000"/>
                  <a:alpha val="5000"/>
                </a:schemeClr>
              </a:solidFill>
            </c:spPr>
            <c:txPr>
              <a:bodyPr/>
              <a:lstStyle/>
              <a:p>
                <a:pPr>
                  <a:defRPr sz="12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Prices!$T$7:$T$21</c:f>
              <c:numCache>
                <c:formatCode>_("$"* #,##0.00_);_("$"* \(#,##0.00\);_("$"* "-"??_);_(@_)</c:formatCode>
                <c:ptCount val="15"/>
                <c:pt idx="0">
                  <c:v>9.0500000000000025</c:v>
                </c:pt>
                <c:pt idx="1">
                  <c:v>9.4000000000000021</c:v>
                </c:pt>
                <c:pt idx="2">
                  <c:v>9.7500000000000018</c:v>
                </c:pt>
                <c:pt idx="3">
                  <c:v>10.100000000000001</c:v>
                </c:pt>
                <c:pt idx="4">
                  <c:v>10.450000000000001</c:v>
                </c:pt>
                <c:pt idx="5">
                  <c:v>10.8</c:v>
                </c:pt>
                <c:pt idx="6">
                  <c:v>11.15</c:v>
                </c:pt>
                <c:pt idx="7">
                  <c:v>11.5</c:v>
                </c:pt>
                <c:pt idx="8">
                  <c:v>11.85</c:v>
                </c:pt>
                <c:pt idx="9">
                  <c:v>12.2</c:v>
                </c:pt>
                <c:pt idx="10">
                  <c:v>12.549999999999999</c:v>
                </c:pt>
                <c:pt idx="11">
                  <c:v>12.899999999999999</c:v>
                </c:pt>
                <c:pt idx="12">
                  <c:v>13.249999999999998</c:v>
                </c:pt>
                <c:pt idx="13">
                  <c:v>13.599999999999998</c:v>
                </c:pt>
                <c:pt idx="14">
                  <c:v>13.949999999999998</c:v>
                </c:pt>
              </c:numCache>
            </c:numRef>
          </c:cat>
          <c:val>
            <c:numRef>
              <c:f>Prices!$S$49:$S$63</c:f>
              <c:numCache>
                <c:formatCode>_("$"* #,##0.00_);_("$"* \(#,##0.00\);_("$"* "-"??_);_(@_)</c:formatCode>
                <c:ptCount val="15"/>
                <c:pt idx="0">
                  <c:v>4.9032872781250001</c:v>
                </c:pt>
                <c:pt idx="1">
                  <c:v>5.0082872781249996</c:v>
                </c:pt>
                <c:pt idx="2">
                  <c:v>5.1132872781250001</c:v>
                </c:pt>
                <c:pt idx="3">
                  <c:v>5.2182872781250005</c:v>
                </c:pt>
                <c:pt idx="4">
                  <c:v>5.323287278125</c:v>
                </c:pt>
                <c:pt idx="5">
                  <c:v>5.4282872781249987</c:v>
                </c:pt>
                <c:pt idx="6">
                  <c:v>5.5332872781249991</c:v>
                </c:pt>
                <c:pt idx="7">
                  <c:v>5.6382872781249986</c:v>
                </c:pt>
                <c:pt idx="8">
                  <c:v>5.7432872781249991</c:v>
                </c:pt>
                <c:pt idx="9">
                  <c:v>5.8482872781249986</c:v>
                </c:pt>
                <c:pt idx="10">
                  <c:v>5.953287278124999</c:v>
                </c:pt>
                <c:pt idx="11">
                  <c:v>6.0582872781249986</c:v>
                </c:pt>
                <c:pt idx="12">
                  <c:v>6.163287278124999</c:v>
                </c:pt>
                <c:pt idx="13">
                  <c:v>6.2682872781249985</c:v>
                </c:pt>
                <c:pt idx="14">
                  <c:v>6.373287278124999</c:v>
                </c:pt>
              </c:numCache>
            </c:numRef>
          </c:val>
          <c:smooth val="0"/>
          <c:extLst>
            <c:ext xmlns:c16="http://schemas.microsoft.com/office/drawing/2014/chart" uri="{C3380CC4-5D6E-409C-BE32-E72D297353CC}">
              <c16:uniqueId val="{00000000-F393-4227-84CA-D1F9EA15A6E0}"/>
            </c:ext>
          </c:extLst>
        </c:ser>
        <c:ser>
          <c:idx val="1"/>
          <c:order val="1"/>
          <c:tx>
            <c:strRef>
              <c:f>Prices!$S$27</c:f>
              <c:strCache>
                <c:ptCount val="1"/>
                <c:pt idx="0">
                  <c:v>Non Irrigated Corn</c:v>
                </c:pt>
              </c:strCache>
            </c:strRef>
          </c:tx>
          <c:spPr>
            <a:ln>
              <a:solidFill>
                <a:schemeClr val="accent6">
                  <a:lumMod val="75000"/>
                </a:schemeClr>
              </a:solidFill>
            </a:ln>
          </c:spPr>
          <c:marker>
            <c:symbol val="square"/>
            <c:size val="6"/>
            <c:spPr>
              <a:solidFill>
                <a:schemeClr val="accent6">
                  <a:lumMod val="60000"/>
                  <a:lumOff val="40000"/>
                </a:schemeClr>
              </a:solidFill>
              <a:ln>
                <a:solidFill>
                  <a:schemeClr val="accent6">
                    <a:lumMod val="50000"/>
                  </a:schemeClr>
                </a:solidFill>
              </a:ln>
            </c:spPr>
          </c:marker>
          <c:dLbls>
            <c:spPr>
              <a:solidFill>
                <a:srgbClr val="FFC000">
                  <a:alpha val="5000"/>
                </a:srgbClr>
              </a:solidFill>
            </c:spPr>
            <c:txPr>
              <a:bodyPr rot="2700000" vert="horz"/>
              <a:lstStyle/>
              <a:p>
                <a:pPr algn="ctr">
                  <a:defRPr sz="1200" b="1"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Prices!$T$7:$T$21</c:f>
              <c:numCache>
                <c:formatCode>_("$"* #,##0.00_);_("$"* \(#,##0.00\);_("$"* "-"??_);_(@_)</c:formatCode>
                <c:ptCount val="15"/>
                <c:pt idx="0">
                  <c:v>9.0500000000000025</c:v>
                </c:pt>
                <c:pt idx="1">
                  <c:v>9.4000000000000021</c:v>
                </c:pt>
                <c:pt idx="2">
                  <c:v>9.7500000000000018</c:v>
                </c:pt>
                <c:pt idx="3">
                  <c:v>10.100000000000001</c:v>
                </c:pt>
                <c:pt idx="4">
                  <c:v>10.450000000000001</c:v>
                </c:pt>
                <c:pt idx="5">
                  <c:v>10.8</c:v>
                </c:pt>
                <c:pt idx="6">
                  <c:v>11.15</c:v>
                </c:pt>
                <c:pt idx="7">
                  <c:v>11.5</c:v>
                </c:pt>
                <c:pt idx="8">
                  <c:v>11.85</c:v>
                </c:pt>
                <c:pt idx="9">
                  <c:v>12.2</c:v>
                </c:pt>
                <c:pt idx="10">
                  <c:v>12.549999999999999</c:v>
                </c:pt>
                <c:pt idx="11">
                  <c:v>12.899999999999999</c:v>
                </c:pt>
                <c:pt idx="12">
                  <c:v>13.249999999999998</c:v>
                </c:pt>
                <c:pt idx="13">
                  <c:v>13.599999999999998</c:v>
                </c:pt>
                <c:pt idx="14">
                  <c:v>13.949999999999998</c:v>
                </c:pt>
              </c:numCache>
            </c:numRef>
          </c:cat>
          <c:val>
            <c:numRef>
              <c:f>Prices!$S$70:$S$84</c:f>
              <c:numCache>
                <c:formatCode>_("$"* #,##0.00_);_("$"* \(#,##0.00\);_("$"* "-"??_);_(@_)</c:formatCode>
                <c:ptCount val="15"/>
                <c:pt idx="0">
                  <c:v>4.4561824338235301</c:v>
                </c:pt>
                <c:pt idx="1">
                  <c:v>4.5797118455882364</c:v>
                </c:pt>
                <c:pt idx="2">
                  <c:v>4.7032412573529419</c:v>
                </c:pt>
                <c:pt idx="3">
                  <c:v>4.8267706691176482</c:v>
                </c:pt>
                <c:pt idx="4">
                  <c:v>4.9503000808823536</c:v>
                </c:pt>
                <c:pt idx="5">
                  <c:v>5.0738294926470591</c:v>
                </c:pt>
                <c:pt idx="6">
                  <c:v>5.1973589044117645</c:v>
                </c:pt>
                <c:pt idx="7">
                  <c:v>5.3208883161764708</c:v>
                </c:pt>
                <c:pt idx="8">
                  <c:v>5.4444177279411763</c:v>
                </c:pt>
                <c:pt idx="9">
                  <c:v>5.5679471397058826</c:v>
                </c:pt>
                <c:pt idx="10">
                  <c:v>5.6914765514705881</c:v>
                </c:pt>
                <c:pt idx="11">
                  <c:v>5.8150059632352935</c:v>
                </c:pt>
                <c:pt idx="12">
                  <c:v>5.9385353749999998</c:v>
                </c:pt>
                <c:pt idx="13">
                  <c:v>6.0620647867647062</c:v>
                </c:pt>
                <c:pt idx="14">
                  <c:v>6.1855941985294116</c:v>
                </c:pt>
              </c:numCache>
            </c:numRef>
          </c:val>
          <c:smooth val="0"/>
          <c:extLst>
            <c:ext xmlns:c16="http://schemas.microsoft.com/office/drawing/2014/chart" uri="{C3380CC4-5D6E-409C-BE32-E72D297353CC}">
              <c16:uniqueId val="{00000001-F393-4227-84CA-D1F9EA15A6E0}"/>
            </c:ext>
          </c:extLst>
        </c:ser>
        <c:dLbls>
          <c:showLegendKey val="0"/>
          <c:showVal val="0"/>
          <c:showCatName val="0"/>
          <c:showSerName val="0"/>
          <c:showPercent val="0"/>
          <c:showBubbleSize val="0"/>
        </c:dLbls>
        <c:marker val="1"/>
        <c:smooth val="0"/>
        <c:axId val="-1980931888"/>
        <c:axId val="-1980928768"/>
      </c:lineChart>
      <c:catAx>
        <c:axId val="-1980931888"/>
        <c:scaling>
          <c:orientation val="minMax"/>
        </c:scaling>
        <c:delete val="0"/>
        <c:axPos val="b"/>
        <c:title>
          <c:tx>
            <c:rich>
              <a:bodyPr/>
              <a:lstStyle/>
              <a:p>
                <a:pPr>
                  <a:defRPr sz="1400" b="0" i="0" u="none" strike="noStrike" baseline="0">
                    <a:solidFill>
                      <a:srgbClr val="000000"/>
                    </a:solidFill>
                    <a:latin typeface="Calibri"/>
                    <a:ea typeface="Calibri"/>
                    <a:cs typeface="Calibri"/>
                  </a:defRPr>
                </a:pPr>
                <a:r>
                  <a:rPr lang="en-US"/>
                  <a:t>Soybean Price ($/bu)</a:t>
                </a:r>
              </a:p>
            </c:rich>
          </c:tx>
          <c:layout>
            <c:manualLayout>
              <c:xMode val="edge"/>
              <c:yMode val="edge"/>
              <c:x val="0.437289512723953"/>
              <c:y val="0.933117051355705"/>
            </c:manualLayout>
          </c:layout>
          <c:overlay val="0"/>
        </c:title>
        <c:numFmt formatCode="_(&quot;$&quot;* #,##0.00_);_(&quot;$&quot;* \(#,##0.00\);_(&quot;$&quot;* &quot;-&quot;??_);_(@_)" sourceLinked="1"/>
        <c:majorTickMark val="none"/>
        <c:minorTickMark val="none"/>
        <c:tickLblPos val="nextTo"/>
        <c:txPr>
          <a:bodyPr rot="-5400000" vert="horz"/>
          <a:lstStyle/>
          <a:p>
            <a:pPr>
              <a:defRPr sz="1200" b="0" i="0" u="none" strike="noStrike" baseline="0">
                <a:solidFill>
                  <a:srgbClr val="000000"/>
                </a:solidFill>
                <a:latin typeface="Calibri"/>
                <a:ea typeface="Calibri"/>
                <a:cs typeface="Calibri"/>
              </a:defRPr>
            </a:pPr>
            <a:endParaRPr lang="en-US"/>
          </a:p>
        </c:txPr>
        <c:crossAx val="-1980928768"/>
        <c:crosses val="autoZero"/>
        <c:auto val="1"/>
        <c:lblAlgn val="ctr"/>
        <c:lblOffset val="100"/>
        <c:noMultiLvlLbl val="0"/>
      </c:catAx>
      <c:valAx>
        <c:axId val="-1980928768"/>
        <c:scaling>
          <c:orientation val="minMax"/>
        </c:scaling>
        <c:delete val="0"/>
        <c:axPos val="l"/>
        <c:majorGridlines/>
        <c:title>
          <c:tx>
            <c:rich>
              <a:bodyPr/>
              <a:lstStyle/>
              <a:p>
                <a:pPr>
                  <a:defRPr sz="1400" b="0" i="0" u="none" strike="noStrike" baseline="0">
                    <a:solidFill>
                      <a:srgbClr val="000000"/>
                    </a:solidFill>
                    <a:latin typeface="Calibri"/>
                    <a:ea typeface="Calibri"/>
                    <a:cs typeface="Calibri"/>
                  </a:defRPr>
                </a:pPr>
                <a:r>
                  <a:rPr lang="en-US"/>
                  <a:t>Corn Price ($/bu)</a:t>
                </a:r>
              </a:p>
            </c:rich>
          </c:tx>
          <c:layout>
            <c:manualLayout>
              <c:xMode val="edge"/>
              <c:yMode val="edge"/>
              <c:x val="8.3467827391141405E-5"/>
              <c:y val="0.30024376781228501"/>
            </c:manualLayout>
          </c:layout>
          <c:overlay val="0"/>
        </c:title>
        <c:numFmt formatCode="_(&quot;$&quot;* #,##0.00_);_(&quot;$&quot;* \(#,##0.00\);_(&quot;$&quot;* &quot;-&quot;??_);_(@_)"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1980931888"/>
        <c:crosses val="autoZero"/>
        <c:crossBetween val="between"/>
      </c:valAx>
    </c:plotArea>
    <c:legend>
      <c:legendPos val="r"/>
      <c:layout>
        <c:manualLayout>
          <c:xMode val="edge"/>
          <c:yMode val="edge"/>
          <c:x val="0.13811890904941199"/>
          <c:y val="0.69937300755860499"/>
          <c:w val="0.199308912472897"/>
          <c:h val="0.10231309069199"/>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CCFFCC"/>
    </a:solidFill>
  </c:spPr>
  <c:txPr>
    <a:bodyPr/>
    <a:lstStyle/>
    <a:p>
      <a:pPr>
        <a:defRPr sz="12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sz="1100"/>
              <a:t>Soybean Price Needed to Give Equal Returns Above Variable Costs to Cotton at Budgeted Yields *</a:t>
            </a:r>
          </a:p>
        </c:rich>
      </c:tx>
      <c:layout>
        <c:manualLayout>
          <c:xMode val="edge"/>
          <c:yMode val="edge"/>
          <c:x val="0.12883115697494299"/>
          <c:y val="1.7219202438404899E-2"/>
        </c:manualLayout>
      </c:layout>
      <c:overlay val="0"/>
    </c:title>
    <c:autoTitleDeleted val="0"/>
    <c:plotArea>
      <c:layout>
        <c:manualLayout>
          <c:layoutTarget val="inner"/>
          <c:xMode val="edge"/>
          <c:yMode val="edge"/>
          <c:x val="0.13366369744322501"/>
          <c:y val="9.7056084681031607E-2"/>
          <c:w val="0.80786312183950004"/>
          <c:h val="0.71248991719977495"/>
        </c:manualLayout>
      </c:layout>
      <c:lineChart>
        <c:grouping val="standard"/>
        <c:varyColors val="0"/>
        <c:ser>
          <c:idx val="1"/>
          <c:order val="0"/>
          <c:tx>
            <c:strRef>
              <c:f>Prices!$E$27</c:f>
              <c:strCache>
                <c:ptCount val="1"/>
                <c:pt idx="0">
                  <c:v>Non Irrigated Soybean</c:v>
                </c:pt>
              </c:strCache>
            </c:strRef>
          </c:tx>
          <c:spPr>
            <a:ln>
              <a:solidFill>
                <a:schemeClr val="accent6">
                  <a:lumMod val="75000"/>
                </a:schemeClr>
              </a:solidFill>
            </a:ln>
          </c:spPr>
          <c:marker>
            <c:symbol val="square"/>
            <c:size val="6"/>
            <c:spPr>
              <a:solidFill>
                <a:schemeClr val="accent6">
                  <a:lumMod val="60000"/>
                  <a:lumOff val="40000"/>
                </a:schemeClr>
              </a:solidFill>
              <a:ln>
                <a:solidFill>
                  <a:schemeClr val="accent6">
                    <a:lumMod val="50000"/>
                  </a:schemeClr>
                </a:solidFill>
              </a:ln>
            </c:spPr>
          </c:marker>
          <c:dLbls>
            <c:spPr>
              <a:solidFill>
                <a:srgbClr val="FFC000">
                  <a:alpha val="5000"/>
                </a:srgbClr>
              </a:solidFill>
            </c:spPr>
            <c:txPr>
              <a:bodyPr/>
              <a:lstStyle/>
              <a:p>
                <a:pPr>
                  <a:defRPr sz="12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Prices!$B$28:$B$42</c:f>
              <c:numCache>
                <c:formatCode>_("$"* #,##0.00_);_("$"* \(#,##0.00\);_("$"* "-"??_);_(@_)</c:formatCode>
                <c:ptCount val="15"/>
                <c:pt idx="0">
                  <c:v>0.58499999999999985</c:v>
                </c:pt>
                <c:pt idx="1">
                  <c:v>0.60999999999999988</c:v>
                </c:pt>
                <c:pt idx="2">
                  <c:v>0.6349999999999999</c:v>
                </c:pt>
                <c:pt idx="3">
                  <c:v>0.65999999999999992</c:v>
                </c:pt>
                <c:pt idx="4">
                  <c:v>0.68499999999999994</c:v>
                </c:pt>
                <c:pt idx="5">
                  <c:v>0.71</c:v>
                </c:pt>
                <c:pt idx="6">
                  <c:v>0.73499999999999999</c:v>
                </c:pt>
                <c:pt idx="7">
                  <c:v>0.76</c:v>
                </c:pt>
                <c:pt idx="8">
                  <c:v>0.78500000000000003</c:v>
                </c:pt>
                <c:pt idx="9">
                  <c:v>0.81</c:v>
                </c:pt>
                <c:pt idx="10">
                  <c:v>0.83500000000000008</c:v>
                </c:pt>
                <c:pt idx="11">
                  <c:v>0.8600000000000001</c:v>
                </c:pt>
                <c:pt idx="12">
                  <c:v>0.88500000000000012</c:v>
                </c:pt>
                <c:pt idx="13">
                  <c:v>0.91000000000000014</c:v>
                </c:pt>
                <c:pt idx="14">
                  <c:v>0.93500000000000016</c:v>
                </c:pt>
              </c:numCache>
            </c:numRef>
          </c:cat>
          <c:val>
            <c:numRef>
              <c:f>Prices!$E$28:$E$42</c:f>
              <c:numCache>
                <c:formatCode>_("$"* #,##0.00_);_("$"* \(#,##0.00\);_("$"* "-"??_);_(@_)</c:formatCode>
                <c:ptCount val="15"/>
                <c:pt idx="0">
                  <c:v>5.0877335359848397</c:v>
                </c:pt>
                <c:pt idx="1">
                  <c:v>5.7127335359848397</c:v>
                </c:pt>
                <c:pt idx="2">
                  <c:v>6.3377335359848415</c:v>
                </c:pt>
                <c:pt idx="3">
                  <c:v>6.9627335359848415</c:v>
                </c:pt>
                <c:pt idx="4">
                  <c:v>7.5877335359848432</c:v>
                </c:pt>
                <c:pt idx="5">
                  <c:v>8.2127335359848441</c:v>
                </c:pt>
                <c:pt idx="6">
                  <c:v>8.8377335359848441</c:v>
                </c:pt>
                <c:pt idx="7">
                  <c:v>9.4627335359848441</c:v>
                </c:pt>
                <c:pt idx="8">
                  <c:v>10.087733535984844</c:v>
                </c:pt>
                <c:pt idx="9">
                  <c:v>10.712733535984844</c:v>
                </c:pt>
                <c:pt idx="10">
                  <c:v>11.337733535984844</c:v>
                </c:pt>
                <c:pt idx="11">
                  <c:v>11.962733535984848</c:v>
                </c:pt>
                <c:pt idx="12">
                  <c:v>12.587733535984848</c:v>
                </c:pt>
                <c:pt idx="13">
                  <c:v>13.212733535984848</c:v>
                </c:pt>
                <c:pt idx="14">
                  <c:v>13.837733535984848</c:v>
                </c:pt>
              </c:numCache>
            </c:numRef>
          </c:val>
          <c:smooth val="0"/>
          <c:extLst>
            <c:ext xmlns:c16="http://schemas.microsoft.com/office/drawing/2014/chart" uri="{C3380CC4-5D6E-409C-BE32-E72D297353CC}">
              <c16:uniqueId val="{00000000-53F5-4EF4-A754-D182C7269843}"/>
            </c:ext>
          </c:extLst>
        </c:ser>
        <c:ser>
          <c:idx val="0"/>
          <c:order val="1"/>
          <c:tx>
            <c:strRef>
              <c:f>Prices!$E$6</c:f>
              <c:strCache>
                <c:ptCount val="1"/>
                <c:pt idx="0">
                  <c:v>Irrigated Soybean</c:v>
                </c:pt>
              </c:strCache>
            </c:strRef>
          </c:tx>
          <c:spPr>
            <a:ln>
              <a:solidFill>
                <a:schemeClr val="accent4">
                  <a:lumMod val="75000"/>
                </a:schemeClr>
              </a:solidFill>
            </a:ln>
          </c:spPr>
          <c:marker>
            <c:symbol val="circle"/>
            <c:size val="7"/>
            <c:spPr>
              <a:solidFill>
                <a:schemeClr val="accent4">
                  <a:lumMod val="60000"/>
                  <a:lumOff val="40000"/>
                </a:schemeClr>
              </a:solidFill>
              <a:ln>
                <a:solidFill>
                  <a:srgbClr val="7030A0"/>
                </a:solidFill>
              </a:ln>
            </c:spPr>
          </c:marker>
          <c:dLbls>
            <c:spPr>
              <a:solidFill>
                <a:schemeClr val="accent4">
                  <a:lumMod val="40000"/>
                  <a:lumOff val="60000"/>
                  <a:alpha val="5000"/>
                </a:schemeClr>
              </a:solidFill>
            </c:spPr>
            <c:txPr>
              <a:bodyPr rot="2700000" vert="horz"/>
              <a:lstStyle/>
              <a:p>
                <a:pPr algn="ctr">
                  <a:defRPr sz="1200" b="1"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Prices!$B$28:$B$42</c:f>
              <c:numCache>
                <c:formatCode>_("$"* #,##0.00_);_("$"* \(#,##0.00\);_("$"* "-"??_);_(@_)</c:formatCode>
                <c:ptCount val="15"/>
                <c:pt idx="0">
                  <c:v>0.58499999999999985</c:v>
                </c:pt>
                <c:pt idx="1">
                  <c:v>0.60999999999999988</c:v>
                </c:pt>
                <c:pt idx="2">
                  <c:v>0.6349999999999999</c:v>
                </c:pt>
                <c:pt idx="3">
                  <c:v>0.65999999999999992</c:v>
                </c:pt>
                <c:pt idx="4">
                  <c:v>0.68499999999999994</c:v>
                </c:pt>
                <c:pt idx="5">
                  <c:v>0.71</c:v>
                </c:pt>
                <c:pt idx="6">
                  <c:v>0.73499999999999999</c:v>
                </c:pt>
                <c:pt idx="7">
                  <c:v>0.76</c:v>
                </c:pt>
                <c:pt idx="8">
                  <c:v>0.78500000000000003</c:v>
                </c:pt>
                <c:pt idx="9">
                  <c:v>0.81</c:v>
                </c:pt>
                <c:pt idx="10">
                  <c:v>0.83500000000000008</c:v>
                </c:pt>
                <c:pt idx="11">
                  <c:v>0.8600000000000001</c:v>
                </c:pt>
                <c:pt idx="12">
                  <c:v>0.88500000000000012</c:v>
                </c:pt>
                <c:pt idx="13">
                  <c:v>0.91000000000000014</c:v>
                </c:pt>
                <c:pt idx="14">
                  <c:v>0.93500000000000016</c:v>
                </c:pt>
              </c:numCache>
            </c:numRef>
          </c:cat>
          <c:val>
            <c:numRef>
              <c:f>Prices!$E$7:$E$21</c:f>
              <c:numCache>
                <c:formatCode>_("$"* #,##0.00_);_("$"* \(#,##0.00\);_("$"* "-"??_);_(@_)</c:formatCode>
                <c:ptCount val="15"/>
                <c:pt idx="0">
                  <c:v>5.7754575767045413</c:v>
                </c:pt>
                <c:pt idx="1">
                  <c:v>6.2754575767045431</c:v>
                </c:pt>
                <c:pt idx="2">
                  <c:v>6.7754575767045431</c:v>
                </c:pt>
                <c:pt idx="3">
                  <c:v>7.2754575767045431</c:v>
                </c:pt>
                <c:pt idx="4">
                  <c:v>7.7754575767045431</c:v>
                </c:pt>
                <c:pt idx="5">
                  <c:v>8.2754575767045448</c:v>
                </c:pt>
                <c:pt idx="6">
                  <c:v>8.7754575767045448</c:v>
                </c:pt>
                <c:pt idx="7">
                  <c:v>9.2754575767045448</c:v>
                </c:pt>
                <c:pt idx="8">
                  <c:v>9.7754575767045448</c:v>
                </c:pt>
                <c:pt idx="9">
                  <c:v>10.275457576704548</c:v>
                </c:pt>
                <c:pt idx="10">
                  <c:v>10.775457576704548</c:v>
                </c:pt>
                <c:pt idx="11">
                  <c:v>11.275457576704548</c:v>
                </c:pt>
                <c:pt idx="12">
                  <c:v>11.775457576704548</c:v>
                </c:pt>
                <c:pt idx="13">
                  <c:v>12.275457576704548</c:v>
                </c:pt>
                <c:pt idx="14">
                  <c:v>12.775457576704548</c:v>
                </c:pt>
              </c:numCache>
            </c:numRef>
          </c:val>
          <c:smooth val="0"/>
          <c:extLst>
            <c:ext xmlns:c16="http://schemas.microsoft.com/office/drawing/2014/chart" uri="{C3380CC4-5D6E-409C-BE32-E72D297353CC}">
              <c16:uniqueId val="{00000001-53F5-4EF4-A754-D182C7269843}"/>
            </c:ext>
          </c:extLst>
        </c:ser>
        <c:dLbls>
          <c:showLegendKey val="0"/>
          <c:showVal val="0"/>
          <c:showCatName val="0"/>
          <c:showSerName val="0"/>
          <c:showPercent val="0"/>
          <c:showBubbleSize val="0"/>
        </c:dLbls>
        <c:marker val="1"/>
        <c:smooth val="0"/>
        <c:axId val="-1811322672"/>
        <c:axId val="-1811318912"/>
      </c:lineChart>
      <c:catAx>
        <c:axId val="-1811322672"/>
        <c:scaling>
          <c:orientation val="minMax"/>
        </c:scaling>
        <c:delete val="0"/>
        <c:axPos val="b"/>
        <c:title>
          <c:tx>
            <c:rich>
              <a:bodyPr/>
              <a:lstStyle/>
              <a:p>
                <a:pPr>
                  <a:defRPr sz="1400" b="0" i="0" u="none" strike="noStrike" baseline="0">
                    <a:solidFill>
                      <a:srgbClr val="000000"/>
                    </a:solidFill>
                    <a:latin typeface="Calibri"/>
                    <a:ea typeface="Calibri"/>
                    <a:cs typeface="Calibri"/>
                  </a:defRPr>
                </a:pPr>
                <a:r>
                  <a:rPr lang="en-US"/>
                  <a:t>Cotton Price ($/lb)</a:t>
                </a:r>
              </a:p>
            </c:rich>
          </c:tx>
          <c:layout>
            <c:manualLayout>
              <c:xMode val="edge"/>
              <c:yMode val="edge"/>
              <c:x val="0.44852271726903697"/>
              <c:y val="0.91945090734625901"/>
            </c:manualLayout>
          </c:layout>
          <c:overlay val="0"/>
        </c:title>
        <c:numFmt formatCode="_(&quot;$&quot;* #,##0.00_);_(&quot;$&quot;* \(#,##0.00\);_(&quot;$&quot;* &quot;-&quot;??_);_(@_)" sourceLinked="1"/>
        <c:majorTickMark val="none"/>
        <c:minorTickMark val="none"/>
        <c:tickLblPos val="nextTo"/>
        <c:txPr>
          <a:bodyPr rot="-5400000" vert="horz"/>
          <a:lstStyle/>
          <a:p>
            <a:pPr>
              <a:defRPr sz="1200" b="0" i="0" u="none" strike="noStrike" baseline="0">
                <a:solidFill>
                  <a:srgbClr val="000000"/>
                </a:solidFill>
                <a:latin typeface="Calibri"/>
                <a:ea typeface="Calibri"/>
                <a:cs typeface="Calibri"/>
              </a:defRPr>
            </a:pPr>
            <a:endParaRPr lang="en-US"/>
          </a:p>
        </c:txPr>
        <c:crossAx val="-1811318912"/>
        <c:crosses val="autoZero"/>
        <c:auto val="1"/>
        <c:lblAlgn val="ctr"/>
        <c:lblOffset val="100"/>
        <c:noMultiLvlLbl val="0"/>
      </c:catAx>
      <c:valAx>
        <c:axId val="-1811318912"/>
        <c:scaling>
          <c:orientation val="minMax"/>
        </c:scaling>
        <c:delete val="0"/>
        <c:axPos val="l"/>
        <c:majorGridlines/>
        <c:title>
          <c:tx>
            <c:rich>
              <a:bodyPr/>
              <a:lstStyle/>
              <a:p>
                <a:pPr>
                  <a:defRPr sz="1400" b="0" i="0" u="none" strike="noStrike" baseline="0">
                    <a:solidFill>
                      <a:srgbClr val="000000"/>
                    </a:solidFill>
                    <a:latin typeface="Calibri"/>
                    <a:ea typeface="Calibri"/>
                    <a:cs typeface="Calibri"/>
                  </a:defRPr>
                </a:pPr>
                <a:r>
                  <a:rPr lang="en-US"/>
                  <a:t>Soybean Price ($/bu)</a:t>
                </a:r>
              </a:p>
            </c:rich>
          </c:tx>
          <c:layout>
            <c:manualLayout>
              <c:xMode val="edge"/>
              <c:yMode val="edge"/>
              <c:x val="8.3467827391141405E-5"/>
              <c:y val="0.30024372759856599"/>
            </c:manualLayout>
          </c:layout>
          <c:overlay val="0"/>
        </c:title>
        <c:numFmt formatCode="_(&quot;$&quot;* #,##0.00_);_(&quot;$&quot;* \(#,##0.00\);_(&quot;$&quot;* &quot;-&quot;??_);_(@_)"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1811322672"/>
        <c:crosses val="autoZero"/>
        <c:crossBetween val="between"/>
      </c:valAx>
    </c:plotArea>
    <c:legend>
      <c:legendPos val="r"/>
      <c:layout>
        <c:manualLayout>
          <c:xMode val="edge"/>
          <c:yMode val="edge"/>
          <c:x val="0.13139844475962201"/>
          <c:y val="0.68307735726582597"/>
          <c:w val="0.21861397760062601"/>
          <c:h val="0.102313210848644"/>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EF4CE"/>
    </a:solidFill>
  </c:spPr>
  <c:txPr>
    <a:bodyPr/>
    <a:lstStyle/>
    <a:p>
      <a:pPr>
        <a:defRPr sz="12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sz="1100"/>
              <a:t>Cotton Price Needed to Give Equal Returns Above Variable Costs to Peanuts at Budgeted Yields *</a:t>
            </a:r>
          </a:p>
        </c:rich>
      </c:tx>
      <c:layout>
        <c:manualLayout>
          <c:xMode val="edge"/>
          <c:yMode val="edge"/>
          <c:x val="0.13070735723252"/>
          <c:y val="1.7219205357950899E-2"/>
        </c:manualLayout>
      </c:layout>
      <c:overlay val="0"/>
    </c:title>
    <c:autoTitleDeleted val="0"/>
    <c:plotArea>
      <c:layout>
        <c:manualLayout>
          <c:layoutTarget val="inner"/>
          <c:xMode val="edge"/>
          <c:yMode val="edge"/>
          <c:x val="0.13366369744322501"/>
          <c:y val="9.7056084681031607E-2"/>
          <c:w val="0.80786312183950004"/>
          <c:h val="0.71248991719977495"/>
        </c:manualLayout>
      </c:layout>
      <c:lineChart>
        <c:grouping val="standard"/>
        <c:varyColors val="0"/>
        <c:ser>
          <c:idx val="1"/>
          <c:order val="0"/>
          <c:tx>
            <c:strRef>
              <c:f>Prices!$G$27</c:f>
              <c:strCache>
                <c:ptCount val="1"/>
                <c:pt idx="0">
                  <c:v>Non Irrigated Cotton</c:v>
                </c:pt>
              </c:strCache>
            </c:strRef>
          </c:tx>
          <c:marker>
            <c:symbol val="square"/>
            <c:size val="6"/>
          </c:marker>
          <c:dLbls>
            <c:spPr>
              <a:solidFill>
                <a:srgbClr val="FF0000">
                  <a:alpha val="5000"/>
                </a:srgbClr>
              </a:solidFill>
            </c:spPr>
            <c:txPr>
              <a:bodyPr/>
              <a:lstStyle/>
              <a:p>
                <a:pPr>
                  <a:defRPr sz="12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Prices!$H$28:$H$42</c:f>
              <c:numCache>
                <c:formatCode>_("$"* #,##0_);_("$"* \(#,##0\);_("$"* "-"??_);_(@_)</c:formatCode>
                <c:ptCount val="15"/>
                <c:pt idx="0">
                  <c:v>442.5</c:v>
                </c:pt>
                <c:pt idx="1">
                  <c:v>452.5</c:v>
                </c:pt>
                <c:pt idx="2">
                  <c:v>462.5</c:v>
                </c:pt>
                <c:pt idx="3">
                  <c:v>472.5</c:v>
                </c:pt>
                <c:pt idx="4">
                  <c:v>482.5</c:v>
                </c:pt>
                <c:pt idx="5">
                  <c:v>492.5</c:v>
                </c:pt>
                <c:pt idx="6">
                  <c:v>502.5</c:v>
                </c:pt>
                <c:pt idx="7">
                  <c:v>512.5</c:v>
                </c:pt>
                <c:pt idx="8">
                  <c:v>522.5</c:v>
                </c:pt>
                <c:pt idx="9">
                  <c:v>532.5</c:v>
                </c:pt>
                <c:pt idx="10">
                  <c:v>542.5</c:v>
                </c:pt>
                <c:pt idx="11">
                  <c:v>552.5</c:v>
                </c:pt>
                <c:pt idx="12">
                  <c:v>562.5</c:v>
                </c:pt>
                <c:pt idx="13">
                  <c:v>572.5</c:v>
                </c:pt>
                <c:pt idx="14">
                  <c:v>582.5</c:v>
                </c:pt>
              </c:numCache>
            </c:numRef>
          </c:cat>
          <c:val>
            <c:numRef>
              <c:f>Prices!$G$28:$G$42</c:f>
              <c:numCache>
                <c:formatCode>_("$"* #,##0.00_);_("$"* \(#,##0.00\);_("$"* "-"??_);_(@_)</c:formatCode>
                <c:ptCount val="15"/>
                <c:pt idx="0">
                  <c:v>0.89155419981060613</c:v>
                </c:pt>
                <c:pt idx="1">
                  <c:v>0.91422086647727274</c:v>
                </c:pt>
                <c:pt idx="2">
                  <c:v>0.93688753314393947</c:v>
                </c:pt>
                <c:pt idx="3">
                  <c:v>0.95955419981060608</c:v>
                </c:pt>
                <c:pt idx="4">
                  <c:v>0.9822208664772728</c:v>
                </c:pt>
                <c:pt idx="5">
                  <c:v>1.0048875331439395</c:v>
                </c:pt>
                <c:pt idx="6">
                  <c:v>1.0275541998106061</c:v>
                </c:pt>
                <c:pt idx="7">
                  <c:v>1.0502208664772728</c:v>
                </c:pt>
                <c:pt idx="8">
                  <c:v>1.0728875331439394</c:v>
                </c:pt>
                <c:pt idx="9">
                  <c:v>1.0955541998106062</c:v>
                </c:pt>
                <c:pt idx="10">
                  <c:v>1.1182208664772728</c:v>
                </c:pt>
                <c:pt idx="11">
                  <c:v>1.1408875331439394</c:v>
                </c:pt>
                <c:pt idx="12">
                  <c:v>1.163554199810606</c:v>
                </c:pt>
                <c:pt idx="13">
                  <c:v>1.1862208664772729</c:v>
                </c:pt>
                <c:pt idx="14">
                  <c:v>1.2088875331439395</c:v>
                </c:pt>
              </c:numCache>
            </c:numRef>
          </c:val>
          <c:smooth val="0"/>
          <c:extLst>
            <c:ext xmlns:c16="http://schemas.microsoft.com/office/drawing/2014/chart" uri="{C3380CC4-5D6E-409C-BE32-E72D297353CC}">
              <c16:uniqueId val="{00000000-A677-4FCD-B78E-A466B0BD4FF4}"/>
            </c:ext>
          </c:extLst>
        </c:ser>
        <c:ser>
          <c:idx val="0"/>
          <c:order val="1"/>
          <c:tx>
            <c:strRef>
              <c:f>Prices!$G$6</c:f>
              <c:strCache>
                <c:ptCount val="1"/>
                <c:pt idx="0">
                  <c:v>Irrigated Cotton</c:v>
                </c:pt>
              </c:strCache>
            </c:strRef>
          </c:tx>
          <c:marker>
            <c:symbol val="circle"/>
            <c:size val="7"/>
          </c:marker>
          <c:dLbls>
            <c:spPr>
              <a:solidFill>
                <a:schemeClr val="accent1">
                  <a:alpha val="5000"/>
                </a:schemeClr>
              </a:solidFill>
            </c:spPr>
            <c:txPr>
              <a:bodyPr rot="2700000" vert="horz"/>
              <a:lstStyle/>
              <a:p>
                <a:pPr algn="ctr">
                  <a:defRPr sz="1200" b="1"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Prices!$H$28:$H$42</c:f>
              <c:numCache>
                <c:formatCode>_("$"* #,##0_);_("$"* \(#,##0\);_("$"* "-"??_);_(@_)</c:formatCode>
                <c:ptCount val="15"/>
                <c:pt idx="0">
                  <c:v>442.5</c:v>
                </c:pt>
                <c:pt idx="1">
                  <c:v>452.5</c:v>
                </c:pt>
                <c:pt idx="2">
                  <c:v>462.5</c:v>
                </c:pt>
                <c:pt idx="3">
                  <c:v>472.5</c:v>
                </c:pt>
                <c:pt idx="4">
                  <c:v>482.5</c:v>
                </c:pt>
                <c:pt idx="5">
                  <c:v>492.5</c:v>
                </c:pt>
                <c:pt idx="6">
                  <c:v>502.5</c:v>
                </c:pt>
                <c:pt idx="7">
                  <c:v>512.5</c:v>
                </c:pt>
                <c:pt idx="8">
                  <c:v>522.5</c:v>
                </c:pt>
                <c:pt idx="9">
                  <c:v>532.5</c:v>
                </c:pt>
                <c:pt idx="10">
                  <c:v>542.5</c:v>
                </c:pt>
                <c:pt idx="11">
                  <c:v>552.5</c:v>
                </c:pt>
                <c:pt idx="12">
                  <c:v>562.5</c:v>
                </c:pt>
                <c:pt idx="13">
                  <c:v>572.5</c:v>
                </c:pt>
                <c:pt idx="14">
                  <c:v>582.5</c:v>
                </c:pt>
              </c:numCache>
            </c:numRef>
          </c:cat>
          <c:val>
            <c:numRef>
              <c:f>Prices!$G$7:$G$21</c:f>
              <c:numCache>
                <c:formatCode>_("$"* #,##0.00_);_("$"* \(#,##0.00\);_("$"* "-"??_);_(@_)</c:formatCode>
                <c:ptCount val="15"/>
                <c:pt idx="0">
                  <c:v>0.78542965814393928</c:v>
                </c:pt>
                <c:pt idx="1">
                  <c:v>0.80501299147727257</c:v>
                </c:pt>
                <c:pt idx="2">
                  <c:v>0.82459632481060596</c:v>
                </c:pt>
                <c:pt idx="3">
                  <c:v>0.84417965814393925</c:v>
                </c:pt>
                <c:pt idx="4">
                  <c:v>0.86376299147727276</c:v>
                </c:pt>
                <c:pt idx="5">
                  <c:v>0.88334632481060604</c:v>
                </c:pt>
                <c:pt idx="6">
                  <c:v>0.90292965814393933</c:v>
                </c:pt>
                <c:pt idx="7">
                  <c:v>0.92251299147727273</c:v>
                </c:pt>
                <c:pt idx="8">
                  <c:v>0.94209632481060601</c:v>
                </c:pt>
                <c:pt idx="9">
                  <c:v>0.96167965814393941</c:v>
                </c:pt>
                <c:pt idx="10">
                  <c:v>0.98126299147727269</c:v>
                </c:pt>
                <c:pt idx="11">
                  <c:v>1.0008463248106061</c:v>
                </c:pt>
                <c:pt idx="12">
                  <c:v>1.0204296581439394</c:v>
                </c:pt>
                <c:pt idx="13">
                  <c:v>1.0400129914772727</c:v>
                </c:pt>
                <c:pt idx="14">
                  <c:v>1.0595963248106059</c:v>
                </c:pt>
              </c:numCache>
            </c:numRef>
          </c:val>
          <c:smooth val="0"/>
          <c:extLst>
            <c:ext xmlns:c16="http://schemas.microsoft.com/office/drawing/2014/chart" uri="{C3380CC4-5D6E-409C-BE32-E72D297353CC}">
              <c16:uniqueId val="{00000001-A677-4FCD-B78E-A466B0BD4FF4}"/>
            </c:ext>
          </c:extLst>
        </c:ser>
        <c:dLbls>
          <c:showLegendKey val="0"/>
          <c:showVal val="0"/>
          <c:showCatName val="0"/>
          <c:showSerName val="0"/>
          <c:showPercent val="0"/>
          <c:showBubbleSize val="0"/>
        </c:dLbls>
        <c:marker val="1"/>
        <c:smooth val="0"/>
        <c:axId val="-1810824880"/>
        <c:axId val="-1810817216"/>
      </c:lineChart>
      <c:catAx>
        <c:axId val="-1810824880"/>
        <c:scaling>
          <c:orientation val="minMax"/>
        </c:scaling>
        <c:delete val="0"/>
        <c:axPos val="b"/>
        <c:title>
          <c:tx>
            <c:rich>
              <a:bodyPr/>
              <a:lstStyle/>
              <a:p>
                <a:pPr>
                  <a:defRPr sz="1400" b="0" i="0" u="none" strike="noStrike" baseline="0">
                    <a:solidFill>
                      <a:srgbClr val="000000"/>
                    </a:solidFill>
                    <a:latin typeface="Calibri"/>
                    <a:ea typeface="Calibri"/>
                    <a:cs typeface="Calibri"/>
                  </a:defRPr>
                </a:pPr>
                <a:r>
                  <a:rPr lang="en-US"/>
                  <a:t>Peanut Price ($/ton)</a:t>
                </a:r>
              </a:p>
            </c:rich>
          </c:tx>
          <c:overlay val="0"/>
        </c:title>
        <c:numFmt formatCode="_(&quot;$&quot;* #,##0_);_(&quot;$&quot;* \(#,##0\);_(&quot;$&quot;* &quot;-&quot;??_);_(@_)" sourceLinked="1"/>
        <c:majorTickMark val="none"/>
        <c:minorTickMark val="none"/>
        <c:tickLblPos val="nextTo"/>
        <c:txPr>
          <a:bodyPr rot="-5400000" vert="horz"/>
          <a:lstStyle/>
          <a:p>
            <a:pPr>
              <a:defRPr sz="1200" b="0" i="0" u="none" strike="noStrike" baseline="0">
                <a:solidFill>
                  <a:srgbClr val="000000"/>
                </a:solidFill>
                <a:latin typeface="Calibri"/>
                <a:ea typeface="Calibri"/>
                <a:cs typeface="Calibri"/>
              </a:defRPr>
            </a:pPr>
            <a:endParaRPr lang="en-US"/>
          </a:p>
        </c:txPr>
        <c:crossAx val="-1810817216"/>
        <c:crosses val="autoZero"/>
        <c:auto val="1"/>
        <c:lblAlgn val="ctr"/>
        <c:lblOffset val="100"/>
        <c:noMultiLvlLbl val="0"/>
      </c:catAx>
      <c:valAx>
        <c:axId val="-1810817216"/>
        <c:scaling>
          <c:orientation val="minMax"/>
        </c:scaling>
        <c:delete val="0"/>
        <c:axPos val="l"/>
        <c:majorGridlines/>
        <c:title>
          <c:tx>
            <c:rich>
              <a:bodyPr/>
              <a:lstStyle/>
              <a:p>
                <a:pPr>
                  <a:defRPr sz="1400" b="0" i="0" u="none" strike="noStrike" baseline="0">
                    <a:solidFill>
                      <a:srgbClr val="000000"/>
                    </a:solidFill>
                    <a:latin typeface="Calibri"/>
                    <a:ea typeface="Calibri"/>
                    <a:cs typeface="Calibri"/>
                  </a:defRPr>
                </a:pPr>
                <a:r>
                  <a:rPr lang="en-US"/>
                  <a:t>Cotton Price ($/lb)</a:t>
                </a:r>
              </a:p>
            </c:rich>
          </c:tx>
          <c:layout>
            <c:manualLayout>
              <c:xMode val="edge"/>
              <c:yMode val="edge"/>
              <c:x val="8.3467827391141405E-5"/>
              <c:y val="0.30024368721151201"/>
            </c:manualLayout>
          </c:layout>
          <c:overlay val="0"/>
        </c:title>
        <c:numFmt formatCode="_(&quot;$&quot;* #,##0.00_);_(&quot;$&quot;* \(#,##0.00\);_(&quot;$&quot;* &quot;-&quot;??_);_(@_)"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1810824880"/>
        <c:crosses val="autoZero"/>
        <c:crossBetween val="between"/>
      </c:valAx>
    </c:plotArea>
    <c:legend>
      <c:legendPos val="r"/>
      <c:layout>
        <c:manualLayout>
          <c:xMode val="edge"/>
          <c:yMode val="edge"/>
          <c:x val="0.131446047504932"/>
          <c:y val="0.69279595438501196"/>
          <c:w val="0.210570287409726"/>
          <c:h val="0.102312878993574"/>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CC99"/>
    </a:solidFill>
  </c:spPr>
  <c:txPr>
    <a:bodyPr/>
    <a:lstStyle/>
    <a:p>
      <a:pPr>
        <a:defRPr sz="12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Corn Price Needed to Give Equal Returns Above Variable Costs to Peanuts at Budgeted Yields *</a:t>
            </a:r>
          </a:p>
        </c:rich>
      </c:tx>
      <c:overlay val="0"/>
    </c:title>
    <c:autoTitleDeleted val="0"/>
    <c:plotArea>
      <c:layout>
        <c:manualLayout>
          <c:layoutTarget val="inner"/>
          <c:xMode val="edge"/>
          <c:yMode val="edge"/>
          <c:x val="0.13366369744322501"/>
          <c:y val="9.7056084681031607E-2"/>
          <c:w val="0.80786312183950004"/>
          <c:h val="0.71248991719977495"/>
        </c:manualLayout>
      </c:layout>
      <c:lineChart>
        <c:grouping val="standard"/>
        <c:varyColors val="0"/>
        <c:ser>
          <c:idx val="1"/>
          <c:order val="0"/>
          <c:tx>
            <c:strRef>
              <c:f>Prices!$I$27</c:f>
              <c:strCache>
                <c:ptCount val="1"/>
                <c:pt idx="0">
                  <c:v>Non Irrigated Corn</c:v>
                </c:pt>
              </c:strCache>
            </c:strRef>
          </c:tx>
          <c:spPr>
            <a:ln>
              <a:solidFill>
                <a:srgbClr val="FF0000"/>
              </a:solidFill>
            </a:ln>
          </c:spPr>
          <c:marker>
            <c:symbol val="square"/>
            <c:size val="6"/>
          </c:marker>
          <c:dLbls>
            <c:spPr>
              <a:solidFill>
                <a:schemeClr val="accent6">
                  <a:lumMod val="75000"/>
                  <a:alpha val="5000"/>
                </a:schemeClr>
              </a:solidFill>
            </c:spPr>
            <c:txPr>
              <a:bodyPr/>
              <a:lstStyle/>
              <a:p>
                <a:pPr>
                  <a:defRPr sz="12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Prices!$H$28:$H$42</c:f>
              <c:numCache>
                <c:formatCode>_("$"* #,##0_);_("$"* \(#,##0\);_("$"* "-"??_);_(@_)</c:formatCode>
                <c:ptCount val="15"/>
                <c:pt idx="0">
                  <c:v>442.5</c:v>
                </c:pt>
                <c:pt idx="1">
                  <c:v>452.5</c:v>
                </c:pt>
                <c:pt idx="2">
                  <c:v>462.5</c:v>
                </c:pt>
                <c:pt idx="3">
                  <c:v>472.5</c:v>
                </c:pt>
                <c:pt idx="4">
                  <c:v>482.5</c:v>
                </c:pt>
                <c:pt idx="5">
                  <c:v>492.5</c:v>
                </c:pt>
                <c:pt idx="6">
                  <c:v>502.5</c:v>
                </c:pt>
                <c:pt idx="7">
                  <c:v>512.5</c:v>
                </c:pt>
                <c:pt idx="8">
                  <c:v>522.5</c:v>
                </c:pt>
                <c:pt idx="9">
                  <c:v>532.5</c:v>
                </c:pt>
                <c:pt idx="10">
                  <c:v>542.5</c:v>
                </c:pt>
                <c:pt idx="11">
                  <c:v>552.5</c:v>
                </c:pt>
                <c:pt idx="12">
                  <c:v>562.5</c:v>
                </c:pt>
                <c:pt idx="13">
                  <c:v>572.5</c:v>
                </c:pt>
                <c:pt idx="14">
                  <c:v>582.5</c:v>
                </c:pt>
              </c:numCache>
            </c:numRef>
          </c:cat>
          <c:val>
            <c:numRef>
              <c:f>Prices!$I$28:$I$42</c:f>
              <c:numCache>
                <c:formatCode>_("$"* #,##0.00_);_("$"* \(#,##0.00\);_("$"* "-"??_);_(@_)</c:formatCode>
                <c:ptCount val="15"/>
                <c:pt idx="0">
                  <c:v>5.8040070624999984</c:v>
                </c:pt>
                <c:pt idx="1">
                  <c:v>6.0040070624999986</c:v>
                </c:pt>
                <c:pt idx="2">
                  <c:v>6.2040070624999988</c:v>
                </c:pt>
                <c:pt idx="3">
                  <c:v>6.4040070624999981</c:v>
                </c:pt>
                <c:pt idx="4">
                  <c:v>6.6040070624999982</c:v>
                </c:pt>
                <c:pt idx="5">
                  <c:v>6.8040070624999984</c:v>
                </c:pt>
                <c:pt idx="6">
                  <c:v>7.0040070624999986</c:v>
                </c:pt>
                <c:pt idx="7">
                  <c:v>7.2040070624999988</c:v>
                </c:pt>
                <c:pt idx="8">
                  <c:v>7.4040070624999981</c:v>
                </c:pt>
                <c:pt idx="9">
                  <c:v>7.6040070624999982</c:v>
                </c:pt>
                <c:pt idx="10">
                  <c:v>7.8040070624999984</c:v>
                </c:pt>
                <c:pt idx="11">
                  <c:v>8.0040070624999977</c:v>
                </c:pt>
                <c:pt idx="12">
                  <c:v>8.2040070624999988</c:v>
                </c:pt>
                <c:pt idx="13">
                  <c:v>8.4040070624999981</c:v>
                </c:pt>
                <c:pt idx="14">
                  <c:v>8.6040070624999991</c:v>
                </c:pt>
              </c:numCache>
            </c:numRef>
          </c:val>
          <c:smooth val="0"/>
          <c:extLst>
            <c:ext xmlns:c16="http://schemas.microsoft.com/office/drawing/2014/chart" uri="{C3380CC4-5D6E-409C-BE32-E72D297353CC}">
              <c16:uniqueId val="{00000000-77EB-4DB5-83AD-3398B0EC2BEB}"/>
            </c:ext>
          </c:extLst>
        </c:ser>
        <c:ser>
          <c:idx val="0"/>
          <c:order val="1"/>
          <c:tx>
            <c:strRef>
              <c:f>Prices!$I$6</c:f>
              <c:strCache>
                <c:ptCount val="1"/>
                <c:pt idx="0">
                  <c:v>Irrigated Corn</c:v>
                </c:pt>
              </c:strCache>
            </c:strRef>
          </c:tx>
          <c:spPr>
            <a:ln>
              <a:solidFill>
                <a:srgbClr val="00B050"/>
              </a:solidFill>
            </a:ln>
          </c:spPr>
          <c:marker>
            <c:symbol val="circle"/>
            <c:size val="7"/>
            <c:spPr>
              <a:solidFill>
                <a:srgbClr val="92D050"/>
              </a:solidFill>
              <a:ln>
                <a:solidFill>
                  <a:srgbClr val="00B050"/>
                </a:solidFill>
              </a:ln>
            </c:spPr>
          </c:marker>
          <c:dLbls>
            <c:spPr>
              <a:solidFill>
                <a:srgbClr val="00B050">
                  <a:alpha val="5000"/>
                </a:srgbClr>
              </a:solidFill>
            </c:spPr>
            <c:txPr>
              <a:bodyPr rot="2700000" vert="horz"/>
              <a:lstStyle/>
              <a:p>
                <a:pPr algn="ctr">
                  <a:defRPr sz="1200" b="1"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Prices!$H$28:$H$42</c:f>
              <c:numCache>
                <c:formatCode>_("$"* #,##0_);_("$"* \(#,##0\);_("$"* "-"??_);_(@_)</c:formatCode>
                <c:ptCount val="15"/>
                <c:pt idx="0">
                  <c:v>442.5</c:v>
                </c:pt>
                <c:pt idx="1">
                  <c:v>452.5</c:v>
                </c:pt>
                <c:pt idx="2">
                  <c:v>462.5</c:v>
                </c:pt>
                <c:pt idx="3">
                  <c:v>472.5</c:v>
                </c:pt>
                <c:pt idx="4">
                  <c:v>482.5</c:v>
                </c:pt>
                <c:pt idx="5">
                  <c:v>492.5</c:v>
                </c:pt>
                <c:pt idx="6">
                  <c:v>502.5</c:v>
                </c:pt>
                <c:pt idx="7">
                  <c:v>512.5</c:v>
                </c:pt>
                <c:pt idx="8">
                  <c:v>522.5</c:v>
                </c:pt>
                <c:pt idx="9">
                  <c:v>532.5</c:v>
                </c:pt>
                <c:pt idx="10">
                  <c:v>542.5</c:v>
                </c:pt>
                <c:pt idx="11">
                  <c:v>552.5</c:v>
                </c:pt>
                <c:pt idx="12">
                  <c:v>562.5</c:v>
                </c:pt>
                <c:pt idx="13">
                  <c:v>572.5</c:v>
                </c:pt>
                <c:pt idx="14">
                  <c:v>582.5</c:v>
                </c:pt>
              </c:numCache>
            </c:numRef>
          </c:cat>
          <c:val>
            <c:numRef>
              <c:f>Prices!$I$7:$I$21</c:f>
              <c:numCache>
                <c:formatCode>_("$"* #,##0.00_);_("$"* \(#,##0.00\);_("$"* "-"??_);_(@_)</c:formatCode>
                <c:ptCount val="15"/>
                <c:pt idx="0">
                  <c:v>5.1218846874999997</c:v>
                </c:pt>
                <c:pt idx="1">
                  <c:v>5.2393846874999994</c:v>
                </c:pt>
                <c:pt idx="2">
                  <c:v>5.3568846875</c:v>
                </c:pt>
                <c:pt idx="3">
                  <c:v>5.4743846874999997</c:v>
                </c:pt>
                <c:pt idx="4">
                  <c:v>5.5918846874999995</c:v>
                </c:pt>
                <c:pt idx="5">
                  <c:v>5.7093846875000001</c:v>
                </c:pt>
                <c:pt idx="6">
                  <c:v>5.8268846874999998</c:v>
                </c:pt>
                <c:pt idx="7">
                  <c:v>5.9443846874999995</c:v>
                </c:pt>
                <c:pt idx="8">
                  <c:v>6.0618846875000001</c:v>
                </c:pt>
                <c:pt idx="9">
                  <c:v>6.1793846874999998</c:v>
                </c:pt>
                <c:pt idx="10">
                  <c:v>6.2968846874999995</c:v>
                </c:pt>
                <c:pt idx="11">
                  <c:v>6.4143846875000001</c:v>
                </c:pt>
                <c:pt idx="12">
                  <c:v>6.5318846874999998</c:v>
                </c:pt>
                <c:pt idx="13">
                  <c:v>6.6493846874999996</c:v>
                </c:pt>
                <c:pt idx="14">
                  <c:v>6.7668846874999993</c:v>
                </c:pt>
              </c:numCache>
            </c:numRef>
          </c:val>
          <c:smooth val="0"/>
          <c:extLst>
            <c:ext xmlns:c16="http://schemas.microsoft.com/office/drawing/2014/chart" uri="{C3380CC4-5D6E-409C-BE32-E72D297353CC}">
              <c16:uniqueId val="{00000001-77EB-4DB5-83AD-3398B0EC2BEB}"/>
            </c:ext>
          </c:extLst>
        </c:ser>
        <c:dLbls>
          <c:showLegendKey val="0"/>
          <c:showVal val="0"/>
          <c:showCatName val="0"/>
          <c:showSerName val="0"/>
          <c:showPercent val="0"/>
          <c:showBubbleSize val="0"/>
        </c:dLbls>
        <c:marker val="1"/>
        <c:smooth val="0"/>
        <c:axId val="-1810750192"/>
        <c:axId val="-1810746432"/>
      </c:lineChart>
      <c:catAx>
        <c:axId val="-1810750192"/>
        <c:scaling>
          <c:orientation val="minMax"/>
        </c:scaling>
        <c:delete val="0"/>
        <c:axPos val="b"/>
        <c:title>
          <c:tx>
            <c:rich>
              <a:bodyPr/>
              <a:lstStyle/>
              <a:p>
                <a:pPr>
                  <a:defRPr sz="1400" b="0" i="0" u="none" strike="noStrike" baseline="0">
                    <a:solidFill>
                      <a:srgbClr val="000000"/>
                    </a:solidFill>
                    <a:latin typeface="Calibri"/>
                    <a:ea typeface="Calibri"/>
                    <a:cs typeface="Calibri"/>
                  </a:defRPr>
                </a:pPr>
                <a:r>
                  <a:rPr lang="en-US"/>
                  <a:t>Peanut Price ($/ton)</a:t>
                </a:r>
              </a:p>
            </c:rich>
          </c:tx>
          <c:overlay val="0"/>
        </c:title>
        <c:numFmt formatCode="_(&quot;$&quot;* #,##0_);_(&quot;$&quot;* \(#,##0\);_(&quot;$&quot;* &quot;-&quot;??_);_(@_)" sourceLinked="1"/>
        <c:majorTickMark val="none"/>
        <c:minorTickMark val="none"/>
        <c:tickLblPos val="nextTo"/>
        <c:txPr>
          <a:bodyPr rot="-5400000" vert="horz"/>
          <a:lstStyle/>
          <a:p>
            <a:pPr>
              <a:defRPr sz="1200" b="0" i="0" u="none" strike="noStrike" baseline="0">
                <a:solidFill>
                  <a:srgbClr val="000000"/>
                </a:solidFill>
                <a:latin typeface="Calibri"/>
                <a:ea typeface="Calibri"/>
                <a:cs typeface="Calibri"/>
              </a:defRPr>
            </a:pPr>
            <a:endParaRPr lang="en-US"/>
          </a:p>
        </c:txPr>
        <c:crossAx val="-1810746432"/>
        <c:crosses val="autoZero"/>
        <c:auto val="1"/>
        <c:lblAlgn val="ctr"/>
        <c:lblOffset val="100"/>
        <c:noMultiLvlLbl val="0"/>
      </c:catAx>
      <c:valAx>
        <c:axId val="-1810746432"/>
        <c:scaling>
          <c:orientation val="minMax"/>
        </c:scaling>
        <c:delete val="0"/>
        <c:axPos val="l"/>
        <c:majorGridlines/>
        <c:title>
          <c:tx>
            <c:rich>
              <a:bodyPr/>
              <a:lstStyle/>
              <a:p>
                <a:pPr>
                  <a:defRPr sz="1400" b="0" i="0" u="none" strike="noStrike" baseline="0">
                    <a:solidFill>
                      <a:srgbClr val="000000"/>
                    </a:solidFill>
                    <a:latin typeface="Calibri"/>
                    <a:ea typeface="Calibri"/>
                    <a:cs typeface="Calibri"/>
                  </a:defRPr>
                </a:pPr>
                <a:r>
                  <a:rPr lang="en-US"/>
                  <a:t>Corn Price ($/bu)</a:t>
                </a:r>
              </a:p>
            </c:rich>
          </c:tx>
          <c:layout>
            <c:manualLayout>
              <c:xMode val="edge"/>
              <c:yMode val="edge"/>
              <c:x val="8.3467827391141405E-5"/>
              <c:y val="0.300243913476333"/>
            </c:manualLayout>
          </c:layout>
          <c:overlay val="0"/>
        </c:title>
        <c:numFmt formatCode="_(&quot;$&quot;* #,##0.00_);_(&quot;$&quot;* \(#,##0.00\);_(&quot;$&quot;* &quot;-&quot;??_);_(@_)"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1810750192"/>
        <c:crosses val="autoZero"/>
        <c:crossBetween val="between"/>
      </c:valAx>
    </c:plotArea>
    <c:legend>
      <c:legendPos val="r"/>
      <c:layout>
        <c:manualLayout>
          <c:xMode val="edge"/>
          <c:yMode val="edge"/>
          <c:x val="0.13319743727686201"/>
          <c:y val="0.70275205900986504"/>
          <c:w val="0.197700200518413"/>
          <c:h val="0.102313105258394"/>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CC99"/>
    </a:solidFill>
  </c:spPr>
  <c:txPr>
    <a:bodyPr/>
    <a:lstStyle/>
    <a:p>
      <a:pPr>
        <a:defRPr sz="12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sz="1100"/>
              <a:t>Soybean Price Needed to Give Equal Returns Above Variable Costs to Peanuts at Budgeted Yields *</a:t>
            </a:r>
          </a:p>
        </c:rich>
      </c:tx>
      <c:overlay val="0"/>
    </c:title>
    <c:autoTitleDeleted val="0"/>
    <c:plotArea>
      <c:layout>
        <c:manualLayout>
          <c:layoutTarget val="inner"/>
          <c:xMode val="edge"/>
          <c:yMode val="edge"/>
          <c:x val="0.13366369744322501"/>
          <c:y val="9.7056084681031607E-2"/>
          <c:w val="0.80786312183950004"/>
          <c:h val="0.71248991719977495"/>
        </c:manualLayout>
      </c:layout>
      <c:lineChart>
        <c:grouping val="standard"/>
        <c:varyColors val="0"/>
        <c:ser>
          <c:idx val="1"/>
          <c:order val="0"/>
          <c:tx>
            <c:strRef>
              <c:f>Prices!$J$27</c:f>
              <c:strCache>
                <c:ptCount val="1"/>
                <c:pt idx="0">
                  <c:v>Non Irrigated Soybean</c:v>
                </c:pt>
              </c:strCache>
            </c:strRef>
          </c:tx>
          <c:spPr>
            <a:ln>
              <a:solidFill>
                <a:schemeClr val="accent6">
                  <a:lumMod val="75000"/>
                </a:schemeClr>
              </a:solidFill>
            </a:ln>
          </c:spPr>
          <c:marker>
            <c:symbol val="square"/>
            <c:size val="6"/>
            <c:spPr>
              <a:solidFill>
                <a:schemeClr val="accent6">
                  <a:lumMod val="60000"/>
                  <a:lumOff val="40000"/>
                </a:schemeClr>
              </a:solidFill>
              <a:ln>
                <a:solidFill>
                  <a:schemeClr val="accent6">
                    <a:lumMod val="50000"/>
                  </a:schemeClr>
                </a:solidFill>
              </a:ln>
            </c:spPr>
          </c:marker>
          <c:dLbls>
            <c:spPr>
              <a:solidFill>
                <a:srgbClr val="FFC000">
                  <a:alpha val="5000"/>
                </a:srgbClr>
              </a:solidFill>
            </c:spPr>
            <c:txPr>
              <a:bodyPr/>
              <a:lstStyle/>
              <a:p>
                <a:pPr>
                  <a:defRPr sz="12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Prices!$H$28:$H$42</c:f>
              <c:numCache>
                <c:formatCode>_("$"* #,##0_);_("$"* \(#,##0\);_("$"* "-"??_);_(@_)</c:formatCode>
                <c:ptCount val="15"/>
                <c:pt idx="0">
                  <c:v>442.5</c:v>
                </c:pt>
                <c:pt idx="1">
                  <c:v>452.5</c:v>
                </c:pt>
                <c:pt idx="2">
                  <c:v>462.5</c:v>
                </c:pt>
                <c:pt idx="3">
                  <c:v>472.5</c:v>
                </c:pt>
                <c:pt idx="4">
                  <c:v>482.5</c:v>
                </c:pt>
                <c:pt idx="5">
                  <c:v>492.5</c:v>
                </c:pt>
                <c:pt idx="6">
                  <c:v>502.5</c:v>
                </c:pt>
                <c:pt idx="7">
                  <c:v>512.5</c:v>
                </c:pt>
                <c:pt idx="8">
                  <c:v>522.5</c:v>
                </c:pt>
                <c:pt idx="9">
                  <c:v>532.5</c:v>
                </c:pt>
                <c:pt idx="10">
                  <c:v>542.5</c:v>
                </c:pt>
                <c:pt idx="11">
                  <c:v>552.5</c:v>
                </c:pt>
                <c:pt idx="12">
                  <c:v>562.5</c:v>
                </c:pt>
                <c:pt idx="13">
                  <c:v>572.5</c:v>
                </c:pt>
                <c:pt idx="14">
                  <c:v>582.5</c:v>
                </c:pt>
              </c:numCache>
            </c:numRef>
          </c:cat>
          <c:val>
            <c:numRef>
              <c:f>Prices!$J$28:$J$42</c:f>
              <c:numCache>
                <c:formatCode>_("$"* #,##0.00_);_("$"* \(#,##0.00\);_("$"* "-"??_);_(@_)</c:formatCode>
                <c:ptCount val="15"/>
                <c:pt idx="0">
                  <c:v>12.751588531249997</c:v>
                </c:pt>
                <c:pt idx="1">
                  <c:v>13.318255197916663</c:v>
                </c:pt>
                <c:pt idx="2">
                  <c:v>13.88492186458333</c:v>
                </c:pt>
                <c:pt idx="3">
                  <c:v>14.451588531249996</c:v>
                </c:pt>
                <c:pt idx="4">
                  <c:v>15.018255197916663</c:v>
                </c:pt>
                <c:pt idx="5">
                  <c:v>15.584921864583329</c:v>
                </c:pt>
                <c:pt idx="6">
                  <c:v>16.151588531249995</c:v>
                </c:pt>
                <c:pt idx="7">
                  <c:v>16.718255197916662</c:v>
                </c:pt>
                <c:pt idx="8">
                  <c:v>17.284921864583332</c:v>
                </c:pt>
                <c:pt idx="9">
                  <c:v>17.851588531249998</c:v>
                </c:pt>
                <c:pt idx="10">
                  <c:v>18.418255197916665</c:v>
                </c:pt>
                <c:pt idx="11">
                  <c:v>18.984921864583331</c:v>
                </c:pt>
                <c:pt idx="12">
                  <c:v>19.551588531249998</c:v>
                </c:pt>
                <c:pt idx="13">
                  <c:v>20.118255197916664</c:v>
                </c:pt>
                <c:pt idx="14">
                  <c:v>20.68492186458333</c:v>
                </c:pt>
              </c:numCache>
            </c:numRef>
          </c:val>
          <c:smooth val="0"/>
          <c:extLst>
            <c:ext xmlns:c16="http://schemas.microsoft.com/office/drawing/2014/chart" uri="{C3380CC4-5D6E-409C-BE32-E72D297353CC}">
              <c16:uniqueId val="{00000000-1A93-47FD-8826-CE739934B166}"/>
            </c:ext>
          </c:extLst>
        </c:ser>
        <c:ser>
          <c:idx val="0"/>
          <c:order val="1"/>
          <c:tx>
            <c:strRef>
              <c:f>Prices!$J$6</c:f>
              <c:strCache>
                <c:ptCount val="1"/>
                <c:pt idx="0">
                  <c:v>Irrigated Soybean</c:v>
                </c:pt>
              </c:strCache>
            </c:strRef>
          </c:tx>
          <c:spPr>
            <a:ln>
              <a:solidFill>
                <a:schemeClr val="accent4">
                  <a:lumMod val="75000"/>
                </a:schemeClr>
              </a:solidFill>
            </a:ln>
          </c:spPr>
          <c:marker>
            <c:symbol val="circle"/>
            <c:size val="7"/>
            <c:spPr>
              <a:solidFill>
                <a:schemeClr val="accent4">
                  <a:lumMod val="60000"/>
                  <a:lumOff val="40000"/>
                </a:schemeClr>
              </a:solidFill>
              <a:ln>
                <a:solidFill>
                  <a:srgbClr val="7030A0"/>
                </a:solidFill>
              </a:ln>
            </c:spPr>
          </c:marker>
          <c:dLbls>
            <c:spPr>
              <a:solidFill>
                <a:schemeClr val="accent4">
                  <a:lumMod val="40000"/>
                  <a:lumOff val="60000"/>
                  <a:alpha val="5000"/>
                </a:schemeClr>
              </a:solidFill>
            </c:spPr>
            <c:txPr>
              <a:bodyPr rot="2700000" vert="horz"/>
              <a:lstStyle/>
              <a:p>
                <a:pPr algn="ctr">
                  <a:defRPr sz="1200" b="1"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Prices!$H$28:$H$42</c:f>
              <c:numCache>
                <c:formatCode>_("$"* #,##0_);_("$"* \(#,##0\);_("$"* "-"??_);_(@_)</c:formatCode>
                <c:ptCount val="15"/>
                <c:pt idx="0">
                  <c:v>442.5</c:v>
                </c:pt>
                <c:pt idx="1">
                  <c:v>452.5</c:v>
                </c:pt>
                <c:pt idx="2">
                  <c:v>462.5</c:v>
                </c:pt>
                <c:pt idx="3">
                  <c:v>472.5</c:v>
                </c:pt>
                <c:pt idx="4">
                  <c:v>482.5</c:v>
                </c:pt>
                <c:pt idx="5">
                  <c:v>492.5</c:v>
                </c:pt>
                <c:pt idx="6">
                  <c:v>502.5</c:v>
                </c:pt>
                <c:pt idx="7">
                  <c:v>512.5</c:v>
                </c:pt>
                <c:pt idx="8">
                  <c:v>522.5</c:v>
                </c:pt>
                <c:pt idx="9">
                  <c:v>532.5</c:v>
                </c:pt>
                <c:pt idx="10">
                  <c:v>542.5</c:v>
                </c:pt>
                <c:pt idx="11">
                  <c:v>552.5</c:v>
                </c:pt>
                <c:pt idx="12">
                  <c:v>562.5</c:v>
                </c:pt>
                <c:pt idx="13">
                  <c:v>572.5</c:v>
                </c:pt>
                <c:pt idx="14">
                  <c:v>582.5</c:v>
                </c:pt>
              </c:numCache>
            </c:numRef>
          </c:cat>
          <c:val>
            <c:numRef>
              <c:f>Prices!$J$7:$J$21</c:f>
              <c:numCache>
                <c:formatCode>_("$"* #,##0.00_);_("$"* \(#,##0.00\);_("$"* "-"??_);_(@_)</c:formatCode>
                <c:ptCount val="15"/>
                <c:pt idx="0">
                  <c:v>9.784050739583332</c:v>
                </c:pt>
                <c:pt idx="1">
                  <c:v>10.175717406249998</c:v>
                </c:pt>
                <c:pt idx="2">
                  <c:v>10.567384072916665</c:v>
                </c:pt>
                <c:pt idx="3">
                  <c:v>10.959050739583331</c:v>
                </c:pt>
                <c:pt idx="4">
                  <c:v>11.350717406249998</c:v>
                </c:pt>
                <c:pt idx="5">
                  <c:v>11.742384072916666</c:v>
                </c:pt>
                <c:pt idx="6">
                  <c:v>12.134050739583332</c:v>
                </c:pt>
                <c:pt idx="7">
                  <c:v>12.525717406249999</c:v>
                </c:pt>
                <c:pt idx="8">
                  <c:v>12.917384072916665</c:v>
                </c:pt>
                <c:pt idx="9">
                  <c:v>13.309050739583332</c:v>
                </c:pt>
                <c:pt idx="10">
                  <c:v>13.700717406249998</c:v>
                </c:pt>
                <c:pt idx="11">
                  <c:v>14.092384072916666</c:v>
                </c:pt>
                <c:pt idx="12">
                  <c:v>14.484050739583331</c:v>
                </c:pt>
                <c:pt idx="13">
                  <c:v>14.875717406249999</c:v>
                </c:pt>
                <c:pt idx="14">
                  <c:v>15.267384072916665</c:v>
                </c:pt>
              </c:numCache>
            </c:numRef>
          </c:val>
          <c:smooth val="0"/>
          <c:extLst>
            <c:ext xmlns:c16="http://schemas.microsoft.com/office/drawing/2014/chart" uri="{C3380CC4-5D6E-409C-BE32-E72D297353CC}">
              <c16:uniqueId val="{00000001-1A93-47FD-8826-CE739934B166}"/>
            </c:ext>
          </c:extLst>
        </c:ser>
        <c:dLbls>
          <c:showLegendKey val="0"/>
          <c:showVal val="0"/>
          <c:showCatName val="0"/>
          <c:showSerName val="0"/>
          <c:showPercent val="0"/>
          <c:showBubbleSize val="0"/>
        </c:dLbls>
        <c:marker val="1"/>
        <c:smooth val="0"/>
        <c:axId val="-1810715824"/>
        <c:axId val="-1810712064"/>
      </c:lineChart>
      <c:catAx>
        <c:axId val="-1810715824"/>
        <c:scaling>
          <c:orientation val="minMax"/>
        </c:scaling>
        <c:delete val="0"/>
        <c:axPos val="b"/>
        <c:title>
          <c:tx>
            <c:rich>
              <a:bodyPr/>
              <a:lstStyle/>
              <a:p>
                <a:pPr>
                  <a:defRPr sz="1400" b="0" i="0" u="none" strike="noStrike" baseline="0">
                    <a:solidFill>
                      <a:srgbClr val="000000"/>
                    </a:solidFill>
                    <a:latin typeface="Calibri"/>
                    <a:ea typeface="Calibri"/>
                    <a:cs typeface="Calibri"/>
                  </a:defRPr>
                </a:pPr>
                <a:r>
                  <a:rPr lang="en-US"/>
                  <a:t>Peanut Price ($/ton)</a:t>
                </a:r>
              </a:p>
            </c:rich>
          </c:tx>
          <c:overlay val="0"/>
        </c:title>
        <c:numFmt formatCode="_(&quot;$&quot;* #,##0_);_(&quot;$&quot;* \(#,##0\);_(&quot;$&quot;* &quot;-&quot;??_);_(@_)" sourceLinked="1"/>
        <c:majorTickMark val="none"/>
        <c:minorTickMark val="none"/>
        <c:tickLblPos val="nextTo"/>
        <c:txPr>
          <a:bodyPr rot="-5400000" vert="horz"/>
          <a:lstStyle/>
          <a:p>
            <a:pPr>
              <a:defRPr sz="1200" b="0" i="0" u="none" strike="noStrike" baseline="0">
                <a:solidFill>
                  <a:srgbClr val="000000"/>
                </a:solidFill>
                <a:latin typeface="Calibri"/>
                <a:ea typeface="Calibri"/>
                <a:cs typeface="Calibri"/>
              </a:defRPr>
            </a:pPr>
            <a:endParaRPr lang="en-US"/>
          </a:p>
        </c:txPr>
        <c:crossAx val="-1810712064"/>
        <c:crosses val="autoZero"/>
        <c:auto val="1"/>
        <c:lblAlgn val="ctr"/>
        <c:lblOffset val="100"/>
        <c:noMultiLvlLbl val="0"/>
      </c:catAx>
      <c:valAx>
        <c:axId val="-1810712064"/>
        <c:scaling>
          <c:orientation val="minMax"/>
        </c:scaling>
        <c:delete val="0"/>
        <c:axPos val="l"/>
        <c:majorGridlines/>
        <c:title>
          <c:tx>
            <c:rich>
              <a:bodyPr/>
              <a:lstStyle/>
              <a:p>
                <a:pPr>
                  <a:defRPr sz="1400" b="0" i="0" u="none" strike="noStrike" baseline="0">
                    <a:solidFill>
                      <a:srgbClr val="000000"/>
                    </a:solidFill>
                    <a:latin typeface="Calibri"/>
                    <a:ea typeface="Calibri"/>
                    <a:cs typeface="Calibri"/>
                  </a:defRPr>
                </a:pPr>
                <a:r>
                  <a:rPr lang="en-US"/>
                  <a:t>Soybean Price ($/bu)</a:t>
                </a:r>
              </a:p>
            </c:rich>
          </c:tx>
          <c:layout>
            <c:manualLayout>
              <c:xMode val="edge"/>
              <c:yMode val="edge"/>
              <c:x val="8.3467827391141405E-5"/>
              <c:y val="0.30024380785378302"/>
            </c:manualLayout>
          </c:layout>
          <c:overlay val="0"/>
        </c:title>
        <c:numFmt formatCode="_(&quot;$&quot;* #,##0.00_);_(&quot;$&quot;* \(#,##0.00\);_(&quot;$&quot;* &quot;-&quot;??_);_(@_)"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1810715824"/>
        <c:crosses val="autoZero"/>
        <c:crossBetween val="between"/>
      </c:valAx>
    </c:plotArea>
    <c:legend>
      <c:legendPos val="r"/>
      <c:layout>
        <c:manualLayout>
          <c:xMode val="edge"/>
          <c:yMode val="edge"/>
          <c:x val="0.13636738885900099"/>
          <c:y val="0.68600830677749902"/>
          <c:w val="0.225049086255522"/>
          <c:h val="0.102313195861224"/>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CC99"/>
    </a:solidFill>
  </c:spPr>
  <c:txPr>
    <a:bodyPr/>
    <a:lstStyle/>
    <a:p>
      <a:pPr>
        <a:defRPr sz="12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Cotton Price Needed to Give Equal Returns Above Variable Costs to Corn at Budgeted Yields *</a:t>
            </a:r>
          </a:p>
        </c:rich>
      </c:tx>
      <c:overlay val="0"/>
    </c:title>
    <c:autoTitleDeleted val="0"/>
    <c:plotArea>
      <c:layout>
        <c:manualLayout>
          <c:layoutTarget val="inner"/>
          <c:xMode val="edge"/>
          <c:yMode val="edge"/>
          <c:x val="0.13366369744322501"/>
          <c:y val="9.7056084681031607E-2"/>
          <c:w val="0.80786312183950004"/>
          <c:h val="0.71248991719977495"/>
        </c:manualLayout>
      </c:layout>
      <c:lineChart>
        <c:grouping val="standard"/>
        <c:varyColors val="0"/>
        <c:ser>
          <c:idx val="0"/>
          <c:order val="0"/>
          <c:tx>
            <c:strRef>
              <c:f>Prices!$L$6</c:f>
              <c:strCache>
                <c:ptCount val="1"/>
                <c:pt idx="0">
                  <c:v>Irrigated Cotton</c:v>
                </c:pt>
              </c:strCache>
            </c:strRef>
          </c:tx>
          <c:marker>
            <c:symbol val="circle"/>
            <c:size val="7"/>
          </c:marker>
          <c:dLbls>
            <c:spPr>
              <a:solidFill>
                <a:schemeClr val="accent1">
                  <a:alpha val="5000"/>
                </a:schemeClr>
              </a:solidFill>
            </c:spPr>
            <c:txPr>
              <a:bodyPr/>
              <a:lstStyle/>
              <a:p>
                <a:pPr>
                  <a:defRPr sz="1200" b="1"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Prices!$N$28:$N$42</c:f>
              <c:numCache>
                <c:formatCode>_("$"* #,##0.00_);_("$"* \(#,##0.00\);_("$"* "-"??_);_(@_)</c:formatCode>
                <c:ptCount val="15"/>
                <c:pt idx="0">
                  <c:v>4.3499999999999979</c:v>
                </c:pt>
                <c:pt idx="1">
                  <c:v>4.4999999999999982</c:v>
                </c:pt>
                <c:pt idx="2">
                  <c:v>4.6499999999999986</c:v>
                </c:pt>
                <c:pt idx="3">
                  <c:v>4.7999999999999989</c:v>
                </c:pt>
                <c:pt idx="4">
                  <c:v>4.9499999999999993</c:v>
                </c:pt>
                <c:pt idx="5">
                  <c:v>5.0999999999999996</c:v>
                </c:pt>
                <c:pt idx="6">
                  <c:v>5.25</c:v>
                </c:pt>
                <c:pt idx="7">
                  <c:v>5.4</c:v>
                </c:pt>
                <c:pt idx="8">
                  <c:v>5.5500000000000007</c:v>
                </c:pt>
                <c:pt idx="9">
                  <c:v>5.7000000000000011</c:v>
                </c:pt>
                <c:pt idx="10">
                  <c:v>5.8500000000000014</c:v>
                </c:pt>
                <c:pt idx="11">
                  <c:v>6.0000000000000018</c:v>
                </c:pt>
                <c:pt idx="12">
                  <c:v>6.1500000000000021</c:v>
                </c:pt>
                <c:pt idx="13">
                  <c:v>6.3000000000000025</c:v>
                </c:pt>
                <c:pt idx="14">
                  <c:v>6.4500000000000028</c:v>
                </c:pt>
              </c:numCache>
            </c:numRef>
          </c:cat>
          <c:val>
            <c:numRef>
              <c:f>Prices!$L$7:$L$21</c:f>
              <c:numCache>
                <c:formatCode>_("$"* #,##0.00_);_("$"* \(#,##0.00\);_("$"* "-"??_);_(@_)</c:formatCode>
                <c:ptCount val="15"/>
                <c:pt idx="0">
                  <c:v>0.65678221022727223</c:v>
                </c:pt>
                <c:pt idx="1">
                  <c:v>0.68178221022727237</c:v>
                </c:pt>
                <c:pt idx="2">
                  <c:v>0.7067822102272725</c:v>
                </c:pt>
                <c:pt idx="3">
                  <c:v>0.73178221022727252</c:v>
                </c:pt>
                <c:pt idx="4">
                  <c:v>0.75678221022727254</c:v>
                </c:pt>
                <c:pt idx="5">
                  <c:v>0.78178221022727257</c:v>
                </c:pt>
                <c:pt idx="6">
                  <c:v>0.8067822102272727</c:v>
                </c:pt>
                <c:pt idx="7">
                  <c:v>0.83178221022727261</c:v>
                </c:pt>
                <c:pt idx="8">
                  <c:v>0.85678221022727297</c:v>
                </c:pt>
                <c:pt idx="9">
                  <c:v>0.88178221022727299</c:v>
                </c:pt>
                <c:pt idx="10">
                  <c:v>0.9067822102272729</c:v>
                </c:pt>
                <c:pt idx="11">
                  <c:v>0.93178221022727292</c:v>
                </c:pt>
                <c:pt idx="12">
                  <c:v>0.95678221022727294</c:v>
                </c:pt>
                <c:pt idx="13">
                  <c:v>0.98178221022727297</c:v>
                </c:pt>
                <c:pt idx="14">
                  <c:v>1.006782210227273</c:v>
                </c:pt>
              </c:numCache>
            </c:numRef>
          </c:val>
          <c:smooth val="0"/>
          <c:extLst>
            <c:ext xmlns:c16="http://schemas.microsoft.com/office/drawing/2014/chart" uri="{C3380CC4-5D6E-409C-BE32-E72D297353CC}">
              <c16:uniqueId val="{00000000-B9D7-4613-BBB7-1534D1A42374}"/>
            </c:ext>
          </c:extLst>
        </c:ser>
        <c:ser>
          <c:idx val="1"/>
          <c:order val="1"/>
          <c:tx>
            <c:strRef>
              <c:f>Prices!$L$27</c:f>
              <c:strCache>
                <c:ptCount val="1"/>
                <c:pt idx="0">
                  <c:v>Non Irrigated Cotton</c:v>
                </c:pt>
              </c:strCache>
            </c:strRef>
          </c:tx>
          <c:marker>
            <c:symbol val="square"/>
            <c:size val="6"/>
          </c:marker>
          <c:dLbls>
            <c:spPr>
              <a:solidFill>
                <a:srgbClr val="FF0000">
                  <a:alpha val="5000"/>
                </a:srgbClr>
              </a:solidFill>
            </c:spPr>
            <c:txPr>
              <a:bodyPr rot="2700000" vert="horz"/>
              <a:lstStyle/>
              <a:p>
                <a:pPr algn="ctr">
                  <a:defRPr sz="12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Prices!$N$28:$N$42</c:f>
              <c:numCache>
                <c:formatCode>_("$"* #,##0.00_);_("$"* \(#,##0.00\);_("$"* "-"??_);_(@_)</c:formatCode>
                <c:ptCount val="15"/>
                <c:pt idx="0">
                  <c:v>4.3499999999999979</c:v>
                </c:pt>
                <c:pt idx="1">
                  <c:v>4.4999999999999982</c:v>
                </c:pt>
                <c:pt idx="2">
                  <c:v>4.6499999999999986</c:v>
                </c:pt>
                <c:pt idx="3">
                  <c:v>4.7999999999999989</c:v>
                </c:pt>
                <c:pt idx="4">
                  <c:v>4.9499999999999993</c:v>
                </c:pt>
                <c:pt idx="5">
                  <c:v>5.0999999999999996</c:v>
                </c:pt>
                <c:pt idx="6">
                  <c:v>5.25</c:v>
                </c:pt>
                <c:pt idx="7">
                  <c:v>5.4</c:v>
                </c:pt>
                <c:pt idx="8">
                  <c:v>5.5500000000000007</c:v>
                </c:pt>
                <c:pt idx="9">
                  <c:v>5.7000000000000011</c:v>
                </c:pt>
                <c:pt idx="10">
                  <c:v>5.8500000000000014</c:v>
                </c:pt>
                <c:pt idx="11">
                  <c:v>6.0000000000000018</c:v>
                </c:pt>
                <c:pt idx="12">
                  <c:v>6.1500000000000021</c:v>
                </c:pt>
                <c:pt idx="13">
                  <c:v>6.3000000000000025</c:v>
                </c:pt>
                <c:pt idx="14">
                  <c:v>6.4500000000000028</c:v>
                </c:pt>
              </c:numCache>
            </c:numRef>
          </c:cat>
          <c:val>
            <c:numRef>
              <c:f>Prices!$L$28:$L$42</c:f>
              <c:numCache>
                <c:formatCode>_("$"* #,##0.00_);_("$"* \(#,##0.00\);_("$"* "-"??_);_(@_)</c:formatCode>
                <c:ptCount val="15"/>
                <c:pt idx="0">
                  <c:v>0.72676673272727266</c:v>
                </c:pt>
                <c:pt idx="1">
                  <c:v>0.74376673272727267</c:v>
                </c:pt>
                <c:pt idx="2">
                  <c:v>0.7607667327272728</c:v>
                </c:pt>
                <c:pt idx="3">
                  <c:v>0.77776673272727281</c:v>
                </c:pt>
                <c:pt idx="4">
                  <c:v>0.79476673272727294</c:v>
                </c:pt>
                <c:pt idx="5">
                  <c:v>0.81176673272727295</c:v>
                </c:pt>
                <c:pt idx="6">
                  <c:v>0.82876673272727297</c:v>
                </c:pt>
                <c:pt idx="7">
                  <c:v>0.84576673272727299</c:v>
                </c:pt>
                <c:pt idx="8">
                  <c:v>0.86276673272727289</c:v>
                </c:pt>
                <c:pt idx="9">
                  <c:v>0.87976673272727313</c:v>
                </c:pt>
                <c:pt idx="10">
                  <c:v>0.89676673272727314</c:v>
                </c:pt>
                <c:pt idx="11">
                  <c:v>0.91376673272727327</c:v>
                </c:pt>
                <c:pt idx="12">
                  <c:v>0.93076673272727328</c:v>
                </c:pt>
                <c:pt idx="13">
                  <c:v>0.94776673272727319</c:v>
                </c:pt>
                <c:pt idx="14">
                  <c:v>0.9647667327272732</c:v>
                </c:pt>
              </c:numCache>
            </c:numRef>
          </c:val>
          <c:smooth val="0"/>
          <c:extLst>
            <c:ext xmlns:c16="http://schemas.microsoft.com/office/drawing/2014/chart" uri="{C3380CC4-5D6E-409C-BE32-E72D297353CC}">
              <c16:uniqueId val="{00000001-B9D7-4613-BBB7-1534D1A42374}"/>
            </c:ext>
          </c:extLst>
        </c:ser>
        <c:dLbls>
          <c:showLegendKey val="0"/>
          <c:showVal val="0"/>
          <c:showCatName val="0"/>
          <c:showSerName val="0"/>
          <c:showPercent val="0"/>
          <c:showBubbleSize val="0"/>
        </c:dLbls>
        <c:marker val="1"/>
        <c:smooth val="0"/>
        <c:axId val="-1810683216"/>
        <c:axId val="-1810679456"/>
      </c:lineChart>
      <c:catAx>
        <c:axId val="-1810683216"/>
        <c:scaling>
          <c:orientation val="minMax"/>
        </c:scaling>
        <c:delete val="0"/>
        <c:axPos val="b"/>
        <c:title>
          <c:tx>
            <c:rich>
              <a:bodyPr/>
              <a:lstStyle/>
              <a:p>
                <a:pPr>
                  <a:defRPr sz="1400" b="0" i="0" u="none" strike="noStrike" baseline="0">
                    <a:solidFill>
                      <a:srgbClr val="000000"/>
                    </a:solidFill>
                    <a:latin typeface="Calibri"/>
                    <a:ea typeface="Calibri"/>
                    <a:cs typeface="Calibri"/>
                  </a:defRPr>
                </a:pPr>
                <a:r>
                  <a:rPr lang="en-US"/>
                  <a:t>Corn Price ($/bu)</a:t>
                </a:r>
              </a:p>
            </c:rich>
          </c:tx>
          <c:overlay val="0"/>
        </c:title>
        <c:numFmt formatCode="_(&quot;$&quot;* #,##0.00_);_(&quot;$&quot;* \(#,##0.00\);_(&quot;$&quot;* &quot;-&quot;??_);_(@_)" sourceLinked="1"/>
        <c:majorTickMark val="none"/>
        <c:minorTickMark val="none"/>
        <c:tickLblPos val="nextTo"/>
        <c:txPr>
          <a:bodyPr rot="-5400000" vert="horz"/>
          <a:lstStyle/>
          <a:p>
            <a:pPr>
              <a:defRPr sz="1200" b="0" i="0" u="none" strike="noStrike" baseline="0">
                <a:solidFill>
                  <a:srgbClr val="000000"/>
                </a:solidFill>
                <a:latin typeface="Calibri"/>
                <a:ea typeface="Calibri"/>
                <a:cs typeface="Calibri"/>
              </a:defRPr>
            </a:pPr>
            <a:endParaRPr lang="en-US"/>
          </a:p>
        </c:txPr>
        <c:crossAx val="-1810679456"/>
        <c:crosses val="autoZero"/>
        <c:auto val="1"/>
        <c:lblAlgn val="ctr"/>
        <c:lblOffset val="100"/>
        <c:noMultiLvlLbl val="0"/>
      </c:catAx>
      <c:valAx>
        <c:axId val="-1810679456"/>
        <c:scaling>
          <c:orientation val="minMax"/>
        </c:scaling>
        <c:delete val="0"/>
        <c:axPos val="l"/>
        <c:majorGridlines/>
        <c:title>
          <c:tx>
            <c:rich>
              <a:bodyPr/>
              <a:lstStyle/>
              <a:p>
                <a:pPr>
                  <a:defRPr sz="1400" b="0" i="0" u="none" strike="noStrike" baseline="0">
                    <a:solidFill>
                      <a:srgbClr val="000000"/>
                    </a:solidFill>
                    <a:latin typeface="Calibri"/>
                    <a:ea typeface="Calibri"/>
                    <a:cs typeface="Calibri"/>
                  </a:defRPr>
                </a:pPr>
                <a:r>
                  <a:rPr lang="en-US"/>
                  <a:t>Cotton Price ($/lb)</a:t>
                </a:r>
              </a:p>
            </c:rich>
          </c:tx>
          <c:layout>
            <c:manualLayout>
              <c:xMode val="edge"/>
              <c:yMode val="edge"/>
              <c:x val="8.3467827391141405E-5"/>
              <c:y val="0.30024388742452002"/>
            </c:manualLayout>
          </c:layout>
          <c:overlay val="0"/>
        </c:title>
        <c:numFmt formatCode="_(&quot;$&quot;* #,##0.00_);_(&quot;$&quot;* \(#,##0.00\);_(&quot;$&quot;* &quot;-&quot;??_);_(@_)"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1810683216"/>
        <c:crosses val="autoZero"/>
        <c:crossBetween val="between"/>
      </c:valAx>
    </c:plotArea>
    <c:legend>
      <c:legendPos val="r"/>
      <c:layout>
        <c:manualLayout>
          <c:xMode val="edge"/>
          <c:yMode val="edge"/>
          <c:x val="0.13314996495003301"/>
          <c:y val="0.68036890911024195"/>
          <c:w val="0.239527885101319"/>
          <c:h val="0.10231318100162901"/>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99"/>
    </a:solidFill>
  </c:spPr>
  <c:txPr>
    <a:bodyPr/>
    <a:lstStyle/>
    <a:p>
      <a:pPr>
        <a:defRPr sz="12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Peanut Price Needed to Give Equal Returns Above Variable Costs Corn at Budgeted Yields *</a:t>
            </a:r>
          </a:p>
        </c:rich>
      </c:tx>
      <c:overlay val="0"/>
    </c:title>
    <c:autoTitleDeleted val="0"/>
    <c:plotArea>
      <c:layout>
        <c:manualLayout>
          <c:layoutTarget val="inner"/>
          <c:xMode val="edge"/>
          <c:yMode val="edge"/>
          <c:x val="0.13366369744322501"/>
          <c:y val="9.7056084681031607E-2"/>
          <c:w val="0.80786312183950004"/>
          <c:h val="0.71248991719977495"/>
        </c:manualLayout>
      </c:layout>
      <c:lineChart>
        <c:grouping val="standard"/>
        <c:varyColors val="0"/>
        <c:ser>
          <c:idx val="0"/>
          <c:order val="0"/>
          <c:tx>
            <c:strRef>
              <c:f>Prices!$M$6</c:f>
              <c:strCache>
                <c:ptCount val="1"/>
                <c:pt idx="0">
                  <c:v>Irrigated Peanut</c:v>
                </c:pt>
              </c:strCache>
            </c:strRef>
          </c:tx>
          <c:spPr>
            <a:ln>
              <a:solidFill>
                <a:srgbClr val="00B050"/>
              </a:solidFill>
            </a:ln>
          </c:spPr>
          <c:marker>
            <c:symbol val="circle"/>
            <c:size val="7"/>
            <c:spPr>
              <a:solidFill>
                <a:srgbClr val="92D050"/>
              </a:solidFill>
              <a:ln>
                <a:solidFill>
                  <a:srgbClr val="00B050"/>
                </a:solidFill>
              </a:ln>
            </c:spPr>
          </c:marker>
          <c:dLbls>
            <c:spPr>
              <a:solidFill>
                <a:srgbClr val="00B050">
                  <a:alpha val="5000"/>
                </a:srgbClr>
              </a:solidFill>
            </c:spPr>
            <c:txPr>
              <a:bodyPr/>
              <a:lstStyle/>
              <a:p>
                <a:pPr>
                  <a:defRPr sz="12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Prices!$N$7:$N$21</c:f>
              <c:numCache>
                <c:formatCode>_("$"* #,##0.00_);_("$"* \(#,##0.00\);_("$"* "-"??_);_(@_)</c:formatCode>
                <c:ptCount val="15"/>
                <c:pt idx="0">
                  <c:v>4.3499999999999979</c:v>
                </c:pt>
                <c:pt idx="1">
                  <c:v>4.4999999999999982</c:v>
                </c:pt>
                <c:pt idx="2">
                  <c:v>4.6499999999999986</c:v>
                </c:pt>
                <c:pt idx="3">
                  <c:v>4.7999999999999989</c:v>
                </c:pt>
                <c:pt idx="4">
                  <c:v>4.9499999999999993</c:v>
                </c:pt>
                <c:pt idx="5">
                  <c:v>5.0999999999999996</c:v>
                </c:pt>
                <c:pt idx="6">
                  <c:v>5.25</c:v>
                </c:pt>
                <c:pt idx="7">
                  <c:v>5.4</c:v>
                </c:pt>
                <c:pt idx="8">
                  <c:v>5.5500000000000007</c:v>
                </c:pt>
                <c:pt idx="9">
                  <c:v>5.7000000000000011</c:v>
                </c:pt>
                <c:pt idx="10">
                  <c:v>5.8500000000000014</c:v>
                </c:pt>
                <c:pt idx="11">
                  <c:v>6.0000000000000018</c:v>
                </c:pt>
                <c:pt idx="12">
                  <c:v>6.1500000000000021</c:v>
                </c:pt>
                <c:pt idx="13">
                  <c:v>6.3000000000000025</c:v>
                </c:pt>
                <c:pt idx="14">
                  <c:v>6.4500000000000028</c:v>
                </c:pt>
              </c:numCache>
            </c:numRef>
          </c:cat>
          <c:val>
            <c:numRef>
              <c:f>Prices!$M$7:$M$21</c:f>
              <c:numCache>
                <c:formatCode>_("$"* #,##0_);_("$"* \(#,##0\);_("$"* "-"??_);_(@_)</c:formatCode>
                <c:ptCount val="15"/>
                <c:pt idx="0">
                  <c:v>376.80768617021261</c:v>
                </c:pt>
                <c:pt idx="1">
                  <c:v>389.57364361702116</c:v>
                </c:pt>
                <c:pt idx="2">
                  <c:v>402.33960106382972</c:v>
                </c:pt>
                <c:pt idx="3">
                  <c:v>415.10555851063822</c:v>
                </c:pt>
                <c:pt idx="4">
                  <c:v>427.87151595744677</c:v>
                </c:pt>
                <c:pt idx="5">
                  <c:v>440.63747340425522</c:v>
                </c:pt>
                <c:pt idx="6">
                  <c:v>453.40343085106389</c:v>
                </c:pt>
                <c:pt idx="7">
                  <c:v>466.16938829787233</c:v>
                </c:pt>
                <c:pt idx="8">
                  <c:v>478.935345744681</c:v>
                </c:pt>
                <c:pt idx="9">
                  <c:v>491.70130319148944</c:v>
                </c:pt>
                <c:pt idx="10">
                  <c:v>504.46726063829794</c:v>
                </c:pt>
                <c:pt idx="11">
                  <c:v>517.23321808510661</c:v>
                </c:pt>
                <c:pt idx="12">
                  <c:v>529.99917553191506</c:v>
                </c:pt>
                <c:pt idx="13">
                  <c:v>542.76513297872361</c:v>
                </c:pt>
                <c:pt idx="14">
                  <c:v>555.53109042553217</c:v>
                </c:pt>
              </c:numCache>
            </c:numRef>
          </c:val>
          <c:smooth val="0"/>
          <c:extLst>
            <c:ext xmlns:c16="http://schemas.microsoft.com/office/drawing/2014/chart" uri="{C3380CC4-5D6E-409C-BE32-E72D297353CC}">
              <c16:uniqueId val="{00000000-AACB-4362-88F8-C0589A0355D3}"/>
            </c:ext>
          </c:extLst>
        </c:ser>
        <c:ser>
          <c:idx val="1"/>
          <c:order val="1"/>
          <c:tx>
            <c:strRef>
              <c:f>Prices!$M$27</c:f>
              <c:strCache>
                <c:ptCount val="1"/>
                <c:pt idx="0">
                  <c:v>Non Irrigated Peanut</c:v>
                </c:pt>
              </c:strCache>
            </c:strRef>
          </c:tx>
          <c:spPr>
            <a:ln>
              <a:solidFill>
                <a:srgbClr val="FF0000"/>
              </a:solidFill>
            </a:ln>
          </c:spPr>
          <c:marker>
            <c:symbol val="square"/>
            <c:size val="6"/>
          </c:marker>
          <c:dLbls>
            <c:spPr>
              <a:solidFill>
                <a:schemeClr val="accent6">
                  <a:lumMod val="75000"/>
                  <a:alpha val="5000"/>
                </a:schemeClr>
              </a:solidFill>
            </c:spPr>
            <c:txPr>
              <a:bodyPr rot="2700000" vert="horz"/>
              <a:lstStyle/>
              <a:p>
                <a:pPr algn="ctr">
                  <a:defRPr sz="1200" b="1"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Prices!$N$7:$N$21</c:f>
              <c:numCache>
                <c:formatCode>_("$"* #,##0.00_);_("$"* \(#,##0.00\);_("$"* "-"??_);_(@_)</c:formatCode>
                <c:ptCount val="15"/>
                <c:pt idx="0">
                  <c:v>4.3499999999999979</c:v>
                </c:pt>
                <c:pt idx="1">
                  <c:v>4.4999999999999982</c:v>
                </c:pt>
                <c:pt idx="2">
                  <c:v>4.6499999999999986</c:v>
                </c:pt>
                <c:pt idx="3">
                  <c:v>4.7999999999999989</c:v>
                </c:pt>
                <c:pt idx="4">
                  <c:v>4.9499999999999993</c:v>
                </c:pt>
                <c:pt idx="5">
                  <c:v>5.0999999999999996</c:v>
                </c:pt>
                <c:pt idx="6">
                  <c:v>5.25</c:v>
                </c:pt>
                <c:pt idx="7">
                  <c:v>5.4</c:v>
                </c:pt>
                <c:pt idx="8">
                  <c:v>5.5500000000000007</c:v>
                </c:pt>
                <c:pt idx="9">
                  <c:v>5.7000000000000011</c:v>
                </c:pt>
                <c:pt idx="10">
                  <c:v>5.8500000000000014</c:v>
                </c:pt>
                <c:pt idx="11">
                  <c:v>6.0000000000000018</c:v>
                </c:pt>
                <c:pt idx="12">
                  <c:v>6.1500000000000021</c:v>
                </c:pt>
                <c:pt idx="13">
                  <c:v>6.3000000000000025</c:v>
                </c:pt>
                <c:pt idx="14">
                  <c:v>6.4500000000000028</c:v>
                </c:pt>
              </c:numCache>
            </c:numRef>
          </c:cat>
          <c:val>
            <c:numRef>
              <c:f>Prices!$M$28:$M$42</c:f>
              <c:numCache>
                <c:formatCode>_("$"* #,##0_);_("$"* \(#,##0\);_("$"* "-"??_);_(@_)</c:formatCode>
                <c:ptCount val="15"/>
                <c:pt idx="0">
                  <c:v>369.79964687499995</c:v>
                </c:pt>
                <c:pt idx="1">
                  <c:v>377.29964687499995</c:v>
                </c:pt>
                <c:pt idx="2">
                  <c:v>384.79964687500001</c:v>
                </c:pt>
                <c:pt idx="3">
                  <c:v>392.29964687500001</c:v>
                </c:pt>
                <c:pt idx="4">
                  <c:v>399.79964687500006</c:v>
                </c:pt>
                <c:pt idx="5">
                  <c:v>407.29964687500006</c:v>
                </c:pt>
                <c:pt idx="6">
                  <c:v>414.79964687500012</c:v>
                </c:pt>
                <c:pt idx="7">
                  <c:v>422.29964687500012</c:v>
                </c:pt>
                <c:pt idx="8">
                  <c:v>429.79964687500006</c:v>
                </c:pt>
                <c:pt idx="9">
                  <c:v>437.29964687500012</c:v>
                </c:pt>
                <c:pt idx="10">
                  <c:v>444.79964687500012</c:v>
                </c:pt>
                <c:pt idx="11">
                  <c:v>452.29964687500018</c:v>
                </c:pt>
                <c:pt idx="12">
                  <c:v>459.79964687500018</c:v>
                </c:pt>
                <c:pt idx="13">
                  <c:v>467.29964687500018</c:v>
                </c:pt>
                <c:pt idx="14">
                  <c:v>474.79964687500018</c:v>
                </c:pt>
              </c:numCache>
            </c:numRef>
          </c:val>
          <c:smooth val="0"/>
          <c:extLst>
            <c:ext xmlns:c16="http://schemas.microsoft.com/office/drawing/2014/chart" uri="{C3380CC4-5D6E-409C-BE32-E72D297353CC}">
              <c16:uniqueId val="{00000001-AACB-4362-88F8-C0589A0355D3}"/>
            </c:ext>
          </c:extLst>
        </c:ser>
        <c:dLbls>
          <c:showLegendKey val="0"/>
          <c:showVal val="0"/>
          <c:showCatName val="0"/>
          <c:showSerName val="0"/>
          <c:showPercent val="0"/>
          <c:showBubbleSize val="0"/>
        </c:dLbls>
        <c:marker val="1"/>
        <c:smooth val="0"/>
        <c:axId val="-1810650608"/>
        <c:axId val="-1810646848"/>
      </c:lineChart>
      <c:catAx>
        <c:axId val="-1810650608"/>
        <c:scaling>
          <c:orientation val="minMax"/>
        </c:scaling>
        <c:delete val="0"/>
        <c:axPos val="b"/>
        <c:title>
          <c:tx>
            <c:rich>
              <a:bodyPr/>
              <a:lstStyle/>
              <a:p>
                <a:pPr>
                  <a:defRPr sz="1400" b="0" i="0" u="none" strike="noStrike" baseline="0">
                    <a:solidFill>
                      <a:srgbClr val="000000"/>
                    </a:solidFill>
                    <a:latin typeface="Calibri"/>
                    <a:ea typeface="Calibri"/>
                    <a:cs typeface="Calibri"/>
                  </a:defRPr>
                </a:pPr>
                <a:r>
                  <a:rPr lang="en-US"/>
                  <a:t>Corn Price ($/bu)</a:t>
                </a:r>
              </a:p>
            </c:rich>
          </c:tx>
          <c:overlay val="0"/>
        </c:title>
        <c:numFmt formatCode="_(&quot;$&quot;* #,##0.00_);_(&quot;$&quot;* \(#,##0.00\);_(&quot;$&quot;* &quot;-&quot;??_);_(@_)" sourceLinked="1"/>
        <c:majorTickMark val="none"/>
        <c:minorTickMark val="none"/>
        <c:tickLblPos val="nextTo"/>
        <c:txPr>
          <a:bodyPr rot="-5400000" vert="horz"/>
          <a:lstStyle/>
          <a:p>
            <a:pPr>
              <a:defRPr sz="1200" b="0" i="0" u="none" strike="noStrike" baseline="0">
                <a:solidFill>
                  <a:srgbClr val="000000"/>
                </a:solidFill>
                <a:latin typeface="Calibri"/>
                <a:ea typeface="Calibri"/>
                <a:cs typeface="Calibri"/>
              </a:defRPr>
            </a:pPr>
            <a:endParaRPr lang="en-US"/>
          </a:p>
        </c:txPr>
        <c:crossAx val="-1810646848"/>
        <c:crosses val="autoZero"/>
        <c:auto val="1"/>
        <c:lblAlgn val="ctr"/>
        <c:lblOffset val="100"/>
        <c:noMultiLvlLbl val="0"/>
      </c:catAx>
      <c:valAx>
        <c:axId val="-1810646848"/>
        <c:scaling>
          <c:orientation val="minMax"/>
        </c:scaling>
        <c:delete val="0"/>
        <c:axPos val="l"/>
        <c:majorGridlines/>
        <c:title>
          <c:tx>
            <c:rich>
              <a:bodyPr/>
              <a:lstStyle/>
              <a:p>
                <a:pPr>
                  <a:defRPr sz="1400" b="0" i="0" u="none" strike="noStrike" baseline="0">
                    <a:solidFill>
                      <a:srgbClr val="000000"/>
                    </a:solidFill>
                    <a:latin typeface="Calibri"/>
                    <a:ea typeface="Calibri"/>
                    <a:cs typeface="Calibri"/>
                  </a:defRPr>
                </a:pPr>
                <a:r>
                  <a:rPr lang="en-US"/>
                  <a:t>Peanut Price ($/ton)</a:t>
                </a:r>
              </a:p>
            </c:rich>
          </c:tx>
          <c:layout>
            <c:manualLayout>
              <c:xMode val="edge"/>
              <c:yMode val="edge"/>
              <c:x val="8.3441062404512902E-5"/>
              <c:y val="0.30024372759856599"/>
            </c:manualLayout>
          </c:layout>
          <c:overlay val="0"/>
        </c:title>
        <c:numFmt formatCode="_(&quot;$&quot;* #,##0_);_(&quot;$&quot;* \(#,##0\);_(&quot;$&quot;* &quot;-&quot;??_);_(@_)"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1810650608"/>
        <c:crosses val="autoZero"/>
        <c:crossBetween val="between"/>
      </c:valAx>
    </c:plotArea>
    <c:legend>
      <c:legendPos val="r"/>
      <c:layout>
        <c:manualLayout>
          <c:xMode val="edge"/>
          <c:yMode val="edge"/>
          <c:x val="0.13651010041655201"/>
          <c:y val="0.69428905257810503"/>
          <c:w val="0.22665778717958801"/>
          <c:h val="0.102313210848644"/>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99"/>
    </a:solidFill>
  </c:spPr>
  <c:txPr>
    <a:bodyPr/>
    <a:lstStyle/>
    <a:p>
      <a:pPr>
        <a:defRPr sz="12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Soybean Price Needed to Give Equal Returns Above Variable Costs to Corn at Budgeted Yields *</a:t>
            </a:r>
          </a:p>
        </c:rich>
      </c:tx>
      <c:overlay val="0"/>
    </c:title>
    <c:autoTitleDeleted val="0"/>
    <c:plotArea>
      <c:layout>
        <c:manualLayout>
          <c:layoutTarget val="inner"/>
          <c:xMode val="edge"/>
          <c:yMode val="edge"/>
          <c:x val="0.13366369744322501"/>
          <c:y val="9.7056084681031607E-2"/>
          <c:w val="0.80786312183950004"/>
          <c:h val="0.71248991719977495"/>
        </c:manualLayout>
      </c:layout>
      <c:lineChart>
        <c:grouping val="standard"/>
        <c:varyColors val="0"/>
        <c:ser>
          <c:idx val="0"/>
          <c:order val="0"/>
          <c:tx>
            <c:strRef>
              <c:f>Prices!$O$6</c:f>
              <c:strCache>
                <c:ptCount val="1"/>
                <c:pt idx="0">
                  <c:v>Irrigated Soybean</c:v>
                </c:pt>
              </c:strCache>
            </c:strRef>
          </c:tx>
          <c:spPr>
            <a:ln>
              <a:solidFill>
                <a:schemeClr val="accent4">
                  <a:lumMod val="75000"/>
                </a:schemeClr>
              </a:solidFill>
            </a:ln>
          </c:spPr>
          <c:marker>
            <c:symbol val="circle"/>
            <c:size val="7"/>
            <c:spPr>
              <a:solidFill>
                <a:schemeClr val="accent4">
                  <a:lumMod val="60000"/>
                  <a:lumOff val="40000"/>
                </a:schemeClr>
              </a:solidFill>
              <a:ln>
                <a:solidFill>
                  <a:srgbClr val="7030A0"/>
                </a:solidFill>
              </a:ln>
            </c:spPr>
          </c:marker>
          <c:dLbls>
            <c:spPr>
              <a:solidFill>
                <a:schemeClr val="accent4">
                  <a:lumMod val="40000"/>
                  <a:lumOff val="60000"/>
                  <a:alpha val="5000"/>
                </a:schemeClr>
              </a:solidFill>
            </c:spPr>
            <c:txPr>
              <a:bodyPr rot="2700000" vert="horz"/>
              <a:lstStyle/>
              <a:p>
                <a:pPr algn="ctr">
                  <a:defRPr sz="1200" b="1"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Prices!$N$7:$N$21</c:f>
              <c:numCache>
                <c:formatCode>_("$"* #,##0.00_);_("$"* \(#,##0.00\);_("$"* "-"??_);_(@_)</c:formatCode>
                <c:ptCount val="15"/>
                <c:pt idx="0">
                  <c:v>4.3499999999999979</c:v>
                </c:pt>
                <c:pt idx="1">
                  <c:v>4.4999999999999982</c:v>
                </c:pt>
                <c:pt idx="2">
                  <c:v>4.6499999999999986</c:v>
                </c:pt>
                <c:pt idx="3">
                  <c:v>4.7999999999999989</c:v>
                </c:pt>
                <c:pt idx="4">
                  <c:v>4.9499999999999993</c:v>
                </c:pt>
                <c:pt idx="5">
                  <c:v>5.0999999999999996</c:v>
                </c:pt>
                <c:pt idx="6">
                  <c:v>5.25</c:v>
                </c:pt>
                <c:pt idx="7">
                  <c:v>5.4</c:v>
                </c:pt>
                <c:pt idx="8">
                  <c:v>5.5500000000000007</c:v>
                </c:pt>
                <c:pt idx="9">
                  <c:v>5.7000000000000011</c:v>
                </c:pt>
                <c:pt idx="10">
                  <c:v>5.8500000000000014</c:v>
                </c:pt>
                <c:pt idx="11">
                  <c:v>6.0000000000000018</c:v>
                </c:pt>
                <c:pt idx="12">
                  <c:v>6.1500000000000021</c:v>
                </c:pt>
                <c:pt idx="13">
                  <c:v>6.3000000000000025</c:v>
                </c:pt>
                <c:pt idx="14">
                  <c:v>6.4500000000000028</c:v>
                </c:pt>
              </c:numCache>
            </c:numRef>
          </c:cat>
          <c:val>
            <c:numRef>
              <c:f>Prices!$O$7:$O$21</c:f>
              <c:numCache>
                <c:formatCode>_("$"* #,##0.00_);_("$"* \(#,##0.00\);_("$"* "-"??_);_(@_)</c:formatCode>
                <c:ptCount val="15"/>
                <c:pt idx="0">
                  <c:v>7.2111017812499911</c:v>
                </c:pt>
                <c:pt idx="1">
                  <c:v>7.7111017812499929</c:v>
                </c:pt>
                <c:pt idx="2">
                  <c:v>8.2111017812499956</c:v>
                </c:pt>
                <c:pt idx="3">
                  <c:v>8.7111017812499956</c:v>
                </c:pt>
                <c:pt idx="4">
                  <c:v>9.2111017812499956</c:v>
                </c:pt>
                <c:pt idx="5">
                  <c:v>9.7111017812499956</c:v>
                </c:pt>
                <c:pt idx="6">
                  <c:v>10.211101781249999</c:v>
                </c:pt>
                <c:pt idx="7">
                  <c:v>10.711101781249999</c:v>
                </c:pt>
                <c:pt idx="8">
                  <c:v>11.211101781250003</c:v>
                </c:pt>
                <c:pt idx="9">
                  <c:v>11.711101781250003</c:v>
                </c:pt>
                <c:pt idx="10">
                  <c:v>12.211101781250003</c:v>
                </c:pt>
                <c:pt idx="11">
                  <c:v>12.711101781250006</c:v>
                </c:pt>
                <c:pt idx="12">
                  <c:v>13.211101781250006</c:v>
                </c:pt>
                <c:pt idx="13">
                  <c:v>13.711101781250006</c:v>
                </c:pt>
                <c:pt idx="14">
                  <c:v>14.211101781250006</c:v>
                </c:pt>
              </c:numCache>
            </c:numRef>
          </c:val>
          <c:smooth val="0"/>
          <c:extLst>
            <c:ext xmlns:c16="http://schemas.microsoft.com/office/drawing/2014/chart" uri="{C3380CC4-5D6E-409C-BE32-E72D297353CC}">
              <c16:uniqueId val="{00000000-9FCA-43F6-A1A2-97DE06BBE7A0}"/>
            </c:ext>
          </c:extLst>
        </c:ser>
        <c:ser>
          <c:idx val="1"/>
          <c:order val="1"/>
          <c:tx>
            <c:strRef>
              <c:f>Prices!$O$27</c:f>
              <c:strCache>
                <c:ptCount val="1"/>
                <c:pt idx="0">
                  <c:v>Non Irrigated Soybean</c:v>
                </c:pt>
              </c:strCache>
            </c:strRef>
          </c:tx>
          <c:spPr>
            <a:ln>
              <a:solidFill>
                <a:schemeClr val="accent6">
                  <a:lumMod val="75000"/>
                </a:schemeClr>
              </a:solidFill>
            </a:ln>
          </c:spPr>
          <c:marker>
            <c:symbol val="square"/>
            <c:size val="6"/>
            <c:spPr>
              <a:solidFill>
                <a:schemeClr val="accent6">
                  <a:lumMod val="60000"/>
                  <a:lumOff val="40000"/>
                </a:schemeClr>
              </a:solidFill>
              <a:ln>
                <a:solidFill>
                  <a:schemeClr val="accent6">
                    <a:lumMod val="50000"/>
                  </a:schemeClr>
                </a:solidFill>
              </a:ln>
            </c:spPr>
          </c:marker>
          <c:dLbls>
            <c:spPr>
              <a:solidFill>
                <a:srgbClr val="FFC000">
                  <a:alpha val="5000"/>
                </a:srgbClr>
              </a:solidFill>
            </c:spPr>
            <c:txPr>
              <a:bodyPr rot="5400000" vert="horz"/>
              <a:lstStyle/>
              <a:p>
                <a:pPr algn="ctr">
                  <a:defRPr sz="12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Prices!$N$7:$N$21</c:f>
              <c:numCache>
                <c:formatCode>_("$"* #,##0.00_);_("$"* \(#,##0.00\);_("$"* "-"??_);_(@_)</c:formatCode>
                <c:ptCount val="15"/>
                <c:pt idx="0">
                  <c:v>4.3499999999999979</c:v>
                </c:pt>
                <c:pt idx="1">
                  <c:v>4.4999999999999982</c:v>
                </c:pt>
                <c:pt idx="2">
                  <c:v>4.6499999999999986</c:v>
                </c:pt>
                <c:pt idx="3">
                  <c:v>4.7999999999999989</c:v>
                </c:pt>
                <c:pt idx="4">
                  <c:v>4.9499999999999993</c:v>
                </c:pt>
                <c:pt idx="5">
                  <c:v>5.0999999999999996</c:v>
                </c:pt>
                <c:pt idx="6">
                  <c:v>5.25</c:v>
                </c:pt>
                <c:pt idx="7">
                  <c:v>5.4</c:v>
                </c:pt>
                <c:pt idx="8">
                  <c:v>5.5500000000000007</c:v>
                </c:pt>
                <c:pt idx="9">
                  <c:v>5.7000000000000011</c:v>
                </c:pt>
                <c:pt idx="10">
                  <c:v>5.8500000000000014</c:v>
                </c:pt>
                <c:pt idx="11">
                  <c:v>6.0000000000000018</c:v>
                </c:pt>
                <c:pt idx="12">
                  <c:v>6.1500000000000021</c:v>
                </c:pt>
                <c:pt idx="13">
                  <c:v>6.3000000000000025</c:v>
                </c:pt>
                <c:pt idx="14">
                  <c:v>6.4500000000000028</c:v>
                </c:pt>
              </c:numCache>
            </c:numRef>
          </c:cat>
          <c:val>
            <c:numRef>
              <c:f>Prices!$O$28:$O$42</c:f>
              <c:numCache>
                <c:formatCode>_("$"* #,##0.00_);_("$"* \(#,##0.00\);_("$"* "-"??_);_(@_)</c:formatCode>
                <c:ptCount val="15"/>
                <c:pt idx="0">
                  <c:v>8.6319018541666619</c:v>
                </c:pt>
                <c:pt idx="1">
                  <c:v>9.0569018541666608</c:v>
                </c:pt>
                <c:pt idx="2">
                  <c:v>9.4819018541666633</c:v>
                </c:pt>
                <c:pt idx="3">
                  <c:v>9.906901854166664</c:v>
                </c:pt>
                <c:pt idx="4">
                  <c:v>10.331901854166665</c:v>
                </c:pt>
                <c:pt idx="5">
                  <c:v>10.756901854166665</c:v>
                </c:pt>
                <c:pt idx="6">
                  <c:v>11.181901854166666</c:v>
                </c:pt>
                <c:pt idx="7">
                  <c:v>11.606901854166669</c:v>
                </c:pt>
                <c:pt idx="8">
                  <c:v>12.031901854166669</c:v>
                </c:pt>
                <c:pt idx="9">
                  <c:v>12.45690185416667</c:v>
                </c:pt>
                <c:pt idx="10">
                  <c:v>12.881901854166671</c:v>
                </c:pt>
                <c:pt idx="11">
                  <c:v>13.306901854166673</c:v>
                </c:pt>
                <c:pt idx="12">
                  <c:v>13.731901854166674</c:v>
                </c:pt>
                <c:pt idx="13">
                  <c:v>14.156901854166675</c:v>
                </c:pt>
                <c:pt idx="14">
                  <c:v>14.581901854166675</c:v>
                </c:pt>
              </c:numCache>
            </c:numRef>
          </c:val>
          <c:smooth val="0"/>
          <c:extLst>
            <c:ext xmlns:c16="http://schemas.microsoft.com/office/drawing/2014/chart" uri="{C3380CC4-5D6E-409C-BE32-E72D297353CC}">
              <c16:uniqueId val="{00000001-9FCA-43F6-A1A2-97DE06BBE7A0}"/>
            </c:ext>
          </c:extLst>
        </c:ser>
        <c:dLbls>
          <c:showLegendKey val="0"/>
          <c:showVal val="0"/>
          <c:showCatName val="0"/>
          <c:showSerName val="0"/>
          <c:showPercent val="0"/>
          <c:showBubbleSize val="0"/>
        </c:dLbls>
        <c:marker val="1"/>
        <c:smooth val="0"/>
        <c:axId val="-1810617008"/>
        <c:axId val="-1810613248"/>
      </c:lineChart>
      <c:catAx>
        <c:axId val="-1810617008"/>
        <c:scaling>
          <c:orientation val="minMax"/>
        </c:scaling>
        <c:delete val="0"/>
        <c:axPos val="b"/>
        <c:title>
          <c:tx>
            <c:rich>
              <a:bodyPr/>
              <a:lstStyle/>
              <a:p>
                <a:pPr>
                  <a:defRPr sz="1400" b="0" i="0" u="none" strike="noStrike" baseline="0">
                    <a:solidFill>
                      <a:srgbClr val="000000"/>
                    </a:solidFill>
                    <a:latin typeface="Calibri"/>
                    <a:ea typeface="Calibri"/>
                    <a:cs typeface="Calibri"/>
                  </a:defRPr>
                </a:pPr>
                <a:r>
                  <a:rPr lang="en-US"/>
                  <a:t>Corn Price ($/bu)</a:t>
                </a:r>
              </a:p>
            </c:rich>
          </c:tx>
          <c:overlay val="0"/>
        </c:title>
        <c:numFmt formatCode="_(&quot;$&quot;* #,##0.00_);_(&quot;$&quot;* \(#,##0.00\);_(&quot;$&quot;* &quot;-&quot;??_);_(@_)" sourceLinked="1"/>
        <c:majorTickMark val="none"/>
        <c:minorTickMark val="none"/>
        <c:tickLblPos val="nextTo"/>
        <c:txPr>
          <a:bodyPr rot="-5400000" vert="horz"/>
          <a:lstStyle/>
          <a:p>
            <a:pPr>
              <a:defRPr sz="1200" b="0" i="0" u="none" strike="noStrike" baseline="0">
                <a:solidFill>
                  <a:srgbClr val="000000"/>
                </a:solidFill>
                <a:latin typeface="Calibri"/>
                <a:ea typeface="Calibri"/>
                <a:cs typeface="Calibri"/>
              </a:defRPr>
            </a:pPr>
            <a:endParaRPr lang="en-US"/>
          </a:p>
        </c:txPr>
        <c:crossAx val="-1810613248"/>
        <c:crosses val="autoZero"/>
        <c:auto val="1"/>
        <c:lblAlgn val="ctr"/>
        <c:lblOffset val="100"/>
        <c:noMultiLvlLbl val="0"/>
      </c:catAx>
      <c:valAx>
        <c:axId val="-1810613248"/>
        <c:scaling>
          <c:orientation val="minMax"/>
        </c:scaling>
        <c:delete val="0"/>
        <c:axPos val="l"/>
        <c:majorGridlines/>
        <c:title>
          <c:tx>
            <c:rich>
              <a:bodyPr/>
              <a:lstStyle/>
              <a:p>
                <a:pPr>
                  <a:defRPr sz="1400" b="0" i="0" u="none" strike="noStrike" baseline="0">
                    <a:solidFill>
                      <a:srgbClr val="000000"/>
                    </a:solidFill>
                    <a:latin typeface="Calibri"/>
                    <a:ea typeface="Calibri"/>
                    <a:cs typeface="Calibri"/>
                  </a:defRPr>
                </a:pPr>
                <a:r>
                  <a:rPr lang="en-US"/>
                  <a:t>Soybean Price ($/bu)</a:t>
                </a:r>
              </a:p>
            </c:rich>
          </c:tx>
          <c:layout>
            <c:manualLayout>
              <c:xMode val="edge"/>
              <c:yMode val="edge"/>
              <c:x val="8.3467827391141405E-5"/>
              <c:y val="0.30024372759856599"/>
            </c:manualLayout>
          </c:layout>
          <c:overlay val="0"/>
        </c:title>
        <c:numFmt formatCode="_(&quot;$&quot;* #,##0.00_);_(&quot;$&quot;* \(#,##0.00\);_(&quot;$&quot;* &quot;-&quot;??_);_(@_)"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1810617008"/>
        <c:crosses val="autoZero"/>
        <c:crossBetween val="between"/>
      </c:valAx>
    </c:plotArea>
    <c:legend>
      <c:legendPos val="r"/>
      <c:layout>
        <c:manualLayout>
          <c:xMode val="edge"/>
          <c:yMode val="edge"/>
          <c:x val="0.134806279649826"/>
          <c:y val="0.70803285073236799"/>
          <c:w val="0.24596286333773501"/>
          <c:h val="0.102313210848644"/>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99"/>
    </a:solidFill>
  </c:spPr>
  <c:txPr>
    <a:bodyPr/>
    <a:lstStyle/>
    <a:p>
      <a:pPr>
        <a:defRPr sz="12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horizontalDpi="300" verticalDpi="300"/>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12" Type="http://schemas.openxmlformats.org/officeDocument/2006/relationships/chart" Target="../charts/chart24.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xdr:col>
      <xdr:colOff>85725</xdr:colOff>
      <xdr:row>10</xdr:row>
      <xdr:rowOff>254812</xdr:rowOff>
    </xdr:from>
    <xdr:to>
      <xdr:col>2</xdr:col>
      <xdr:colOff>1040423</xdr:colOff>
      <xdr:row>14</xdr:row>
      <xdr:rowOff>93786</xdr:rowOff>
    </xdr:to>
    <xdr:sp macro="" textlink="">
      <xdr:nvSpPr>
        <xdr:cNvPr id="2" name="Left Arrow 1">
          <a:extLst>
            <a:ext uri="{FF2B5EF4-FFF2-40B4-BE49-F238E27FC236}">
              <a16:creationId xmlns:a16="http://schemas.microsoft.com/office/drawing/2014/main" id="{00000000-0008-0000-0400-000002000000}"/>
            </a:ext>
          </a:extLst>
        </xdr:cNvPr>
        <xdr:cNvSpPr/>
      </xdr:nvSpPr>
      <xdr:spPr>
        <a:xfrm>
          <a:off x="3763840" y="833639"/>
          <a:ext cx="954698" cy="813455"/>
        </a:xfrm>
        <a:prstGeom prst="leftArrow">
          <a:avLst/>
        </a:prstGeom>
        <a:solidFill>
          <a:srgbClr val="00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ysClr val="windowText" lastClr="000000"/>
              </a:solidFill>
            </a:rPr>
            <a:t>2</a:t>
          </a:r>
          <a:r>
            <a:rPr lang="en-US" sz="1800" b="1" baseline="30000">
              <a:solidFill>
                <a:sysClr val="windowText" lastClr="000000"/>
              </a:solidFill>
            </a:rPr>
            <a:t>nd</a:t>
          </a:r>
        </a:p>
      </xdr:txBody>
    </xdr:sp>
    <xdr:clientData/>
  </xdr:twoCellAnchor>
  <xdr:twoCellAnchor>
    <xdr:from>
      <xdr:col>2</xdr:col>
      <xdr:colOff>104774</xdr:colOff>
      <xdr:row>14</xdr:row>
      <xdr:rowOff>175846</xdr:rowOff>
    </xdr:from>
    <xdr:to>
      <xdr:col>2</xdr:col>
      <xdr:colOff>1059472</xdr:colOff>
      <xdr:row>16</xdr:row>
      <xdr:rowOff>234460</xdr:rowOff>
    </xdr:to>
    <xdr:sp macro="" textlink="">
      <xdr:nvSpPr>
        <xdr:cNvPr id="3" name="Left Arrow 2">
          <a:extLst>
            <a:ext uri="{FF2B5EF4-FFF2-40B4-BE49-F238E27FC236}">
              <a16:creationId xmlns:a16="http://schemas.microsoft.com/office/drawing/2014/main" id="{00000000-0008-0000-0400-000003000000}"/>
            </a:ext>
          </a:extLst>
        </xdr:cNvPr>
        <xdr:cNvSpPr/>
      </xdr:nvSpPr>
      <xdr:spPr>
        <a:xfrm>
          <a:off x="3782889" y="1729154"/>
          <a:ext cx="954698" cy="637441"/>
        </a:xfrm>
        <a:prstGeom prst="leftArrow">
          <a:avLst/>
        </a:prstGeom>
        <a:solidFill>
          <a:srgbClr val="00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ysClr val="windowText" lastClr="000000"/>
              </a:solidFill>
            </a:rPr>
            <a:t>3</a:t>
          </a:r>
          <a:r>
            <a:rPr lang="en-US" sz="1800" b="1" baseline="30000">
              <a:solidFill>
                <a:sysClr val="windowText" lastClr="000000"/>
              </a:solidFill>
            </a:rPr>
            <a:t>rd</a:t>
          </a:r>
          <a:endParaRPr lang="en-US" sz="1800" b="1">
            <a:solidFill>
              <a:sysClr val="windowText" lastClr="000000"/>
            </a:solidFill>
          </a:endParaRPr>
        </a:p>
      </xdr:txBody>
    </xdr:sp>
    <xdr:clientData/>
  </xdr:twoCellAnchor>
  <xdr:twoCellAnchor>
    <xdr:from>
      <xdr:col>2</xdr:col>
      <xdr:colOff>85725</xdr:colOff>
      <xdr:row>21</xdr:row>
      <xdr:rowOff>269466</xdr:rowOff>
    </xdr:from>
    <xdr:to>
      <xdr:col>2</xdr:col>
      <xdr:colOff>1040423</xdr:colOff>
      <xdr:row>25</xdr:row>
      <xdr:rowOff>108440</xdr:rowOff>
    </xdr:to>
    <xdr:sp macro="" textlink="">
      <xdr:nvSpPr>
        <xdr:cNvPr id="4" name="Left Arrow 3">
          <a:extLst>
            <a:ext uri="{FF2B5EF4-FFF2-40B4-BE49-F238E27FC236}">
              <a16:creationId xmlns:a16="http://schemas.microsoft.com/office/drawing/2014/main" id="{00000000-0008-0000-0400-000004000000}"/>
            </a:ext>
          </a:extLst>
        </xdr:cNvPr>
        <xdr:cNvSpPr/>
      </xdr:nvSpPr>
      <xdr:spPr>
        <a:xfrm>
          <a:off x="3763840" y="3852331"/>
          <a:ext cx="954698" cy="813455"/>
        </a:xfrm>
        <a:prstGeom prst="leftArrow">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ysClr val="windowText" lastClr="000000"/>
              </a:solidFill>
            </a:rPr>
            <a:t>2</a:t>
          </a:r>
          <a:r>
            <a:rPr lang="en-US" sz="1800" b="1" baseline="30000">
              <a:solidFill>
                <a:sysClr val="windowText" lastClr="000000"/>
              </a:solidFill>
            </a:rPr>
            <a:t>nd</a:t>
          </a:r>
        </a:p>
      </xdr:txBody>
    </xdr:sp>
    <xdr:clientData/>
  </xdr:twoCellAnchor>
  <xdr:twoCellAnchor>
    <xdr:from>
      <xdr:col>2</xdr:col>
      <xdr:colOff>104774</xdr:colOff>
      <xdr:row>25</xdr:row>
      <xdr:rowOff>168519</xdr:rowOff>
    </xdr:from>
    <xdr:to>
      <xdr:col>2</xdr:col>
      <xdr:colOff>1059472</xdr:colOff>
      <xdr:row>27</xdr:row>
      <xdr:rowOff>278423</xdr:rowOff>
    </xdr:to>
    <xdr:sp macro="" textlink="">
      <xdr:nvSpPr>
        <xdr:cNvPr id="5" name="Left Arrow 4">
          <a:extLst>
            <a:ext uri="{FF2B5EF4-FFF2-40B4-BE49-F238E27FC236}">
              <a16:creationId xmlns:a16="http://schemas.microsoft.com/office/drawing/2014/main" id="{00000000-0008-0000-0400-000005000000}"/>
            </a:ext>
          </a:extLst>
        </xdr:cNvPr>
        <xdr:cNvSpPr/>
      </xdr:nvSpPr>
      <xdr:spPr>
        <a:xfrm>
          <a:off x="3782889" y="4725865"/>
          <a:ext cx="954698" cy="688731"/>
        </a:xfrm>
        <a:prstGeom prst="leftArrow">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ysClr val="windowText" lastClr="000000"/>
              </a:solidFill>
            </a:rPr>
            <a:t>3</a:t>
          </a:r>
          <a:r>
            <a:rPr lang="en-US" sz="2000" b="1" baseline="30000">
              <a:solidFill>
                <a:sysClr val="windowText" lastClr="000000"/>
              </a:solidFill>
            </a:rPr>
            <a:t>rd</a:t>
          </a:r>
        </a:p>
      </xdr:txBody>
    </xdr:sp>
    <xdr:clientData/>
  </xdr:twoCellAnchor>
  <xdr:twoCellAnchor>
    <xdr:from>
      <xdr:col>2</xdr:col>
      <xdr:colOff>66675</xdr:colOff>
      <xdr:row>8</xdr:row>
      <xdr:rowOff>96634</xdr:rowOff>
    </xdr:from>
    <xdr:to>
      <xdr:col>2</xdr:col>
      <xdr:colOff>1021373</xdr:colOff>
      <xdr:row>10</xdr:row>
      <xdr:rowOff>97449</xdr:rowOff>
    </xdr:to>
    <xdr:sp macro="" textlink="">
      <xdr:nvSpPr>
        <xdr:cNvPr id="6" name="Left Arrow 5">
          <a:extLst>
            <a:ext uri="{FF2B5EF4-FFF2-40B4-BE49-F238E27FC236}">
              <a16:creationId xmlns:a16="http://schemas.microsoft.com/office/drawing/2014/main" id="{00000000-0008-0000-0400-000006000000}"/>
            </a:ext>
          </a:extLst>
        </xdr:cNvPr>
        <xdr:cNvSpPr/>
      </xdr:nvSpPr>
      <xdr:spPr>
        <a:xfrm>
          <a:off x="3744790" y="96634"/>
          <a:ext cx="954698" cy="579642"/>
        </a:xfrm>
        <a:prstGeom prst="leftArrow">
          <a:avLst/>
        </a:prstGeom>
        <a:solidFill>
          <a:srgbClr val="00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ysClr val="windowText" lastClr="000000"/>
              </a:solidFill>
            </a:rPr>
            <a:t>1</a:t>
          </a:r>
          <a:r>
            <a:rPr lang="en-US" sz="1800" b="1" baseline="30000">
              <a:solidFill>
                <a:sysClr val="windowText" lastClr="000000"/>
              </a:solidFill>
            </a:rPr>
            <a:t>st</a:t>
          </a:r>
        </a:p>
      </xdr:txBody>
    </xdr:sp>
    <xdr:clientData/>
  </xdr:twoCellAnchor>
  <xdr:twoCellAnchor>
    <xdr:from>
      <xdr:col>2</xdr:col>
      <xdr:colOff>57150</xdr:colOff>
      <xdr:row>19</xdr:row>
      <xdr:rowOff>118616</xdr:rowOff>
    </xdr:from>
    <xdr:to>
      <xdr:col>2</xdr:col>
      <xdr:colOff>1011848</xdr:colOff>
      <xdr:row>21</xdr:row>
      <xdr:rowOff>119430</xdr:rowOff>
    </xdr:to>
    <xdr:sp macro="" textlink="">
      <xdr:nvSpPr>
        <xdr:cNvPr id="7" name="Left Arrow 6">
          <a:extLst>
            <a:ext uri="{FF2B5EF4-FFF2-40B4-BE49-F238E27FC236}">
              <a16:creationId xmlns:a16="http://schemas.microsoft.com/office/drawing/2014/main" id="{00000000-0008-0000-0400-000007000000}"/>
            </a:ext>
          </a:extLst>
        </xdr:cNvPr>
        <xdr:cNvSpPr/>
      </xdr:nvSpPr>
      <xdr:spPr>
        <a:xfrm>
          <a:off x="3735265" y="3122654"/>
          <a:ext cx="954698" cy="579641"/>
        </a:xfrm>
        <a:prstGeom prst="leftArrow">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ysClr val="windowText" lastClr="000000"/>
              </a:solidFill>
            </a:rPr>
            <a:t>1</a:t>
          </a:r>
          <a:r>
            <a:rPr lang="en-US" sz="1800" b="1" baseline="30000">
              <a:solidFill>
                <a:sysClr val="windowText" lastClr="000000"/>
              </a:solidFill>
            </a:rPr>
            <a:t>st</a:t>
          </a:r>
          <a:endParaRPr lang="en-US" sz="18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9525</xdr:rowOff>
    </xdr:from>
    <xdr:to>
      <xdr:col>12</xdr:col>
      <xdr:colOff>590550</xdr:colOff>
      <xdr:row>27</xdr:row>
      <xdr:rowOff>95250</xdr:rowOff>
    </xdr:to>
    <xdr:graphicFrame macro="">
      <xdr:nvGraphicFramePr>
        <xdr:cNvPr id="2349" name="Chart 1">
          <a:extLst>
            <a:ext uri="{FF2B5EF4-FFF2-40B4-BE49-F238E27FC236}">
              <a16:creationId xmlns:a16="http://schemas.microsoft.com/office/drawing/2014/main" id="{00000000-0008-0000-0600-00002D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19050</xdr:rowOff>
    </xdr:from>
    <xdr:to>
      <xdr:col>12</xdr:col>
      <xdr:colOff>581025</xdr:colOff>
      <xdr:row>61</xdr:row>
      <xdr:rowOff>95250</xdr:rowOff>
    </xdr:to>
    <xdr:graphicFrame macro="">
      <xdr:nvGraphicFramePr>
        <xdr:cNvPr id="2350" name="Chart 1">
          <a:extLst>
            <a:ext uri="{FF2B5EF4-FFF2-40B4-BE49-F238E27FC236}">
              <a16:creationId xmlns:a16="http://schemas.microsoft.com/office/drawing/2014/main" id="{00000000-0008-0000-0600-00002E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68</xdr:row>
      <xdr:rowOff>38100</xdr:rowOff>
    </xdr:from>
    <xdr:to>
      <xdr:col>12</xdr:col>
      <xdr:colOff>581025</xdr:colOff>
      <xdr:row>95</xdr:row>
      <xdr:rowOff>95250</xdr:rowOff>
    </xdr:to>
    <xdr:graphicFrame macro="">
      <xdr:nvGraphicFramePr>
        <xdr:cNvPr id="2351" name="Chart 1">
          <a:extLst>
            <a:ext uri="{FF2B5EF4-FFF2-40B4-BE49-F238E27FC236}">
              <a16:creationId xmlns:a16="http://schemas.microsoft.com/office/drawing/2014/main" id="{00000000-0008-0000-0600-00002F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102</xdr:row>
      <xdr:rowOff>47625</xdr:rowOff>
    </xdr:from>
    <xdr:to>
      <xdr:col>12</xdr:col>
      <xdr:colOff>581025</xdr:colOff>
      <xdr:row>129</xdr:row>
      <xdr:rowOff>95250</xdr:rowOff>
    </xdr:to>
    <xdr:graphicFrame macro="">
      <xdr:nvGraphicFramePr>
        <xdr:cNvPr id="2352" name="Chart 1">
          <a:extLst>
            <a:ext uri="{FF2B5EF4-FFF2-40B4-BE49-F238E27FC236}">
              <a16:creationId xmlns:a16="http://schemas.microsoft.com/office/drawing/2014/main" id="{00000000-0008-0000-0600-000030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136</xdr:row>
      <xdr:rowOff>28575</xdr:rowOff>
    </xdr:from>
    <xdr:to>
      <xdr:col>12</xdr:col>
      <xdr:colOff>581025</xdr:colOff>
      <xdr:row>163</xdr:row>
      <xdr:rowOff>76200</xdr:rowOff>
    </xdr:to>
    <xdr:graphicFrame macro="">
      <xdr:nvGraphicFramePr>
        <xdr:cNvPr id="2353" name="Chart 1">
          <a:extLst>
            <a:ext uri="{FF2B5EF4-FFF2-40B4-BE49-F238E27FC236}">
              <a16:creationId xmlns:a16="http://schemas.microsoft.com/office/drawing/2014/main" id="{00000000-0008-0000-0600-000031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170</xdr:row>
      <xdr:rowOff>28575</xdr:rowOff>
    </xdr:from>
    <xdr:to>
      <xdr:col>12</xdr:col>
      <xdr:colOff>581025</xdr:colOff>
      <xdr:row>197</xdr:row>
      <xdr:rowOff>104775</xdr:rowOff>
    </xdr:to>
    <xdr:graphicFrame macro="">
      <xdr:nvGraphicFramePr>
        <xdr:cNvPr id="2354" name="Chart 1">
          <a:extLst>
            <a:ext uri="{FF2B5EF4-FFF2-40B4-BE49-F238E27FC236}">
              <a16:creationId xmlns:a16="http://schemas.microsoft.com/office/drawing/2014/main" id="{00000000-0008-0000-0600-000032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204</xdr:row>
      <xdr:rowOff>38100</xdr:rowOff>
    </xdr:from>
    <xdr:to>
      <xdr:col>12</xdr:col>
      <xdr:colOff>581025</xdr:colOff>
      <xdr:row>231</xdr:row>
      <xdr:rowOff>133350</xdr:rowOff>
    </xdr:to>
    <xdr:graphicFrame macro="">
      <xdr:nvGraphicFramePr>
        <xdr:cNvPr id="2355" name="Chart 1">
          <a:extLst>
            <a:ext uri="{FF2B5EF4-FFF2-40B4-BE49-F238E27FC236}">
              <a16:creationId xmlns:a16="http://schemas.microsoft.com/office/drawing/2014/main" id="{00000000-0008-0000-0600-000033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19050</xdr:colOff>
      <xdr:row>238</xdr:row>
      <xdr:rowOff>38100</xdr:rowOff>
    </xdr:from>
    <xdr:to>
      <xdr:col>12</xdr:col>
      <xdr:colOff>590550</xdr:colOff>
      <xdr:row>265</xdr:row>
      <xdr:rowOff>95250</xdr:rowOff>
    </xdr:to>
    <xdr:graphicFrame macro="">
      <xdr:nvGraphicFramePr>
        <xdr:cNvPr id="2356" name="Chart 1">
          <a:extLst>
            <a:ext uri="{FF2B5EF4-FFF2-40B4-BE49-F238E27FC236}">
              <a16:creationId xmlns:a16="http://schemas.microsoft.com/office/drawing/2014/main" id="{00000000-0008-0000-0600-000034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272</xdr:row>
      <xdr:rowOff>38100</xdr:rowOff>
    </xdr:from>
    <xdr:to>
      <xdr:col>12</xdr:col>
      <xdr:colOff>581025</xdr:colOff>
      <xdr:row>299</xdr:row>
      <xdr:rowOff>95250</xdr:rowOff>
    </xdr:to>
    <xdr:graphicFrame macro="">
      <xdr:nvGraphicFramePr>
        <xdr:cNvPr id="2357" name="Chart 1">
          <a:extLst>
            <a:ext uri="{FF2B5EF4-FFF2-40B4-BE49-F238E27FC236}">
              <a16:creationId xmlns:a16="http://schemas.microsoft.com/office/drawing/2014/main" id="{00000000-0008-0000-0600-000035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38100</xdr:colOff>
      <xdr:row>306</xdr:row>
      <xdr:rowOff>28575</xdr:rowOff>
    </xdr:from>
    <xdr:to>
      <xdr:col>12</xdr:col>
      <xdr:colOff>590550</xdr:colOff>
      <xdr:row>332</xdr:row>
      <xdr:rowOff>133350</xdr:rowOff>
    </xdr:to>
    <xdr:graphicFrame macro="">
      <xdr:nvGraphicFramePr>
        <xdr:cNvPr id="2358" name="Chart 1">
          <a:extLst>
            <a:ext uri="{FF2B5EF4-FFF2-40B4-BE49-F238E27FC236}">
              <a16:creationId xmlns:a16="http://schemas.microsoft.com/office/drawing/2014/main" id="{00000000-0008-0000-0600-000036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19050</xdr:colOff>
      <xdr:row>340</xdr:row>
      <xdr:rowOff>38100</xdr:rowOff>
    </xdr:from>
    <xdr:to>
      <xdr:col>12</xdr:col>
      <xdr:colOff>590550</xdr:colOff>
      <xdr:row>367</xdr:row>
      <xdr:rowOff>95250</xdr:rowOff>
    </xdr:to>
    <xdr:graphicFrame macro="">
      <xdr:nvGraphicFramePr>
        <xdr:cNvPr id="2359" name="Chart 1">
          <a:extLst>
            <a:ext uri="{FF2B5EF4-FFF2-40B4-BE49-F238E27FC236}">
              <a16:creationId xmlns:a16="http://schemas.microsoft.com/office/drawing/2014/main" id="{00000000-0008-0000-0600-000037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374</xdr:row>
      <xdr:rowOff>38100</xdr:rowOff>
    </xdr:from>
    <xdr:to>
      <xdr:col>12</xdr:col>
      <xdr:colOff>581025</xdr:colOff>
      <xdr:row>401</xdr:row>
      <xdr:rowOff>104775</xdr:rowOff>
    </xdr:to>
    <xdr:graphicFrame macro="">
      <xdr:nvGraphicFramePr>
        <xdr:cNvPr id="2360" name="Chart 1">
          <a:extLst>
            <a:ext uri="{FF2B5EF4-FFF2-40B4-BE49-F238E27FC236}">
              <a16:creationId xmlns:a16="http://schemas.microsoft.com/office/drawing/2014/main" id="{00000000-0008-0000-0600-000038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9525</xdr:rowOff>
    </xdr:from>
    <xdr:to>
      <xdr:col>12</xdr:col>
      <xdr:colOff>590550</xdr:colOff>
      <xdr:row>27</xdr:row>
      <xdr:rowOff>95250</xdr:rowOff>
    </xdr:to>
    <xdr:graphicFrame macro="">
      <xdr:nvGraphicFramePr>
        <xdr:cNvPr id="3373" name="Chart 1">
          <a:extLst>
            <a:ext uri="{FF2B5EF4-FFF2-40B4-BE49-F238E27FC236}">
              <a16:creationId xmlns:a16="http://schemas.microsoft.com/office/drawing/2014/main" id="{00000000-0008-0000-0700-00002D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19050</xdr:rowOff>
    </xdr:from>
    <xdr:to>
      <xdr:col>12</xdr:col>
      <xdr:colOff>581025</xdr:colOff>
      <xdr:row>61</xdr:row>
      <xdr:rowOff>95250</xdr:rowOff>
    </xdr:to>
    <xdr:graphicFrame macro="">
      <xdr:nvGraphicFramePr>
        <xdr:cNvPr id="3374" name="Chart 1">
          <a:extLst>
            <a:ext uri="{FF2B5EF4-FFF2-40B4-BE49-F238E27FC236}">
              <a16:creationId xmlns:a16="http://schemas.microsoft.com/office/drawing/2014/main" id="{00000000-0008-0000-0700-00002E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68</xdr:row>
      <xdr:rowOff>38100</xdr:rowOff>
    </xdr:from>
    <xdr:to>
      <xdr:col>12</xdr:col>
      <xdr:colOff>581025</xdr:colOff>
      <xdr:row>95</xdr:row>
      <xdr:rowOff>95250</xdr:rowOff>
    </xdr:to>
    <xdr:graphicFrame macro="">
      <xdr:nvGraphicFramePr>
        <xdr:cNvPr id="3375" name="Chart 1">
          <a:extLst>
            <a:ext uri="{FF2B5EF4-FFF2-40B4-BE49-F238E27FC236}">
              <a16:creationId xmlns:a16="http://schemas.microsoft.com/office/drawing/2014/main" id="{00000000-0008-0000-0700-00002F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102</xdr:row>
      <xdr:rowOff>47625</xdr:rowOff>
    </xdr:from>
    <xdr:to>
      <xdr:col>12</xdr:col>
      <xdr:colOff>581025</xdr:colOff>
      <xdr:row>129</xdr:row>
      <xdr:rowOff>95250</xdr:rowOff>
    </xdr:to>
    <xdr:graphicFrame macro="">
      <xdr:nvGraphicFramePr>
        <xdr:cNvPr id="3376" name="Chart 1">
          <a:extLst>
            <a:ext uri="{FF2B5EF4-FFF2-40B4-BE49-F238E27FC236}">
              <a16:creationId xmlns:a16="http://schemas.microsoft.com/office/drawing/2014/main" id="{00000000-0008-0000-0700-000030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136</xdr:row>
      <xdr:rowOff>28575</xdr:rowOff>
    </xdr:from>
    <xdr:to>
      <xdr:col>12</xdr:col>
      <xdr:colOff>581025</xdr:colOff>
      <xdr:row>163</xdr:row>
      <xdr:rowOff>76200</xdr:rowOff>
    </xdr:to>
    <xdr:graphicFrame macro="">
      <xdr:nvGraphicFramePr>
        <xdr:cNvPr id="3377" name="Chart 1">
          <a:extLst>
            <a:ext uri="{FF2B5EF4-FFF2-40B4-BE49-F238E27FC236}">
              <a16:creationId xmlns:a16="http://schemas.microsoft.com/office/drawing/2014/main" id="{00000000-0008-0000-0700-000031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170</xdr:row>
      <xdr:rowOff>28575</xdr:rowOff>
    </xdr:from>
    <xdr:to>
      <xdr:col>12</xdr:col>
      <xdr:colOff>581025</xdr:colOff>
      <xdr:row>197</xdr:row>
      <xdr:rowOff>104775</xdr:rowOff>
    </xdr:to>
    <xdr:graphicFrame macro="">
      <xdr:nvGraphicFramePr>
        <xdr:cNvPr id="3378" name="Chart 1">
          <a:extLst>
            <a:ext uri="{FF2B5EF4-FFF2-40B4-BE49-F238E27FC236}">
              <a16:creationId xmlns:a16="http://schemas.microsoft.com/office/drawing/2014/main" id="{00000000-0008-0000-0700-000032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204</xdr:row>
      <xdr:rowOff>66675</xdr:rowOff>
    </xdr:from>
    <xdr:to>
      <xdr:col>12</xdr:col>
      <xdr:colOff>581025</xdr:colOff>
      <xdr:row>231</xdr:row>
      <xdr:rowOff>161925</xdr:rowOff>
    </xdr:to>
    <xdr:graphicFrame macro="">
      <xdr:nvGraphicFramePr>
        <xdr:cNvPr id="3379" name="Chart 1">
          <a:extLst>
            <a:ext uri="{FF2B5EF4-FFF2-40B4-BE49-F238E27FC236}">
              <a16:creationId xmlns:a16="http://schemas.microsoft.com/office/drawing/2014/main" id="{00000000-0008-0000-0700-000033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19050</xdr:colOff>
      <xdr:row>238</xdr:row>
      <xdr:rowOff>38100</xdr:rowOff>
    </xdr:from>
    <xdr:to>
      <xdr:col>12</xdr:col>
      <xdr:colOff>590550</xdr:colOff>
      <xdr:row>265</xdr:row>
      <xdr:rowOff>95250</xdr:rowOff>
    </xdr:to>
    <xdr:graphicFrame macro="">
      <xdr:nvGraphicFramePr>
        <xdr:cNvPr id="3380" name="Chart 1">
          <a:extLst>
            <a:ext uri="{FF2B5EF4-FFF2-40B4-BE49-F238E27FC236}">
              <a16:creationId xmlns:a16="http://schemas.microsoft.com/office/drawing/2014/main" id="{00000000-0008-0000-0700-000034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272</xdr:row>
      <xdr:rowOff>38100</xdr:rowOff>
    </xdr:from>
    <xdr:to>
      <xdr:col>12</xdr:col>
      <xdr:colOff>581025</xdr:colOff>
      <xdr:row>299</xdr:row>
      <xdr:rowOff>95250</xdr:rowOff>
    </xdr:to>
    <xdr:graphicFrame macro="">
      <xdr:nvGraphicFramePr>
        <xdr:cNvPr id="3381" name="Chart 1">
          <a:extLst>
            <a:ext uri="{FF2B5EF4-FFF2-40B4-BE49-F238E27FC236}">
              <a16:creationId xmlns:a16="http://schemas.microsoft.com/office/drawing/2014/main" id="{00000000-0008-0000-0700-000035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38100</xdr:colOff>
      <xdr:row>306</xdr:row>
      <xdr:rowOff>28575</xdr:rowOff>
    </xdr:from>
    <xdr:to>
      <xdr:col>12</xdr:col>
      <xdr:colOff>590550</xdr:colOff>
      <xdr:row>332</xdr:row>
      <xdr:rowOff>133350</xdr:rowOff>
    </xdr:to>
    <xdr:graphicFrame macro="">
      <xdr:nvGraphicFramePr>
        <xdr:cNvPr id="3382" name="Chart 1">
          <a:extLst>
            <a:ext uri="{FF2B5EF4-FFF2-40B4-BE49-F238E27FC236}">
              <a16:creationId xmlns:a16="http://schemas.microsoft.com/office/drawing/2014/main" id="{00000000-0008-0000-0700-000036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19050</xdr:colOff>
      <xdr:row>340</xdr:row>
      <xdr:rowOff>38100</xdr:rowOff>
    </xdr:from>
    <xdr:to>
      <xdr:col>12</xdr:col>
      <xdr:colOff>590550</xdr:colOff>
      <xdr:row>367</xdr:row>
      <xdr:rowOff>95250</xdr:rowOff>
    </xdr:to>
    <xdr:graphicFrame macro="">
      <xdr:nvGraphicFramePr>
        <xdr:cNvPr id="3383" name="Chart 1">
          <a:extLst>
            <a:ext uri="{FF2B5EF4-FFF2-40B4-BE49-F238E27FC236}">
              <a16:creationId xmlns:a16="http://schemas.microsoft.com/office/drawing/2014/main" id="{00000000-0008-0000-0700-000037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374</xdr:row>
      <xdr:rowOff>38100</xdr:rowOff>
    </xdr:from>
    <xdr:to>
      <xdr:col>12</xdr:col>
      <xdr:colOff>581025</xdr:colOff>
      <xdr:row>401</xdr:row>
      <xdr:rowOff>104775</xdr:rowOff>
    </xdr:to>
    <xdr:graphicFrame macro="">
      <xdr:nvGraphicFramePr>
        <xdr:cNvPr id="3384" name="Chart 1">
          <a:extLst>
            <a:ext uri="{FF2B5EF4-FFF2-40B4-BE49-F238E27FC236}">
              <a16:creationId xmlns:a16="http://schemas.microsoft.com/office/drawing/2014/main" id="{00000000-0008-0000-0700-000038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
  <sheetViews>
    <sheetView workbookViewId="0">
      <selection activeCell="D8" sqref="D8:D12"/>
    </sheetView>
  </sheetViews>
  <sheetFormatPr baseColWidth="10" defaultColWidth="8.83203125" defaultRowHeight="13" x14ac:dyDescent="0.15"/>
  <cols>
    <col min="1" max="2" width="4" bestFit="1" customWidth="1"/>
    <col min="3" max="4" width="5.1640625" bestFit="1" customWidth="1"/>
    <col min="5" max="5" width="4" bestFit="1" customWidth="1"/>
    <col min="6" max="6" width="6.83203125" bestFit="1" customWidth="1"/>
  </cols>
  <sheetData>
    <row r="1" spans="1:6" x14ac:dyDescent="0.15">
      <c r="A1" t="s">
        <v>180</v>
      </c>
      <c r="B1" t="s">
        <v>179</v>
      </c>
      <c r="C1" t="s">
        <v>183</v>
      </c>
      <c r="D1" t="s">
        <v>181</v>
      </c>
      <c r="E1" t="s">
        <v>182</v>
      </c>
    </row>
    <row r="2" spans="1:6" x14ac:dyDescent="0.15">
      <c r="A2">
        <v>850</v>
      </c>
      <c r="B2">
        <v>840</v>
      </c>
      <c r="C2">
        <v>404</v>
      </c>
      <c r="D2">
        <v>869</v>
      </c>
      <c r="E2">
        <v>516</v>
      </c>
      <c r="F2" t="s">
        <v>186</v>
      </c>
    </row>
    <row r="3" spans="1:6" x14ac:dyDescent="0.15">
      <c r="A3" s="291">
        <f>AVERAGE(600, 586)</f>
        <v>593</v>
      </c>
      <c r="B3" s="291">
        <f>AVERAGE(537,551)</f>
        <v>544</v>
      </c>
      <c r="C3" s="291">
        <f>AVERAGE(311,301)</f>
        <v>306</v>
      </c>
      <c r="D3" s="291">
        <f>AVERAGE(617,597)</f>
        <v>607</v>
      </c>
      <c r="E3" s="291">
        <f>AVERAGE(268, 273)</f>
        <v>270.5</v>
      </c>
      <c r="F3" t="s">
        <v>185</v>
      </c>
    </row>
    <row r="4" spans="1:6" x14ac:dyDescent="0.15">
      <c r="A4" s="291">
        <f>A2-A3</f>
        <v>257</v>
      </c>
      <c r="B4" s="291">
        <f>B2-B3</f>
        <v>296</v>
      </c>
      <c r="C4" s="291">
        <f>C2-C3</f>
        <v>98</v>
      </c>
      <c r="D4" s="291">
        <f>D2-D3</f>
        <v>262</v>
      </c>
      <c r="E4" s="291">
        <f>E2-E3</f>
        <v>245.5</v>
      </c>
      <c r="F4" t="s">
        <v>187</v>
      </c>
    </row>
    <row r="5" spans="1:6" x14ac:dyDescent="0.15">
      <c r="A5" s="291">
        <f>A4-185</f>
        <v>72</v>
      </c>
      <c r="B5" s="291">
        <f>B4-185</f>
        <v>111</v>
      </c>
      <c r="C5" s="291">
        <f>C4-185</f>
        <v>-87</v>
      </c>
      <c r="D5" s="291">
        <f>D4-185</f>
        <v>77</v>
      </c>
      <c r="E5" s="291">
        <f>E4-185</f>
        <v>60.5</v>
      </c>
      <c r="F5" t="s">
        <v>188</v>
      </c>
    </row>
    <row r="8" spans="1:6" x14ac:dyDescent="0.15">
      <c r="A8" t="s">
        <v>184</v>
      </c>
      <c r="B8" t="s">
        <v>179</v>
      </c>
      <c r="C8" t="s">
        <v>183</v>
      </c>
      <c r="D8" t="s">
        <v>181</v>
      </c>
      <c r="E8" t="s">
        <v>182</v>
      </c>
    </row>
    <row r="9" spans="1:6" x14ac:dyDescent="0.15">
      <c r="A9">
        <v>361</v>
      </c>
      <c r="B9">
        <v>525</v>
      </c>
      <c r="C9">
        <v>263</v>
      </c>
      <c r="D9">
        <v>630</v>
      </c>
      <c r="E9">
        <v>258</v>
      </c>
      <c r="F9" t="s">
        <v>186</v>
      </c>
    </row>
    <row r="10" spans="1:6" x14ac:dyDescent="0.15">
      <c r="A10" s="291">
        <f>AVERAGE(293,298)</f>
        <v>295.5</v>
      </c>
      <c r="B10" s="291">
        <f>AVERAGE(424, 445)</f>
        <v>434.5</v>
      </c>
      <c r="C10" s="291">
        <f>AVERAGE(199,198)</f>
        <v>198.5</v>
      </c>
      <c r="D10" s="291">
        <f>AVERAGE(537, 528)</f>
        <v>532.5</v>
      </c>
      <c r="E10" s="291">
        <f>AVERAGE(196, 208)</f>
        <v>202</v>
      </c>
      <c r="F10" t="s">
        <v>185</v>
      </c>
    </row>
    <row r="11" spans="1:6" x14ac:dyDescent="0.15">
      <c r="A11" s="291">
        <f>A9-A10</f>
        <v>65.5</v>
      </c>
      <c r="B11" s="291">
        <f>B9-B10</f>
        <v>90.5</v>
      </c>
      <c r="C11" s="291">
        <f>C9-C10</f>
        <v>64.5</v>
      </c>
      <c r="D11" s="291">
        <f>D9-D10</f>
        <v>97.5</v>
      </c>
      <c r="E11" s="291">
        <f>E9-E10</f>
        <v>56</v>
      </c>
      <c r="F11" t="s">
        <v>187</v>
      </c>
    </row>
    <row r="12" spans="1:6" x14ac:dyDescent="0.15">
      <c r="A12" s="291">
        <f>A11-75</f>
        <v>-9.5</v>
      </c>
      <c r="B12" s="291">
        <f>B11-75</f>
        <v>15.5</v>
      </c>
      <c r="C12" s="291">
        <f>C11-75</f>
        <v>-10.5</v>
      </c>
      <c r="D12" s="291">
        <f>D11-75</f>
        <v>22.5</v>
      </c>
      <c r="E12" s="291">
        <f>E11-75</f>
        <v>-19</v>
      </c>
      <c r="F12" t="s">
        <v>188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sheetPr>
  <dimension ref="A1:M59"/>
  <sheetViews>
    <sheetView topLeftCell="A7" workbookViewId="0">
      <selection sqref="A1:I1"/>
    </sheetView>
  </sheetViews>
  <sheetFormatPr baseColWidth="10" defaultColWidth="9.33203125" defaultRowHeight="13" x14ac:dyDescent="0.15"/>
  <cols>
    <col min="1" max="16384" width="9.33203125" style="66"/>
  </cols>
  <sheetData>
    <row r="1" spans="1:13" s="53" customFormat="1" ht="12" hidden="1" x14ac:dyDescent="0.15">
      <c r="B1" s="439" t="s">
        <v>46</v>
      </c>
      <c r="C1" s="439"/>
      <c r="D1" s="439"/>
      <c r="E1" s="439"/>
      <c r="F1" s="439"/>
      <c r="G1" s="439"/>
    </row>
    <row r="2" spans="1:13" s="53" customFormat="1" ht="12" hidden="1" x14ac:dyDescent="0.15">
      <c r="A2" s="54" t="s">
        <v>40</v>
      </c>
      <c r="B2" s="55" t="str">
        <f>Conventional!L6</f>
        <v>Cotton</v>
      </c>
      <c r="C2" s="55" t="str">
        <f>Conventional!N6</f>
        <v>Peanuts</v>
      </c>
      <c r="D2" s="55" t="str">
        <f>Conventional!P6</f>
        <v>Corn</v>
      </c>
      <c r="E2" s="55" t="str">
        <f>Conventional!R6</f>
        <v>Soybeans</v>
      </c>
      <c r="F2" s="55" t="str">
        <f>Conventional!T6</f>
        <v>Sorghum</v>
      </c>
      <c r="G2" s="55" t="str">
        <f>Conventional!X6</f>
        <v>Wheat</v>
      </c>
    </row>
    <row r="3" spans="1:13" s="53" customFormat="1" ht="12" hidden="1" x14ac:dyDescent="0.15">
      <c r="A3" s="54" t="s">
        <v>41</v>
      </c>
      <c r="B3" s="56">
        <f>Conventional!L7</f>
        <v>750</v>
      </c>
      <c r="C3" s="56">
        <f>Conventional!N7</f>
        <v>3400</v>
      </c>
      <c r="D3" s="56">
        <f>Conventional!P7</f>
        <v>85</v>
      </c>
      <c r="E3" s="56">
        <f>Conventional!R7</f>
        <v>30</v>
      </c>
      <c r="F3" s="56">
        <f>Conventional!T7</f>
        <v>65</v>
      </c>
      <c r="G3" s="56">
        <f>Conventional!X7</f>
        <v>55</v>
      </c>
    </row>
    <row r="4" spans="1:13" s="53" customFormat="1" ht="12" hidden="1" x14ac:dyDescent="0.15">
      <c r="A4" s="53" t="s">
        <v>42</v>
      </c>
      <c r="B4" s="58">
        <f>Conventional!L8</f>
        <v>0.76</v>
      </c>
      <c r="C4" s="59">
        <f>Conventional!N8</f>
        <v>512.5</v>
      </c>
      <c r="D4" s="60">
        <f>Conventional!P8</f>
        <v>5.4</v>
      </c>
      <c r="E4" s="60">
        <f>Conventional!R8</f>
        <v>11.5</v>
      </c>
      <c r="F4" s="60">
        <f>Conventional!T8</f>
        <v>5.2</v>
      </c>
      <c r="G4" s="60">
        <f>Conventional!X8</f>
        <v>5.9</v>
      </c>
    </row>
    <row r="5" spans="1:13" s="53" customFormat="1" ht="12" hidden="1" x14ac:dyDescent="0.15">
      <c r="A5" s="61" t="s">
        <v>44</v>
      </c>
      <c r="B5" s="62">
        <f t="shared" ref="B5:G5" si="0">B3*B4</f>
        <v>570</v>
      </c>
      <c r="C5" s="62">
        <f>C3*C4/2000</f>
        <v>871.25</v>
      </c>
      <c r="D5" s="62">
        <f t="shared" si="0"/>
        <v>459.00000000000006</v>
      </c>
      <c r="E5" s="62">
        <f t="shared" si="0"/>
        <v>345</v>
      </c>
      <c r="F5" s="62">
        <f t="shared" si="0"/>
        <v>338</v>
      </c>
      <c r="G5" s="62">
        <f t="shared" si="0"/>
        <v>324.5</v>
      </c>
    </row>
    <row r="6" spans="1:13" s="53" customFormat="1" ht="12" hidden="1" x14ac:dyDescent="0.15">
      <c r="A6" s="61" t="s">
        <v>43</v>
      </c>
      <c r="B6" s="64">
        <f>Conventional!L30</f>
        <v>581.38427485795467</v>
      </c>
      <c r="C6" s="64">
        <f>Conventional!N30</f>
        <v>664.96862500000009</v>
      </c>
      <c r="D6" s="64">
        <f>Conventional!P30</f>
        <v>406.05922531249996</v>
      </c>
      <c r="E6" s="64">
        <f>Conventional!R30</f>
        <v>295.26628093749997</v>
      </c>
      <c r="F6" s="64">
        <f>Conventional!T30</f>
        <v>306.31979749999999</v>
      </c>
      <c r="G6" s="64">
        <f>Conventional!X30</f>
        <v>319.38347390624995</v>
      </c>
    </row>
    <row r="7" spans="1:13" s="53" customFormat="1" ht="16" x14ac:dyDescent="0.2">
      <c r="A7" s="442" t="s">
        <v>128</v>
      </c>
      <c r="B7" s="442"/>
      <c r="C7" s="442"/>
      <c r="D7" s="442"/>
      <c r="E7" s="442"/>
      <c r="F7" s="442"/>
      <c r="G7" s="442"/>
      <c r="H7" s="442"/>
      <c r="I7" s="442"/>
      <c r="J7" s="442"/>
      <c r="K7" s="442"/>
      <c r="L7" s="442"/>
      <c r="M7" s="442"/>
    </row>
    <row r="8" spans="1:13" s="53" customFormat="1" ht="16" x14ac:dyDescent="0.2">
      <c r="A8" s="51" t="s">
        <v>35</v>
      </c>
      <c r="B8" s="65"/>
      <c r="C8" s="65"/>
      <c r="D8" s="65"/>
      <c r="E8" s="65"/>
      <c r="F8" s="65"/>
      <c r="G8" s="65"/>
      <c r="H8" s="65"/>
      <c r="I8" s="65"/>
      <c r="J8" s="65"/>
      <c r="K8" s="65"/>
      <c r="L8" s="65"/>
      <c r="M8" s="65"/>
    </row>
    <row r="9" spans="1:13" x14ac:dyDescent="0.15">
      <c r="A9" s="441" t="s">
        <v>153</v>
      </c>
      <c r="B9" s="441"/>
      <c r="C9" s="441"/>
      <c r="D9" s="441"/>
      <c r="E9" s="441"/>
      <c r="F9" s="441"/>
      <c r="G9" s="441"/>
      <c r="H9" s="441"/>
      <c r="I9" s="441"/>
      <c r="J9" s="441"/>
      <c r="K9" s="441"/>
      <c r="L9" s="441"/>
      <c r="M9" s="441"/>
    </row>
    <row r="10" spans="1:13" x14ac:dyDescent="0.15">
      <c r="A10" s="435" t="s">
        <v>51</v>
      </c>
      <c r="B10" s="435"/>
      <c r="C10" s="435"/>
      <c r="D10" s="435"/>
      <c r="E10" s="435"/>
      <c r="F10" s="435"/>
      <c r="H10" s="435" t="s">
        <v>52</v>
      </c>
      <c r="I10" s="435"/>
      <c r="J10" s="435"/>
      <c r="K10" s="435"/>
      <c r="L10" s="435"/>
      <c r="M10" s="435"/>
    </row>
    <row r="11" spans="1:13" s="53" customFormat="1" ht="12" x14ac:dyDescent="0.15">
      <c r="A11" s="434" t="s">
        <v>36</v>
      </c>
      <c r="B11" s="434"/>
      <c r="C11" s="434"/>
      <c r="D11" s="434"/>
      <c r="E11" s="434"/>
      <c r="F11" s="434"/>
      <c r="H11" s="438" t="s">
        <v>36</v>
      </c>
      <c r="I11" s="438"/>
      <c r="J11" s="438"/>
      <c r="K11" s="438"/>
      <c r="L11" s="438"/>
      <c r="M11" s="438"/>
    </row>
    <row r="12" spans="1:13" x14ac:dyDescent="0.15">
      <c r="A12" s="67" t="s">
        <v>41</v>
      </c>
      <c r="B12" s="68">
        <v>-0.25</v>
      </c>
      <c r="C12" s="68">
        <v>-0.1</v>
      </c>
      <c r="D12" s="69" t="s">
        <v>37</v>
      </c>
      <c r="E12" s="70" t="s">
        <v>38</v>
      </c>
      <c r="F12" s="70" t="s">
        <v>39</v>
      </c>
      <c r="H12" s="67" t="s">
        <v>41</v>
      </c>
      <c r="I12" s="71">
        <v>-0.25</v>
      </c>
      <c r="J12" s="71">
        <v>-0.1</v>
      </c>
      <c r="K12" s="72" t="s">
        <v>37</v>
      </c>
      <c r="L12" s="73" t="s">
        <v>38</v>
      </c>
      <c r="M12" s="73" t="s">
        <v>39</v>
      </c>
    </row>
    <row r="13" spans="1:13" x14ac:dyDescent="0.15">
      <c r="A13" s="74" t="s">
        <v>42</v>
      </c>
      <c r="B13" s="69">
        <f>0.75*D13</f>
        <v>63.75</v>
      </c>
      <c r="C13" s="69">
        <f>0.9*D13</f>
        <v>76.5</v>
      </c>
      <c r="D13" s="69">
        <f>D3</f>
        <v>85</v>
      </c>
      <c r="E13" s="69">
        <f>D13*1.1</f>
        <v>93.500000000000014</v>
      </c>
      <c r="F13" s="69">
        <f>D13*1.25</f>
        <v>106.25</v>
      </c>
      <c r="H13" s="74" t="s">
        <v>42</v>
      </c>
      <c r="I13" s="72">
        <f>0.75*K13</f>
        <v>562.5</v>
      </c>
      <c r="J13" s="72">
        <f>0.9*K13</f>
        <v>675</v>
      </c>
      <c r="K13" s="72">
        <f>B3</f>
        <v>750</v>
      </c>
      <c r="L13" s="72">
        <f>K13*1.1</f>
        <v>825.00000000000011</v>
      </c>
      <c r="M13" s="72">
        <f>K13*1.25</f>
        <v>937.5</v>
      </c>
    </row>
    <row r="14" spans="1:13" x14ac:dyDescent="0.15">
      <c r="A14" s="75">
        <f>Irrigated!A14</f>
        <v>3.78</v>
      </c>
      <c r="B14" s="76">
        <f>$A$14*B$13-$D$6</f>
        <v>-165.08422531249997</v>
      </c>
      <c r="C14" s="76">
        <f>$A$14*C$13-$D$6</f>
        <v>-116.8892253125</v>
      </c>
      <c r="D14" s="76">
        <f>$A$14*D$13-$D$6</f>
        <v>-84.75922531249995</v>
      </c>
      <c r="E14" s="76">
        <f>$A$14*E$13-$D$6</f>
        <v>-52.629225312499898</v>
      </c>
      <c r="F14" s="76">
        <f>$A$14*F$13-$D$6</f>
        <v>-4.4342253124999615</v>
      </c>
      <c r="H14" s="75">
        <f>Irrigated!H14</f>
        <v>0.53199999999999992</v>
      </c>
      <c r="I14" s="76">
        <f>$H$14*I$13-$B$6</f>
        <v>-282.13427485795472</v>
      </c>
      <c r="J14" s="76">
        <f>$H$14*J$13-$B$6</f>
        <v>-222.2842748579547</v>
      </c>
      <c r="K14" s="76">
        <f>$H$14*K$13-$B$6</f>
        <v>-182.38427485795472</v>
      </c>
      <c r="L14" s="76">
        <f>$H$14*L$13-$B$6</f>
        <v>-142.48427485795469</v>
      </c>
      <c r="M14" s="76">
        <f>$H$14*M$13-$B$6</f>
        <v>-82.634274857954722</v>
      </c>
    </row>
    <row r="15" spans="1:13" x14ac:dyDescent="0.15">
      <c r="A15" s="77">
        <f>Irrigated!A15</f>
        <v>4.59</v>
      </c>
      <c r="B15" s="78">
        <f>$A$15*B$13-$D$6</f>
        <v>-113.44672531249995</v>
      </c>
      <c r="C15" s="78">
        <f>$A$15*C$13-$D$6</f>
        <v>-54.924225312499971</v>
      </c>
      <c r="D15" s="78">
        <f>$A$15*D$13-$D$6</f>
        <v>-15.909225312499984</v>
      </c>
      <c r="E15" s="78">
        <f>$A$15*E$13-$D$6</f>
        <v>23.105774687500116</v>
      </c>
      <c r="F15" s="78">
        <f>$A$15*F$13-$D$6</f>
        <v>81.628274687500038</v>
      </c>
      <c r="H15" s="77">
        <f>Irrigated!H15</f>
        <v>0.64600000000000002</v>
      </c>
      <c r="I15" s="78">
        <f>$H$15*I$13-$B$6</f>
        <v>-218.00927485795467</v>
      </c>
      <c r="J15" s="78">
        <f>$H$15*J$13-$B$6</f>
        <v>-145.33427485795465</v>
      </c>
      <c r="K15" s="78">
        <f>$H$15*K$13-$B$6</f>
        <v>-96.884274857954665</v>
      </c>
      <c r="L15" s="78">
        <f>$H$15*L$13-$B$6</f>
        <v>-48.43427485795462</v>
      </c>
      <c r="M15" s="78">
        <f>$H$15*M$13-$B$6</f>
        <v>24.240725142045335</v>
      </c>
    </row>
    <row r="16" spans="1:13" x14ac:dyDescent="0.15">
      <c r="A16" s="77">
        <f>Irrigated!A16</f>
        <v>5.4</v>
      </c>
      <c r="B16" s="78">
        <f>$A$16*B$13-$D$6</f>
        <v>-61.809225312499962</v>
      </c>
      <c r="C16" s="78">
        <f>$A$16*C$13-$D$6</f>
        <v>7.0407746875000612</v>
      </c>
      <c r="D16" s="78">
        <f>$A$16*D$13-$D$6</f>
        <v>52.940774687500095</v>
      </c>
      <c r="E16" s="78">
        <f>$A$16*E$13-$D$6</f>
        <v>98.840774687500129</v>
      </c>
      <c r="F16" s="78">
        <f>$A$16*F$13-$D$6</f>
        <v>167.69077468750004</v>
      </c>
      <c r="H16" s="77">
        <f>Irrigated!H16</f>
        <v>0.76</v>
      </c>
      <c r="I16" s="78">
        <f>$H$16*I$13-$B$6</f>
        <v>-153.88427485795467</v>
      </c>
      <c r="J16" s="78">
        <f>$H$16*J$13-$B$6</f>
        <v>-68.384274857954665</v>
      </c>
      <c r="K16" s="78">
        <f>$H$16*K$13-$B$6</f>
        <v>-11.384274857954665</v>
      </c>
      <c r="L16" s="78">
        <f>$H$16*L$13-$B$6</f>
        <v>45.615725142045449</v>
      </c>
      <c r="M16" s="78">
        <f>$H$16*M$13-$B$6</f>
        <v>131.11572514204533</v>
      </c>
    </row>
    <row r="17" spans="1:13" x14ac:dyDescent="0.15">
      <c r="A17" s="77">
        <f>Irrigated!A17</f>
        <v>6.21</v>
      </c>
      <c r="B17" s="78">
        <f>$A$17*B$13-$D$6</f>
        <v>-10.171725312499973</v>
      </c>
      <c r="C17" s="78">
        <f>$A$17*C$13-$D$6</f>
        <v>69.005774687500036</v>
      </c>
      <c r="D17" s="78">
        <f>$A$17*D$13-$D$6</f>
        <v>121.79077468750006</v>
      </c>
      <c r="E17" s="78">
        <f>$A$17*E$13-$D$6</f>
        <v>174.57577468750014</v>
      </c>
      <c r="F17" s="78">
        <f>$A$17*F$13-$D$6</f>
        <v>253.75327468750004</v>
      </c>
      <c r="H17" s="77">
        <f>Irrigated!H17</f>
        <v>0.87399999999999989</v>
      </c>
      <c r="I17" s="78">
        <f>$H$17*I$13-$B$6</f>
        <v>-89.759274857954722</v>
      </c>
      <c r="J17" s="78">
        <f>$H$17*J$13-$B$6</f>
        <v>8.5657251420452667</v>
      </c>
      <c r="K17" s="78">
        <f>$H$17*K$13-$B$6</f>
        <v>74.115725142045221</v>
      </c>
      <c r="L17" s="78">
        <f>$H$17*L$13-$B$6</f>
        <v>139.66572514204529</v>
      </c>
      <c r="M17" s="78">
        <f>$H$17*M$13-$B$6</f>
        <v>237.99072514204522</v>
      </c>
    </row>
    <row r="18" spans="1:13" x14ac:dyDescent="0.15">
      <c r="A18" s="79">
        <f>Irrigated!A18</f>
        <v>7.0200000000000005</v>
      </c>
      <c r="B18" s="80">
        <f>$A$18*B$13-$D$6</f>
        <v>41.465774687500073</v>
      </c>
      <c r="C18" s="80">
        <f>$A$18*C$13-$D$6</f>
        <v>130.97077468750012</v>
      </c>
      <c r="D18" s="80">
        <f>$A$18*D$13-$D$6</f>
        <v>190.64077468750008</v>
      </c>
      <c r="E18" s="80">
        <f>$A$18*E$13-$D$6</f>
        <v>250.31077468750016</v>
      </c>
      <c r="F18" s="80">
        <f>$A$18*F$13-$D$6</f>
        <v>339.81577468750004</v>
      </c>
      <c r="H18" s="79">
        <f>Irrigated!H18</f>
        <v>0.9880000000000001</v>
      </c>
      <c r="I18" s="80">
        <f>$H$18*I$13-$B$6</f>
        <v>-25.634274857954665</v>
      </c>
      <c r="J18" s="80">
        <f>$H$18*J$13-$B$6</f>
        <v>85.515725142045426</v>
      </c>
      <c r="K18" s="80">
        <f>$H$18*K$13-$B$6</f>
        <v>159.61572514204545</v>
      </c>
      <c r="L18" s="80">
        <f>$H$18*L$13-$B$6</f>
        <v>233.71572514204559</v>
      </c>
      <c r="M18" s="80">
        <f>$H$18*M$13-$B$6</f>
        <v>344.86572514204545</v>
      </c>
    </row>
    <row r="20" spans="1:13" x14ac:dyDescent="0.15">
      <c r="A20" s="435" t="s">
        <v>54</v>
      </c>
      <c r="B20" s="435"/>
      <c r="C20" s="435"/>
      <c r="D20" s="435"/>
      <c r="E20" s="435"/>
      <c r="F20" s="435"/>
      <c r="H20" s="436" t="s">
        <v>121</v>
      </c>
      <c r="I20" s="436"/>
      <c r="J20" s="436"/>
      <c r="K20" s="436"/>
      <c r="L20" s="436"/>
      <c r="M20" s="436"/>
    </row>
    <row r="21" spans="1:13" s="53" customFormat="1" ht="12" x14ac:dyDescent="0.15">
      <c r="A21" s="434" t="s">
        <v>36</v>
      </c>
      <c r="B21" s="434"/>
      <c r="C21" s="434"/>
      <c r="D21" s="434"/>
      <c r="E21" s="434"/>
      <c r="F21" s="434"/>
      <c r="H21" s="437" t="s">
        <v>36</v>
      </c>
      <c r="I21" s="437"/>
      <c r="J21" s="437"/>
      <c r="K21" s="437"/>
      <c r="L21" s="437"/>
      <c r="M21" s="437"/>
    </row>
    <row r="22" spans="1:13" x14ac:dyDescent="0.15">
      <c r="A22" s="67" t="s">
        <v>41</v>
      </c>
      <c r="B22" s="68">
        <v>-0.25</v>
      </c>
      <c r="C22" s="68">
        <v>-0.1</v>
      </c>
      <c r="D22" s="69" t="s">
        <v>37</v>
      </c>
      <c r="E22" s="70" t="s">
        <v>38</v>
      </c>
      <c r="F22" s="70" t="s">
        <v>39</v>
      </c>
      <c r="H22" s="67" t="s">
        <v>41</v>
      </c>
      <c r="I22" s="68">
        <v>-0.25</v>
      </c>
      <c r="J22" s="68">
        <v>-0.1</v>
      </c>
      <c r="K22" s="69" t="s">
        <v>37</v>
      </c>
      <c r="L22" s="70" t="s">
        <v>38</v>
      </c>
      <c r="M22" s="70" t="s">
        <v>39</v>
      </c>
    </row>
    <row r="23" spans="1:13" x14ac:dyDescent="0.15">
      <c r="A23" s="74" t="s">
        <v>42</v>
      </c>
      <c r="B23" s="69">
        <f>0.75*D23</f>
        <v>48.75</v>
      </c>
      <c r="C23" s="69">
        <f>0.9*D23</f>
        <v>58.5</v>
      </c>
      <c r="D23" s="69">
        <f>F3</f>
        <v>65</v>
      </c>
      <c r="E23" s="69">
        <f>D23*1.1</f>
        <v>71.5</v>
      </c>
      <c r="F23" s="69">
        <f>D23*1.25</f>
        <v>81.25</v>
      </c>
      <c r="H23" s="74" t="s">
        <v>42</v>
      </c>
      <c r="I23" s="69">
        <f>0.75*K23</f>
        <v>2550</v>
      </c>
      <c r="J23" s="69">
        <f>0.9*K23</f>
        <v>3060</v>
      </c>
      <c r="K23" s="69">
        <f>C3</f>
        <v>3400</v>
      </c>
      <c r="L23" s="69">
        <f>K23*1.1</f>
        <v>3740.0000000000005</v>
      </c>
      <c r="M23" s="69">
        <f>K23*1.25</f>
        <v>4250</v>
      </c>
    </row>
    <row r="24" spans="1:13" x14ac:dyDescent="0.15">
      <c r="A24" s="75">
        <f>Irrigated!A24</f>
        <v>3.6399999999999997</v>
      </c>
      <c r="B24" s="76">
        <f>$A$24*B$23-$F$6</f>
        <v>-128.8697975</v>
      </c>
      <c r="C24" s="76">
        <f>$A$24*C$23-$F$6</f>
        <v>-93.379797500000024</v>
      </c>
      <c r="D24" s="76">
        <f>$A$24*D$23-$F$6</f>
        <v>-69.719797500000027</v>
      </c>
      <c r="E24" s="76">
        <f>$A$24*E$23-$F$6</f>
        <v>-46.059797500000002</v>
      </c>
      <c r="F24" s="76">
        <f>$A$24*F$23-$F$6</f>
        <v>-10.569797499999993</v>
      </c>
      <c r="H24" s="81">
        <f>Irrigated!H24</f>
        <v>358.75</v>
      </c>
      <c r="I24" s="76">
        <f>$H$24*I$23/2000-$C$6</f>
        <v>-207.56237500000009</v>
      </c>
      <c r="J24" s="76">
        <f>$H$24*J$23/2000-$C$6</f>
        <v>-116.08112500000004</v>
      </c>
      <c r="K24" s="76">
        <f>$H$24*K$23/2000-$C$6</f>
        <v>-55.093625000000088</v>
      </c>
      <c r="L24" s="76">
        <f>$H$24*L$23/2000-$C$6</f>
        <v>5.89387499999998</v>
      </c>
      <c r="M24" s="76">
        <f>$H$24*M$23/2000-$C$6</f>
        <v>97.375124999999912</v>
      </c>
    </row>
    <row r="25" spans="1:13" x14ac:dyDescent="0.15">
      <c r="A25" s="77">
        <f>Irrigated!A25</f>
        <v>4.42</v>
      </c>
      <c r="B25" s="78">
        <f>$A$25*B$23-$F$6</f>
        <v>-90.844797499999999</v>
      </c>
      <c r="C25" s="78">
        <f>$A$25*C$23-$F$6</f>
        <v>-47.7497975</v>
      </c>
      <c r="D25" s="78">
        <f>$A$25*D$23-$F$6</f>
        <v>-19.019797499999981</v>
      </c>
      <c r="E25" s="78">
        <f>$A$25*E$23-$F$6</f>
        <v>9.7102024999999799</v>
      </c>
      <c r="F25" s="78">
        <f>$A$25*F$23-$F$6</f>
        <v>52.805202500000007</v>
      </c>
      <c r="H25" s="82">
        <f>Irrigated!H25</f>
        <v>435.625</v>
      </c>
      <c r="I25" s="78">
        <f>$H$25*I$23/2000-$C$6</f>
        <v>-109.54675000000009</v>
      </c>
      <c r="J25" s="78">
        <f>$H$25*J$23/2000-$C$6</f>
        <v>1.5376249999999345</v>
      </c>
      <c r="K25" s="78">
        <f>$H$25*K$23/2000-$C$6</f>
        <v>75.593874999999912</v>
      </c>
      <c r="L25" s="78">
        <f>$H$25*L$23/2000-$C$6</f>
        <v>149.650125</v>
      </c>
      <c r="M25" s="78">
        <f>$H$25*M$23/2000-$C$6</f>
        <v>260.73449999999991</v>
      </c>
    </row>
    <row r="26" spans="1:13" x14ac:dyDescent="0.15">
      <c r="A26" s="77">
        <f>Irrigated!A26</f>
        <v>5.2</v>
      </c>
      <c r="B26" s="78">
        <f>$A$26*B$23-$F$6</f>
        <v>-52.819797499999993</v>
      </c>
      <c r="C26" s="78">
        <f>$A$26*C$23-$F$6</f>
        <v>-2.1197975000000042</v>
      </c>
      <c r="D26" s="78">
        <f>$A$26*D$23-$F$6</f>
        <v>31.680202500000007</v>
      </c>
      <c r="E26" s="78">
        <f>$A$26*E$23-$F$6</f>
        <v>65.480202500000019</v>
      </c>
      <c r="F26" s="78">
        <f>$A$26*F$23-$F$6</f>
        <v>116.18020250000001</v>
      </c>
      <c r="H26" s="82">
        <f>Irrigated!H26</f>
        <v>512.5</v>
      </c>
      <c r="I26" s="78">
        <f>$H$26*I$23/2000-$C$6</f>
        <v>-11.531125000000088</v>
      </c>
      <c r="J26" s="78">
        <f>$H$26*J$23/2000-$C$6</f>
        <v>119.15637499999991</v>
      </c>
      <c r="K26" s="78">
        <f>$H$26*K$23/2000-$C$6</f>
        <v>206.28137499999991</v>
      </c>
      <c r="L26" s="78">
        <f>$H$26*L$23/2000-$C$6</f>
        <v>293.40637500000003</v>
      </c>
      <c r="M26" s="78">
        <f>$H$26*M$23/2000-$C$6</f>
        <v>424.09387499999991</v>
      </c>
    </row>
    <row r="27" spans="1:13" x14ac:dyDescent="0.15">
      <c r="A27" s="77">
        <f>Irrigated!A27</f>
        <v>5.9799999999999995</v>
      </c>
      <c r="B27" s="78">
        <f>$A$27*B$23-$F$6</f>
        <v>-14.794797500000016</v>
      </c>
      <c r="C27" s="78">
        <f>$A$27*C$23-$F$6</f>
        <v>43.510202499999991</v>
      </c>
      <c r="D27" s="78">
        <f>$A$27*D$23-$F$6</f>
        <v>82.380202499999996</v>
      </c>
      <c r="E27" s="78">
        <f>$A$27*E$23-$F$6</f>
        <v>121.2502025</v>
      </c>
      <c r="F27" s="78">
        <f>$A$27*F$23-$F$6</f>
        <v>179.55520249999995</v>
      </c>
      <c r="H27" s="82">
        <f>Irrigated!H27</f>
        <v>589.375</v>
      </c>
      <c r="I27" s="78">
        <f>$H$27*I$23/2000-$C$6</f>
        <v>86.484499999999912</v>
      </c>
      <c r="J27" s="78">
        <f>$H$27*J$23/2000-$C$6</f>
        <v>236.77512499999989</v>
      </c>
      <c r="K27" s="78">
        <f>$H$27*K$23/2000-$C$6</f>
        <v>336.96887499999991</v>
      </c>
      <c r="L27" s="78">
        <f>$H$27*L$23/2000-$C$6</f>
        <v>437.16262500000005</v>
      </c>
      <c r="M27" s="78">
        <f>$H$27*M$23/2000-$C$6</f>
        <v>587.45324999999991</v>
      </c>
    </row>
    <row r="28" spans="1:13" x14ac:dyDescent="0.15">
      <c r="A28" s="79">
        <f>Irrigated!A28</f>
        <v>6.7600000000000007</v>
      </c>
      <c r="B28" s="80">
        <f>$A$28*B$23-$F$6</f>
        <v>23.230202500000019</v>
      </c>
      <c r="C28" s="80">
        <f>$A$28*C$23-$F$6</f>
        <v>89.140202500000044</v>
      </c>
      <c r="D28" s="80">
        <f>$A$28*D$23-$F$6</f>
        <v>133.08020250000004</v>
      </c>
      <c r="E28" s="80">
        <f>$A$28*E$23-$F$6</f>
        <v>177.02020250000004</v>
      </c>
      <c r="F28" s="80">
        <f>$A$28*F$23-$F$6</f>
        <v>242.93020250000001</v>
      </c>
      <c r="H28" s="83">
        <f>Irrigated!H28</f>
        <v>666.25</v>
      </c>
      <c r="I28" s="80">
        <f>$H$28*I$23/2000-$C$6</f>
        <v>184.50012499999991</v>
      </c>
      <c r="J28" s="80">
        <f>$H$28*J$23/2000-$C$6</f>
        <v>354.39387499999987</v>
      </c>
      <c r="K28" s="80">
        <f>$H$28*K$23/2000-$C$6</f>
        <v>467.65637499999991</v>
      </c>
      <c r="L28" s="80">
        <f>$H$28*L$23/2000-$C$6</f>
        <v>580.91887500000018</v>
      </c>
      <c r="M28" s="80">
        <f>$H$28*M$23/2000-$C$6</f>
        <v>750.81262499999991</v>
      </c>
    </row>
    <row r="30" spans="1:13" x14ac:dyDescent="0.15">
      <c r="A30" s="435" t="s">
        <v>53</v>
      </c>
      <c r="B30" s="435"/>
      <c r="C30" s="435"/>
      <c r="D30" s="435"/>
      <c r="E30" s="435"/>
      <c r="F30" s="435"/>
      <c r="H30" s="435" t="s">
        <v>63</v>
      </c>
      <c r="I30" s="435"/>
      <c r="J30" s="435"/>
      <c r="K30" s="435"/>
      <c r="L30" s="435"/>
      <c r="M30" s="435"/>
    </row>
    <row r="31" spans="1:13" s="53" customFormat="1" ht="12" x14ac:dyDescent="0.15">
      <c r="A31" s="434" t="s">
        <v>36</v>
      </c>
      <c r="B31" s="434"/>
      <c r="C31" s="434"/>
      <c r="D31" s="434"/>
      <c r="E31" s="434"/>
      <c r="F31" s="434"/>
      <c r="H31" s="434" t="s">
        <v>36</v>
      </c>
      <c r="I31" s="434"/>
      <c r="J31" s="434"/>
      <c r="K31" s="434"/>
      <c r="L31" s="434"/>
      <c r="M31" s="434"/>
    </row>
    <row r="32" spans="1:13" x14ac:dyDescent="0.15">
      <c r="A32" s="67" t="s">
        <v>41</v>
      </c>
      <c r="B32" s="68">
        <v>-0.25</v>
      </c>
      <c r="C32" s="68">
        <v>-0.1</v>
      </c>
      <c r="D32" s="69" t="s">
        <v>37</v>
      </c>
      <c r="E32" s="70" t="s">
        <v>38</v>
      </c>
      <c r="F32" s="70" t="s">
        <v>39</v>
      </c>
      <c r="H32" s="67" t="s">
        <v>41</v>
      </c>
      <c r="I32" s="68">
        <v>-0.25</v>
      </c>
      <c r="J32" s="68">
        <v>-0.1</v>
      </c>
      <c r="K32" s="69" t="s">
        <v>37</v>
      </c>
      <c r="L32" s="70" t="s">
        <v>38</v>
      </c>
      <c r="M32" s="70" t="s">
        <v>39</v>
      </c>
    </row>
    <row r="33" spans="1:13" x14ac:dyDescent="0.15">
      <c r="A33" s="74" t="s">
        <v>42</v>
      </c>
      <c r="B33" s="69">
        <f>0.75*D33</f>
        <v>22.5</v>
      </c>
      <c r="C33" s="69">
        <f>0.9*D33</f>
        <v>27</v>
      </c>
      <c r="D33" s="69">
        <f>E3</f>
        <v>30</v>
      </c>
      <c r="E33" s="69">
        <f>D33*1.1</f>
        <v>33</v>
      </c>
      <c r="F33" s="69">
        <f>D33*1.25</f>
        <v>37.5</v>
      </c>
      <c r="H33" s="74" t="s">
        <v>42</v>
      </c>
      <c r="I33" s="69">
        <f>0.75*K33</f>
        <v>41.25</v>
      </c>
      <c r="J33" s="69">
        <f>0.9*K33</f>
        <v>49.5</v>
      </c>
      <c r="K33" s="69">
        <f>G3</f>
        <v>55</v>
      </c>
      <c r="L33" s="69">
        <f>K33*1.1</f>
        <v>60.500000000000007</v>
      </c>
      <c r="M33" s="69">
        <f>K33*1.25</f>
        <v>68.75</v>
      </c>
    </row>
    <row r="34" spans="1:13" x14ac:dyDescent="0.15">
      <c r="A34" s="75">
        <f>Irrigated!A34</f>
        <v>8.0499999999999989</v>
      </c>
      <c r="B34" s="76">
        <f>$A$34*B$33-$E$6</f>
        <v>-114.1412809375</v>
      </c>
      <c r="C34" s="76">
        <f>$A$34*C$33-$E$6</f>
        <v>-77.916280937500005</v>
      </c>
      <c r="D34" s="76">
        <f>$A$34*D$33-$E$6</f>
        <v>-53.766280937499999</v>
      </c>
      <c r="E34" s="76">
        <f>$A$34*E$33-$E$6</f>
        <v>-29.616280937499994</v>
      </c>
      <c r="F34" s="76">
        <f>$A$34*F$33-$E$6</f>
        <v>6.6087190624999721</v>
      </c>
      <c r="H34" s="75">
        <f>Irrigated!H34</f>
        <v>4.13</v>
      </c>
      <c r="I34" s="76">
        <f>$H$34*I$33-$G$6</f>
        <v>-149.02097390624996</v>
      </c>
      <c r="J34" s="76">
        <f>$H$34*J$33-$G$6</f>
        <v>-114.94847390624994</v>
      </c>
      <c r="K34" s="76">
        <f>$H$34*K$33-$G$6</f>
        <v>-92.233473906249941</v>
      </c>
      <c r="L34" s="76">
        <f>$H$34*L$33-$G$6</f>
        <v>-69.518473906249937</v>
      </c>
      <c r="M34" s="76">
        <f>$H$34*M$33-$G$6</f>
        <v>-35.445973906249947</v>
      </c>
    </row>
    <row r="35" spans="1:13" x14ac:dyDescent="0.15">
      <c r="A35" s="77">
        <f>Irrigated!A35</f>
        <v>9.7750000000000004</v>
      </c>
      <c r="B35" s="78">
        <f>$A$35*B$33-$E$6</f>
        <v>-75.328780937499971</v>
      </c>
      <c r="C35" s="78">
        <f>$A$35*C$33-$E$6</f>
        <v>-31.34128093749996</v>
      </c>
      <c r="D35" s="78">
        <f>$A$35*D$33-$E$6</f>
        <v>-2.0162809374999711</v>
      </c>
      <c r="E35" s="78">
        <f>$A$35*E$33-$E$6</f>
        <v>27.308719062500018</v>
      </c>
      <c r="F35" s="78">
        <f>$A$35*F$33-$E$6</f>
        <v>71.296219062500029</v>
      </c>
      <c r="H35" s="77">
        <f>Irrigated!H35</f>
        <v>5.0150000000000006</v>
      </c>
      <c r="I35" s="78">
        <f>$H$35*I$33-$G$6</f>
        <v>-112.51472390624991</v>
      </c>
      <c r="J35" s="78">
        <f>$H$35*J$33-$G$6</f>
        <v>-71.140973906249911</v>
      </c>
      <c r="K35" s="78">
        <f>$H$35*K$33-$G$6</f>
        <v>-43.558473906249901</v>
      </c>
      <c r="L35" s="78">
        <f>$H$35*L$33-$G$6</f>
        <v>-15.975973906249862</v>
      </c>
      <c r="M35" s="78">
        <f>$H$35*M$33-$G$6</f>
        <v>25.39777609375011</v>
      </c>
    </row>
    <row r="36" spans="1:13" x14ac:dyDescent="0.15">
      <c r="A36" s="77">
        <f>Irrigated!A36</f>
        <v>11.5</v>
      </c>
      <c r="B36" s="78">
        <f>$A$36*B$33-$E$6</f>
        <v>-36.516280937499971</v>
      </c>
      <c r="C36" s="78">
        <f>$A$36*C$33-$E$6</f>
        <v>15.233719062500029</v>
      </c>
      <c r="D36" s="78">
        <f>$A$36*D$33-$E$6</f>
        <v>49.733719062500029</v>
      </c>
      <c r="E36" s="78">
        <f>$A$36*E$33-$E$6</f>
        <v>84.233719062500029</v>
      </c>
      <c r="F36" s="78">
        <f>$A$36*F$33-$E$6</f>
        <v>135.98371906250003</v>
      </c>
      <c r="H36" s="77">
        <f>Irrigated!H36</f>
        <v>5.9</v>
      </c>
      <c r="I36" s="78">
        <f>$H$36*I$33-$G$6</f>
        <v>-76.008473906249918</v>
      </c>
      <c r="J36" s="78">
        <f>$H$36*J$33-$G$6</f>
        <v>-27.333473906249935</v>
      </c>
      <c r="K36" s="78">
        <f>$H$36*K$33-$G$6</f>
        <v>5.1165260937500534</v>
      </c>
      <c r="L36" s="78">
        <f>$H$36*L$33-$G$6</f>
        <v>37.566526093750099</v>
      </c>
      <c r="M36" s="78">
        <f>$H$36*M$33-$G$6</f>
        <v>86.241526093750053</v>
      </c>
    </row>
    <row r="37" spans="1:13" x14ac:dyDescent="0.15">
      <c r="A37" s="77">
        <f>Irrigated!A37</f>
        <v>13.225</v>
      </c>
      <c r="B37" s="78">
        <f>$A$37*B$33-$E$6</f>
        <v>2.2962190625000289</v>
      </c>
      <c r="C37" s="78">
        <f>$A$37*C$33-$E$6</f>
        <v>61.808719062500018</v>
      </c>
      <c r="D37" s="78">
        <f>$A$37*D$33-$E$6</f>
        <v>101.48371906250003</v>
      </c>
      <c r="E37" s="78">
        <f>$A$37*E$33-$E$6</f>
        <v>141.15871906250004</v>
      </c>
      <c r="F37" s="78">
        <f>$A$37*F$33-$E$6</f>
        <v>200.67121906250003</v>
      </c>
      <c r="H37" s="77">
        <f>Irrigated!H37</f>
        <v>6.7850000000000001</v>
      </c>
      <c r="I37" s="78">
        <f>$H$37*I$33-$G$6</f>
        <v>-39.502223906249924</v>
      </c>
      <c r="J37" s="78">
        <f>$H$37*J$33-$G$6</f>
        <v>16.474026093750069</v>
      </c>
      <c r="K37" s="78">
        <f>$H$37*K$33-$G$6</f>
        <v>53.791526093750065</v>
      </c>
      <c r="L37" s="78">
        <f>$H$37*L$33-$G$6</f>
        <v>91.109026093750117</v>
      </c>
      <c r="M37" s="78">
        <f>$H$37*M$33-$G$6</f>
        <v>147.08527609375005</v>
      </c>
    </row>
    <row r="38" spans="1:13" x14ac:dyDescent="0.15">
      <c r="A38" s="79">
        <f>Irrigated!A38</f>
        <v>14.950000000000001</v>
      </c>
      <c r="B38" s="80">
        <f>$A$38*B$33-$E$6</f>
        <v>41.108719062500029</v>
      </c>
      <c r="C38" s="80">
        <f>$A$38*C$33-$E$6</f>
        <v>108.38371906250006</v>
      </c>
      <c r="D38" s="80">
        <f>$A$38*D$33-$E$6</f>
        <v>153.23371906250009</v>
      </c>
      <c r="E38" s="80">
        <f>$A$38*E$33-$E$6</f>
        <v>198.08371906250005</v>
      </c>
      <c r="F38" s="80">
        <f>$A$38*F$33-$E$6</f>
        <v>265.35871906250003</v>
      </c>
      <c r="H38" s="79">
        <f>Irrigated!H38</f>
        <v>7.6700000000000008</v>
      </c>
      <c r="I38" s="80">
        <f>$H$38*I$33-$G$6</f>
        <v>-2.9959739062499011</v>
      </c>
      <c r="J38" s="80">
        <f>$H$38*J$33-$G$6</f>
        <v>60.281526093750074</v>
      </c>
      <c r="K38" s="80">
        <f>$H$38*K$33-$G$6</f>
        <v>102.46652609375008</v>
      </c>
      <c r="L38" s="80">
        <f>$H$38*L$33-$G$6</f>
        <v>144.65152609375014</v>
      </c>
      <c r="M38" s="80">
        <f>$H$38*M$33-$G$6</f>
        <v>207.92902609375005</v>
      </c>
    </row>
    <row r="39" spans="1:13" s="53" customFormat="1" ht="12" x14ac:dyDescent="0.15"/>
    <row r="49" s="53" customFormat="1" ht="12" x14ac:dyDescent="0.15"/>
    <row r="59" s="53" customFormat="1" ht="12" x14ac:dyDescent="0.15"/>
  </sheetData>
  <sheetProtection sheet="1" objects="1" scenarios="1"/>
  <mergeCells count="15">
    <mergeCell ref="A10:F10"/>
    <mergeCell ref="A11:F11"/>
    <mergeCell ref="B1:G1"/>
    <mergeCell ref="A7:M7"/>
    <mergeCell ref="H10:M10"/>
    <mergeCell ref="H11:M11"/>
    <mergeCell ref="A9:M9"/>
    <mergeCell ref="H31:M31"/>
    <mergeCell ref="A30:F30"/>
    <mergeCell ref="A31:F31"/>
    <mergeCell ref="A20:F20"/>
    <mergeCell ref="A21:F21"/>
    <mergeCell ref="H20:M20"/>
    <mergeCell ref="H21:M21"/>
    <mergeCell ref="H30:M30"/>
  </mergeCells>
  <phoneticPr fontId="2" type="noConversion"/>
  <conditionalFormatting sqref="B14:F18 I14:M18 B24:F28 I24:M28 B34:F38 I34:M38">
    <cfRule type="cellIs" dxfId="2" priority="1" stopIfTrue="1" operator="greaterThanOrEqual">
      <formula>0</formula>
    </cfRule>
  </conditionalFormatting>
  <printOptions horizontalCentered="1" verticalCentered="1"/>
  <pageMargins left="0.5" right="0.5" top="0.5" bottom="0.5" header="0.5" footer="0.5"/>
  <pageSetup orientation="landscape" horizontalDpi="300" verticalDpi="300"/>
  <headerFooter alignWithMargins="0">
    <oddFooter>&amp;L&amp;G</oddFooter>
  </headerFooter>
  <ignoredErrors>
    <ignoredError sqref="A29:F29 A19:F19 A57:F57 A47:F47" numberStoredAsText="1"/>
  </ignoredErrors>
  <legacyDrawingHF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sheetPr>
  <dimension ref="A1:M59"/>
  <sheetViews>
    <sheetView topLeftCell="A7" workbookViewId="0">
      <selection sqref="A1:I1"/>
    </sheetView>
  </sheetViews>
  <sheetFormatPr baseColWidth="10" defaultColWidth="9.6640625" defaultRowHeight="13" x14ac:dyDescent="0.15"/>
  <cols>
    <col min="1" max="13" width="9.33203125" style="66" customWidth="1"/>
    <col min="14" max="14" width="6.5" style="66" bestFit="1" customWidth="1"/>
    <col min="15" max="16384" width="9.6640625" style="66"/>
  </cols>
  <sheetData>
    <row r="1" spans="1:13" s="53" customFormat="1" ht="12" hidden="1" x14ac:dyDescent="0.15">
      <c r="A1" s="52"/>
      <c r="B1" s="443" t="s">
        <v>45</v>
      </c>
      <c r="C1" s="443"/>
      <c r="D1" s="443"/>
      <c r="E1" s="443"/>
      <c r="F1" s="443"/>
      <c r="G1" s="52"/>
    </row>
    <row r="2" spans="1:13" s="53" customFormat="1" ht="12" hidden="1" x14ac:dyDescent="0.15">
      <c r="A2" s="54" t="s">
        <v>40</v>
      </c>
      <c r="B2" s="55" t="str">
        <f>Conventional!B6</f>
        <v>Cotton</v>
      </c>
      <c r="C2" s="55" t="str">
        <f>Conventional!D6</f>
        <v>Peanuts</v>
      </c>
      <c r="D2" s="55" t="str">
        <f>Conventional!F6</f>
        <v>Corn</v>
      </c>
      <c r="E2" s="55" t="str">
        <f>Conventional!H6</f>
        <v>Soybeans</v>
      </c>
      <c r="F2" s="55" t="str">
        <f>Conventional!J6</f>
        <v>Sorghum</v>
      </c>
    </row>
    <row r="3" spans="1:13" s="53" customFormat="1" ht="12" hidden="1" x14ac:dyDescent="0.15">
      <c r="A3" s="54" t="s">
        <v>41</v>
      </c>
      <c r="B3" s="56">
        <f>'Strip-Till'!B7</f>
        <v>1200</v>
      </c>
      <c r="C3" s="56">
        <f>'Strip-Till'!D7</f>
        <v>4700</v>
      </c>
      <c r="D3" s="56">
        <f>'Strip-Till'!F7</f>
        <v>200</v>
      </c>
      <c r="E3" s="56">
        <f>'Strip-Till'!H7</f>
        <v>60</v>
      </c>
      <c r="F3" s="56">
        <f>'Strip-Till'!J7</f>
        <v>100</v>
      </c>
    </row>
    <row r="4" spans="1:13" s="53" customFormat="1" ht="12" hidden="1" x14ac:dyDescent="0.15">
      <c r="A4" s="53" t="s">
        <v>42</v>
      </c>
      <c r="B4" s="58">
        <f>'Strip-Till'!B8</f>
        <v>0.76</v>
      </c>
      <c r="C4" s="59">
        <f>'Strip-Till'!D8</f>
        <v>512.5</v>
      </c>
      <c r="D4" s="60">
        <f>'Strip-Till'!F8</f>
        <v>5.4</v>
      </c>
      <c r="E4" s="60">
        <f>'Strip-Till'!H8</f>
        <v>11.5</v>
      </c>
      <c r="F4" s="60">
        <f>'Strip-Till'!J8</f>
        <v>5.2</v>
      </c>
      <c r="G4" s="60"/>
    </row>
    <row r="5" spans="1:13" s="53" customFormat="1" ht="12" hidden="1" x14ac:dyDescent="0.15">
      <c r="A5" s="61" t="s">
        <v>44</v>
      </c>
      <c r="B5" s="62">
        <f>B3*B4</f>
        <v>912</v>
      </c>
      <c r="C5" s="62">
        <f>C3*C4/2000</f>
        <v>1204.375</v>
      </c>
      <c r="D5" s="62">
        <f>D3*D4</f>
        <v>1080</v>
      </c>
      <c r="E5" s="62">
        <f>E3*E4</f>
        <v>690</v>
      </c>
      <c r="F5" s="62">
        <f>F3*F4</f>
        <v>520</v>
      </c>
      <c r="G5" s="63"/>
    </row>
    <row r="6" spans="1:13" s="53" customFormat="1" ht="12" hidden="1" x14ac:dyDescent="0.15">
      <c r="A6" s="61" t="s">
        <v>43</v>
      </c>
      <c r="B6" s="64">
        <f>'Strip-Till'!B31</f>
        <v>731.75099602272735</v>
      </c>
      <c r="C6" s="64">
        <f>'Strip-Till'!D31</f>
        <v>774.61099999999999</v>
      </c>
      <c r="D6" s="64">
        <f>'Strip-Till'!F31</f>
        <v>775.05099999999993</v>
      </c>
      <c r="E6" s="64">
        <f>'Strip-Till'!H31</f>
        <v>337.39354437500003</v>
      </c>
      <c r="F6" s="64">
        <f>'Strip-Till'!J31</f>
        <v>428.3465625</v>
      </c>
      <c r="G6" s="59"/>
    </row>
    <row r="7" spans="1:13" s="53" customFormat="1" ht="16" x14ac:dyDescent="0.2">
      <c r="A7" s="442" t="s">
        <v>129</v>
      </c>
      <c r="B7" s="442"/>
      <c r="C7" s="442"/>
      <c r="D7" s="442"/>
      <c r="E7" s="442"/>
      <c r="F7" s="442"/>
      <c r="G7" s="442"/>
      <c r="H7" s="442"/>
      <c r="I7" s="442"/>
      <c r="J7" s="442"/>
      <c r="K7" s="442"/>
      <c r="L7" s="442"/>
      <c r="M7" s="442"/>
    </row>
    <row r="8" spans="1:13" s="53" customFormat="1" ht="16" x14ac:dyDescent="0.2">
      <c r="A8" s="51" t="s">
        <v>35</v>
      </c>
      <c r="B8" s="65"/>
      <c r="C8" s="65"/>
      <c r="D8" s="65"/>
      <c r="E8" s="65"/>
      <c r="F8" s="65"/>
      <c r="G8" s="65"/>
      <c r="H8" s="65"/>
      <c r="I8" s="65"/>
      <c r="J8" s="65"/>
      <c r="K8" s="65"/>
      <c r="L8" s="65"/>
      <c r="M8" s="65"/>
    </row>
    <row r="9" spans="1:13" x14ac:dyDescent="0.15">
      <c r="A9" s="441" t="s">
        <v>153</v>
      </c>
      <c r="B9" s="441"/>
      <c r="C9" s="441"/>
      <c r="D9" s="441"/>
      <c r="E9" s="441"/>
      <c r="F9" s="441"/>
      <c r="G9" s="441"/>
      <c r="H9" s="441"/>
      <c r="I9" s="441"/>
      <c r="J9" s="441"/>
      <c r="K9" s="441"/>
      <c r="L9" s="441"/>
      <c r="M9" s="441"/>
    </row>
    <row r="10" spans="1:13" x14ac:dyDescent="0.15">
      <c r="A10" s="435" t="s">
        <v>55</v>
      </c>
      <c r="B10" s="435"/>
      <c r="C10" s="435"/>
      <c r="D10" s="435"/>
      <c r="E10" s="435"/>
      <c r="F10" s="435"/>
      <c r="H10" s="435" t="s">
        <v>56</v>
      </c>
      <c r="I10" s="435"/>
      <c r="J10" s="435"/>
      <c r="K10" s="435"/>
      <c r="L10" s="435"/>
      <c r="M10" s="435"/>
    </row>
    <row r="11" spans="1:13" s="53" customFormat="1" ht="12" x14ac:dyDescent="0.15">
      <c r="A11" s="434" t="s">
        <v>36</v>
      </c>
      <c r="B11" s="434"/>
      <c r="C11" s="434"/>
      <c r="D11" s="434"/>
      <c r="E11" s="434"/>
      <c r="F11" s="434"/>
      <c r="H11" s="438" t="s">
        <v>36</v>
      </c>
      <c r="I11" s="438"/>
      <c r="J11" s="438"/>
      <c r="K11" s="438"/>
      <c r="L11" s="438"/>
      <c r="M11" s="438"/>
    </row>
    <row r="12" spans="1:13" x14ac:dyDescent="0.15">
      <c r="A12" s="67" t="s">
        <v>41</v>
      </c>
      <c r="B12" s="68">
        <v>-0.25</v>
      </c>
      <c r="C12" s="68">
        <v>-0.1</v>
      </c>
      <c r="D12" s="69" t="s">
        <v>37</v>
      </c>
      <c r="E12" s="70" t="s">
        <v>38</v>
      </c>
      <c r="F12" s="70" t="s">
        <v>39</v>
      </c>
      <c r="H12" s="67" t="s">
        <v>41</v>
      </c>
      <c r="I12" s="71">
        <v>-0.25</v>
      </c>
      <c r="J12" s="71">
        <v>-0.1</v>
      </c>
      <c r="K12" s="72" t="s">
        <v>37</v>
      </c>
      <c r="L12" s="73" t="s">
        <v>38</v>
      </c>
      <c r="M12" s="73" t="s">
        <v>39</v>
      </c>
    </row>
    <row r="13" spans="1:13" x14ac:dyDescent="0.15">
      <c r="A13" s="74" t="s">
        <v>42</v>
      </c>
      <c r="B13" s="69">
        <f>0.75*D13</f>
        <v>150</v>
      </c>
      <c r="C13" s="69">
        <f>0.9*D13</f>
        <v>180</v>
      </c>
      <c r="D13" s="69">
        <f>D3</f>
        <v>200</v>
      </c>
      <c r="E13" s="69">
        <f>D13*1.1</f>
        <v>220.00000000000003</v>
      </c>
      <c r="F13" s="69">
        <f>D13*1.25</f>
        <v>250</v>
      </c>
      <c r="H13" s="74" t="s">
        <v>42</v>
      </c>
      <c r="I13" s="69">
        <f>0.75*K13</f>
        <v>900</v>
      </c>
      <c r="J13" s="69">
        <f>0.9*K13</f>
        <v>1080</v>
      </c>
      <c r="K13" s="69">
        <f>B3</f>
        <v>1200</v>
      </c>
      <c r="L13" s="69">
        <f>K13*1.1</f>
        <v>1320</v>
      </c>
      <c r="M13" s="69">
        <f>K13*1.25</f>
        <v>1500</v>
      </c>
    </row>
    <row r="14" spans="1:13" x14ac:dyDescent="0.15">
      <c r="A14" s="75">
        <f>Irrigated!A14</f>
        <v>3.78</v>
      </c>
      <c r="B14" s="76">
        <f>$A$14*B$13-$D$6</f>
        <v>-208.05099999999993</v>
      </c>
      <c r="C14" s="76">
        <f>$A$14*C$13-$D$6</f>
        <v>-94.650999999999954</v>
      </c>
      <c r="D14" s="76">
        <f>$A$14*D$13-$D$6</f>
        <v>-19.050999999999931</v>
      </c>
      <c r="E14" s="76">
        <f>$A$14*E$13-$D$6</f>
        <v>56.549000000000092</v>
      </c>
      <c r="F14" s="76">
        <f>$A$14*F$13-$D$6</f>
        <v>169.94900000000007</v>
      </c>
      <c r="H14" s="75">
        <f>Irrigated!H14</f>
        <v>0.53199999999999992</v>
      </c>
      <c r="I14" s="78">
        <f>$H$14*$I$13-$B$6</f>
        <v>-252.95099602272745</v>
      </c>
      <c r="J14" s="78">
        <f>$H$14*J13-$B$6</f>
        <v>-157.1909960227274</v>
      </c>
      <c r="K14" s="78">
        <f>$H$14*K13-$B$6</f>
        <v>-93.350996022727486</v>
      </c>
      <c r="L14" s="78">
        <f>$H$14*L13-$B$6</f>
        <v>-29.510996022727454</v>
      </c>
      <c r="M14" s="78">
        <f>$H$14*M13-$B$6</f>
        <v>66.249003977272537</v>
      </c>
    </row>
    <row r="15" spans="1:13" x14ac:dyDescent="0.15">
      <c r="A15" s="77">
        <f>Irrigated!A15</f>
        <v>4.59</v>
      </c>
      <c r="B15" s="78">
        <f>$A$15*B$13-$D$6</f>
        <v>-86.550999999999931</v>
      </c>
      <c r="C15" s="78">
        <f>$A$15*C$13-$D$6</f>
        <v>51.149000000000001</v>
      </c>
      <c r="D15" s="78">
        <f>$A$15*D$13-$D$6</f>
        <v>142.94900000000007</v>
      </c>
      <c r="E15" s="78">
        <f>$A$15*E$13-$D$6</f>
        <v>234.74900000000014</v>
      </c>
      <c r="F15" s="78">
        <f>$A$15*F$13-$D$6</f>
        <v>372.44900000000007</v>
      </c>
      <c r="H15" s="77">
        <f>Irrigated!H15</f>
        <v>0.64600000000000002</v>
      </c>
      <c r="I15" s="78">
        <f>$H$15*$I$13-$B$6</f>
        <v>-150.35099602272737</v>
      </c>
      <c r="J15" s="78">
        <f>$H$15*J13-$B$6</f>
        <v>-34.070996022727286</v>
      </c>
      <c r="K15" s="78">
        <f>$H$15*K13-$B$6</f>
        <v>43.449003977272696</v>
      </c>
      <c r="L15" s="78">
        <f>$H$15*L13-$B$6</f>
        <v>120.96900397727268</v>
      </c>
      <c r="M15" s="78">
        <f>$H$15*M13-$B$6</f>
        <v>237.24900397727265</v>
      </c>
    </row>
    <row r="16" spans="1:13" x14ac:dyDescent="0.15">
      <c r="A16" s="77">
        <f>Irrigated!A16</f>
        <v>5.4</v>
      </c>
      <c r="B16" s="78">
        <f>$A$16*B$13-$D$6</f>
        <v>34.949000000000069</v>
      </c>
      <c r="C16" s="78">
        <f>$A$16*C$13-$D$6</f>
        <v>196.94900000000018</v>
      </c>
      <c r="D16" s="78">
        <f>$A$16*D$13-$D$6</f>
        <v>304.94900000000007</v>
      </c>
      <c r="E16" s="78">
        <f>$A$16*E$13-$D$6</f>
        <v>412.9490000000003</v>
      </c>
      <c r="F16" s="78">
        <f>$A$16*F$13-$D$6</f>
        <v>574.94900000000007</v>
      </c>
      <c r="H16" s="77">
        <f>Irrigated!H16</f>
        <v>0.76</v>
      </c>
      <c r="I16" s="78">
        <f>$H$16*$I$13-$B$6</f>
        <v>-47.75099602272735</v>
      </c>
      <c r="J16" s="78">
        <f>$H$16*J13-$B$6</f>
        <v>89.049003977272605</v>
      </c>
      <c r="K16" s="78">
        <f>$H$16*K13-$B$6</f>
        <v>180.24900397727265</v>
      </c>
      <c r="L16" s="78">
        <f>$H$16*L13-$B$6</f>
        <v>271.4490039772727</v>
      </c>
      <c r="M16" s="78">
        <f>$H$16*M13-$B$6</f>
        <v>408.24900397727265</v>
      </c>
    </row>
    <row r="17" spans="1:13" x14ac:dyDescent="0.15">
      <c r="A17" s="77">
        <f>Irrigated!A17</f>
        <v>6.21</v>
      </c>
      <c r="B17" s="78">
        <f>$A$17*B$13-$D$6</f>
        <v>156.44900000000007</v>
      </c>
      <c r="C17" s="78">
        <f>$A$17*C$13-$D$6</f>
        <v>342.74900000000002</v>
      </c>
      <c r="D17" s="78">
        <f>$A$17*D$13-$D$6</f>
        <v>466.94900000000007</v>
      </c>
      <c r="E17" s="78">
        <f>$A$17*E$13-$D$6</f>
        <v>591.14900000000034</v>
      </c>
      <c r="F17" s="78">
        <f>$A$17*F$13-$D$6</f>
        <v>777.44900000000007</v>
      </c>
      <c r="H17" s="77">
        <f>Irrigated!H17</f>
        <v>0.87399999999999989</v>
      </c>
      <c r="I17" s="78">
        <f>$H$17*$I$13-$B$6</f>
        <v>54.849003977272559</v>
      </c>
      <c r="J17" s="78">
        <f>$H$17*J13-$B$6</f>
        <v>212.1690039772725</v>
      </c>
      <c r="K17" s="78">
        <f>$H$17*K13-$B$6</f>
        <v>317.0490039772726</v>
      </c>
      <c r="L17" s="78">
        <f>$H$17*L13-$B$6</f>
        <v>421.92900397727249</v>
      </c>
      <c r="M17" s="78">
        <f>$H$17*M13-$B$6</f>
        <v>579.24900397727242</v>
      </c>
    </row>
    <row r="18" spans="1:13" x14ac:dyDescent="0.15">
      <c r="A18" s="79">
        <f>Irrigated!A18</f>
        <v>7.0200000000000005</v>
      </c>
      <c r="B18" s="80">
        <f>$A$18*B$13-$D$6</f>
        <v>277.94900000000007</v>
      </c>
      <c r="C18" s="80">
        <f>$A$18*C$13-$D$6</f>
        <v>488.54900000000021</v>
      </c>
      <c r="D18" s="80">
        <f>$A$18*D$13-$D$6</f>
        <v>628.94900000000007</v>
      </c>
      <c r="E18" s="80">
        <f>$A$18*E$13-$D$6</f>
        <v>769.34900000000039</v>
      </c>
      <c r="F18" s="80">
        <f>$A$18*F$13-$D$6</f>
        <v>979.9490000000003</v>
      </c>
      <c r="H18" s="79">
        <f>Irrigated!H18</f>
        <v>0.9880000000000001</v>
      </c>
      <c r="I18" s="80">
        <f>$H$18*$I$13-$B$6</f>
        <v>157.4490039772727</v>
      </c>
      <c r="J18" s="80">
        <f>$H$18*J13-$B$6</f>
        <v>335.28900397727284</v>
      </c>
      <c r="K18" s="80">
        <f>$H$18*K13-$B$6</f>
        <v>453.84900397727279</v>
      </c>
      <c r="L18" s="80">
        <f>$H$18*L13-$B$6</f>
        <v>572.40900397727273</v>
      </c>
      <c r="M18" s="80">
        <f>$H$18*M13-$B$6</f>
        <v>750.24900397727288</v>
      </c>
    </row>
    <row r="20" spans="1:13" x14ac:dyDescent="0.15">
      <c r="A20" s="435" t="s">
        <v>57</v>
      </c>
      <c r="B20" s="435"/>
      <c r="C20" s="435"/>
      <c r="D20" s="435"/>
      <c r="E20" s="435"/>
      <c r="F20" s="435"/>
      <c r="H20" s="436" t="s">
        <v>122</v>
      </c>
      <c r="I20" s="436"/>
      <c r="J20" s="436"/>
      <c r="K20" s="436"/>
      <c r="L20" s="436"/>
      <c r="M20" s="436"/>
    </row>
    <row r="21" spans="1:13" s="53" customFormat="1" ht="12" x14ac:dyDescent="0.15">
      <c r="A21" s="434" t="s">
        <v>36</v>
      </c>
      <c r="B21" s="434"/>
      <c r="C21" s="434"/>
      <c r="D21" s="434"/>
      <c r="E21" s="434"/>
      <c r="F21" s="434"/>
      <c r="H21" s="437" t="s">
        <v>36</v>
      </c>
      <c r="I21" s="437"/>
      <c r="J21" s="437"/>
      <c r="K21" s="437"/>
      <c r="L21" s="437"/>
      <c r="M21" s="437"/>
    </row>
    <row r="22" spans="1:13" x14ac:dyDescent="0.15">
      <c r="A22" s="67" t="s">
        <v>41</v>
      </c>
      <c r="B22" s="68">
        <v>-0.25</v>
      </c>
      <c r="C22" s="68">
        <v>-0.1</v>
      </c>
      <c r="D22" s="69" t="s">
        <v>37</v>
      </c>
      <c r="E22" s="70" t="s">
        <v>38</v>
      </c>
      <c r="F22" s="70" t="s">
        <v>39</v>
      </c>
      <c r="H22" s="67" t="s">
        <v>41</v>
      </c>
      <c r="I22" s="68">
        <v>-0.25</v>
      </c>
      <c r="J22" s="68">
        <v>-0.1</v>
      </c>
      <c r="K22" s="69" t="s">
        <v>37</v>
      </c>
      <c r="L22" s="70" t="s">
        <v>38</v>
      </c>
      <c r="M22" s="70" t="s">
        <v>39</v>
      </c>
    </row>
    <row r="23" spans="1:13" x14ac:dyDescent="0.15">
      <c r="A23" s="74" t="s">
        <v>42</v>
      </c>
      <c r="B23" s="69">
        <f>0.75*D23</f>
        <v>75</v>
      </c>
      <c r="C23" s="69">
        <f>0.9*D23</f>
        <v>90</v>
      </c>
      <c r="D23" s="69">
        <f>F3</f>
        <v>100</v>
      </c>
      <c r="E23" s="69">
        <f>D23*1.1</f>
        <v>110.00000000000001</v>
      </c>
      <c r="F23" s="69">
        <f>D23*1.25</f>
        <v>125</v>
      </c>
      <c r="H23" s="74" t="s">
        <v>42</v>
      </c>
      <c r="I23" s="69">
        <f>0.75*K23</f>
        <v>3525</v>
      </c>
      <c r="J23" s="69">
        <f>0.9*K23</f>
        <v>4230</v>
      </c>
      <c r="K23" s="69">
        <f>C3</f>
        <v>4700</v>
      </c>
      <c r="L23" s="69">
        <f>K23*1.1</f>
        <v>5170</v>
      </c>
      <c r="M23" s="69">
        <f>K23*1.25</f>
        <v>5875</v>
      </c>
    </row>
    <row r="24" spans="1:13" x14ac:dyDescent="0.15">
      <c r="A24" s="75">
        <f>Irrigated!A24</f>
        <v>3.6399999999999997</v>
      </c>
      <c r="B24" s="76">
        <f>$A$24*B$23-$F$6</f>
        <v>-155.3465625</v>
      </c>
      <c r="C24" s="76">
        <f>$A$24*C$23-$F$6</f>
        <v>-100.74656250000004</v>
      </c>
      <c r="D24" s="76">
        <f>$A$24*D$23-$F$6</f>
        <v>-64.346562500000061</v>
      </c>
      <c r="E24" s="76">
        <f>$A$24*E$23-$F$6</f>
        <v>-27.94656249999997</v>
      </c>
      <c r="F24" s="76">
        <f>$A$24*F$23-$F$6</f>
        <v>26.653437499999939</v>
      </c>
      <c r="H24" s="81">
        <f>Irrigated!H24</f>
        <v>358.75</v>
      </c>
      <c r="I24" s="76">
        <f>$H$24*I$23/2000-$C$6</f>
        <v>-142.31412499999999</v>
      </c>
      <c r="J24" s="76">
        <f>$H$24*J$23/2000-$C$6</f>
        <v>-15.854749999999967</v>
      </c>
      <c r="K24" s="76">
        <f>$H$24*K$23/2000-$C$6</f>
        <v>68.45150000000001</v>
      </c>
      <c r="L24" s="76">
        <f>$H$24*L$23/2000-$C$6</f>
        <v>152.75774999999999</v>
      </c>
      <c r="M24" s="76">
        <f>$H$24*M$23/2000-$C$6</f>
        <v>279.21712500000001</v>
      </c>
    </row>
    <row r="25" spans="1:13" x14ac:dyDescent="0.15">
      <c r="A25" s="77">
        <f>Irrigated!A25</f>
        <v>4.42</v>
      </c>
      <c r="B25" s="78">
        <f>$A$25*B$23-$F$6</f>
        <v>-96.846562500000005</v>
      </c>
      <c r="C25" s="78">
        <f>$A$25*C$23-$F$6</f>
        <v>-30.546562499999993</v>
      </c>
      <c r="D25" s="78">
        <f>$A$25*D$23-$F$6</f>
        <v>13.653437499999995</v>
      </c>
      <c r="E25" s="78">
        <f>$A$25*E$23-$F$6</f>
        <v>57.853437500000041</v>
      </c>
      <c r="F25" s="78">
        <f>$A$25*F$23-$F$6</f>
        <v>124.1534375</v>
      </c>
      <c r="H25" s="82">
        <f>Irrigated!H25</f>
        <v>435.625</v>
      </c>
      <c r="I25" s="78">
        <f>$H$25*I$23/2000-$C$6</f>
        <v>-6.82193749999999</v>
      </c>
      <c r="J25" s="78">
        <f>$H$25*J$23/2000-$C$6</f>
        <v>146.73587499999996</v>
      </c>
      <c r="K25" s="78">
        <f>$H$25*K$23/2000-$C$6</f>
        <v>249.10775000000001</v>
      </c>
      <c r="L25" s="78">
        <f>$H$25*L$23/2000-$C$6</f>
        <v>351.47962500000006</v>
      </c>
      <c r="M25" s="78">
        <f>$H$25*M$23/2000-$C$6</f>
        <v>505.03743750000001</v>
      </c>
    </row>
    <row r="26" spans="1:13" x14ac:dyDescent="0.15">
      <c r="A26" s="77">
        <f>Irrigated!A26</f>
        <v>5.2</v>
      </c>
      <c r="B26" s="78">
        <f>$A$26*B$23-$F$6</f>
        <v>-38.346562500000005</v>
      </c>
      <c r="C26" s="78">
        <f>$A$26*C$23-$F$6</f>
        <v>39.653437499999995</v>
      </c>
      <c r="D26" s="78">
        <f>$A$26*D$23-$F$6</f>
        <v>91.653437499999995</v>
      </c>
      <c r="E26" s="78">
        <f>$A$26*E$23-$F$6</f>
        <v>143.65343750000011</v>
      </c>
      <c r="F26" s="78">
        <f>$A$26*F$23-$F$6</f>
        <v>221.6534375</v>
      </c>
      <c r="H26" s="82">
        <f>Irrigated!H26</f>
        <v>512.5</v>
      </c>
      <c r="I26" s="78">
        <f>$H$26*I$23/2000-$C$6</f>
        <v>128.67025000000001</v>
      </c>
      <c r="J26" s="78">
        <f>$H$26*J$23/2000-$C$6</f>
        <v>309.32650000000001</v>
      </c>
      <c r="K26" s="78">
        <f>$H$26*K$23/2000-$C$6</f>
        <v>429.76400000000001</v>
      </c>
      <c r="L26" s="78">
        <f>$H$26*L$23/2000-$C$6</f>
        <v>550.20150000000001</v>
      </c>
      <c r="M26" s="78">
        <f>$H$26*M$23/2000-$C$6</f>
        <v>730.85775000000001</v>
      </c>
    </row>
    <row r="27" spans="1:13" x14ac:dyDescent="0.15">
      <c r="A27" s="77">
        <f>Irrigated!A27</f>
        <v>5.9799999999999995</v>
      </c>
      <c r="B27" s="78">
        <f>$A$27*B$23-$F$6</f>
        <v>20.153437499999939</v>
      </c>
      <c r="C27" s="78">
        <f>$A$27*C$23-$F$6</f>
        <v>109.85343749999993</v>
      </c>
      <c r="D27" s="78">
        <f>$A$27*D$23-$F$6</f>
        <v>169.6534375</v>
      </c>
      <c r="E27" s="78">
        <f>$A$27*E$23-$F$6</f>
        <v>229.45343750000006</v>
      </c>
      <c r="F27" s="78">
        <f>$A$27*F$23-$F$6</f>
        <v>319.15343749999988</v>
      </c>
      <c r="H27" s="82">
        <f>Irrigated!H27</f>
        <v>589.375</v>
      </c>
      <c r="I27" s="78">
        <f>$H$27*I$23/2000-$C$6</f>
        <v>264.16243750000001</v>
      </c>
      <c r="J27" s="78">
        <f>$H$27*J$23/2000-$C$6</f>
        <v>471.91712500000006</v>
      </c>
      <c r="K27" s="78">
        <f>$H$27*K$23/2000-$C$6</f>
        <v>610.42025000000001</v>
      </c>
      <c r="L27" s="78">
        <f>$H$27*L$23/2000-$C$6</f>
        <v>748.92337499999996</v>
      </c>
      <c r="M27" s="78">
        <f>$H$27*M$23/2000-$C$6</f>
        <v>956.67806250000001</v>
      </c>
    </row>
    <row r="28" spans="1:13" x14ac:dyDescent="0.15">
      <c r="A28" s="79">
        <f>Irrigated!A28</f>
        <v>6.7600000000000007</v>
      </c>
      <c r="B28" s="80">
        <f>$A$28*B$23-$F$6</f>
        <v>78.653437500000052</v>
      </c>
      <c r="C28" s="80">
        <f>$A$28*C$23-$F$6</f>
        <v>180.05343750000009</v>
      </c>
      <c r="D28" s="80">
        <f>$A$28*D$23-$F$6</f>
        <v>247.65343750000011</v>
      </c>
      <c r="E28" s="80">
        <f>$A$28*E$23-$F$6</f>
        <v>315.25343750000013</v>
      </c>
      <c r="F28" s="80">
        <f>$A$28*F$23-$F$6</f>
        <v>416.65343750000011</v>
      </c>
      <c r="H28" s="83">
        <f>Irrigated!H28</f>
        <v>666.25</v>
      </c>
      <c r="I28" s="80">
        <f>$H$28*I$23/2000-$C$6</f>
        <v>399.65462500000001</v>
      </c>
      <c r="J28" s="80">
        <f>$H$28*J$23/2000-$C$6</f>
        <v>634.5077500000001</v>
      </c>
      <c r="K28" s="80">
        <f>$H$28*K$23/2000-$C$6</f>
        <v>791.07650000000001</v>
      </c>
      <c r="L28" s="80">
        <f>$H$28*L$23/2000-$C$6</f>
        <v>947.64524999999992</v>
      </c>
      <c r="M28" s="80">
        <f>$H$28*M$23/2000-$C$6</f>
        <v>1182.4983750000001</v>
      </c>
    </row>
    <row r="30" spans="1:13" x14ac:dyDescent="0.15">
      <c r="A30" s="435" t="s">
        <v>58</v>
      </c>
      <c r="B30" s="435"/>
      <c r="C30" s="435"/>
      <c r="D30" s="435"/>
      <c r="E30" s="435"/>
      <c r="F30" s="435"/>
    </row>
    <row r="31" spans="1:13" s="53" customFormat="1" ht="12" x14ac:dyDescent="0.15">
      <c r="A31" s="434" t="s">
        <v>36</v>
      </c>
      <c r="B31" s="434"/>
      <c r="C31" s="434"/>
      <c r="D31" s="434"/>
      <c r="E31" s="434"/>
      <c r="F31" s="434"/>
    </row>
    <row r="32" spans="1:13" x14ac:dyDescent="0.15">
      <c r="A32" s="67" t="s">
        <v>41</v>
      </c>
      <c r="B32" s="68">
        <v>-0.25</v>
      </c>
      <c r="C32" s="68">
        <v>-0.1</v>
      </c>
      <c r="D32" s="69" t="s">
        <v>37</v>
      </c>
      <c r="E32" s="70" t="s">
        <v>38</v>
      </c>
      <c r="F32" s="70" t="s">
        <v>39</v>
      </c>
    </row>
    <row r="33" spans="1:6" x14ac:dyDescent="0.15">
      <c r="A33" s="74" t="s">
        <v>42</v>
      </c>
      <c r="B33" s="69">
        <f>0.75*D33</f>
        <v>45</v>
      </c>
      <c r="C33" s="69">
        <f>0.9*D33</f>
        <v>54</v>
      </c>
      <c r="D33" s="69">
        <f>E3</f>
        <v>60</v>
      </c>
      <c r="E33" s="69">
        <f>D33*1.1</f>
        <v>66</v>
      </c>
      <c r="F33" s="69">
        <f>D33*1.25</f>
        <v>75</v>
      </c>
    </row>
    <row r="34" spans="1:6" x14ac:dyDescent="0.15">
      <c r="A34" s="75">
        <f>Irrigated!A34</f>
        <v>8.0499999999999989</v>
      </c>
      <c r="B34" s="76">
        <f>$A$34*B$33-$E$6</f>
        <v>24.85645562499991</v>
      </c>
      <c r="C34" s="76">
        <f>$A$34*C$33-$E$6</f>
        <v>97.306455624999899</v>
      </c>
      <c r="D34" s="76">
        <f>$A$34*D$33-$E$6</f>
        <v>145.60645562499991</v>
      </c>
      <c r="E34" s="76">
        <f>$A$34*E$33-$E$6</f>
        <v>193.90645562499992</v>
      </c>
      <c r="F34" s="76">
        <f>$A$34*F$33-$E$6</f>
        <v>266.35645562499985</v>
      </c>
    </row>
    <row r="35" spans="1:6" x14ac:dyDescent="0.15">
      <c r="A35" s="77">
        <f>Irrigated!A35</f>
        <v>9.7750000000000004</v>
      </c>
      <c r="B35" s="78">
        <f>$A$35*B$33-$E$6</f>
        <v>102.48145562499997</v>
      </c>
      <c r="C35" s="78">
        <f>$A$35*C$33-$E$6</f>
        <v>190.45645562499999</v>
      </c>
      <c r="D35" s="78">
        <f>$A$35*D$33-$E$6</f>
        <v>249.10645562499997</v>
      </c>
      <c r="E35" s="78">
        <f>$A$35*E$33-$E$6</f>
        <v>307.75645562499994</v>
      </c>
      <c r="F35" s="78">
        <f>$A$35*F$33-$E$6</f>
        <v>395.73145562499997</v>
      </c>
    </row>
    <row r="36" spans="1:6" x14ac:dyDescent="0.15">
      <c r="A36" s="77">
        <f>Irrigated!A36</f>
        <v>11.5</v>
      </c>
      <c r="B36" s="78">
        <f>$A$36*B$33-$E$6</f>
        <v>180.10645562499997</v>
      </c>
      <c r="C36" s="78">
        <f>$A$36*C$33-$E$6</f>
        <v>283.60645562499997</v>
      </c>
      <c r="D36" s="78">
        <f>$A$36*D$33-$E$6</f>
        <v>352.60645562499997</v>
      </c>
      <c r="E36" s="78">
        <f>$A$36*E$33-$E$6</f>
        <v>421.60645562499997</v>
      </c>
      <c r="F36" s="78">
        <f>$A$36*F$33-$E$6</f>
        <v>525.10645562499997</v>
      </c>
    </row>
    <row r="37" spans="1:6" x14ac:dyDescent="0.15">
      <c r="A37" s="77">
        <f>Irrigated!A37</f>
        <v>13.225</v>
      </c>
      <c r="B37" s="78">
        <f>$A$37*B$33-$E$6</f>
        <v>257.73145562499997</v>
      </c>
      <c r="C37" s="78">
        <f>$A$37*C$33-$E$6</f>
        <v>376.75645562499994</v>
      </c>
      <c r="D37" s="78">
        <f>$A$37*D$33-$E$6</f>
        <v>456.10645562499997</v>
      </c>
      <c r="E37" s="78">
        <f>$A$37*E$33-$E$6</f>
        <v>535.45645562499999</v>
      </c>
      <c r="F37" s="78">
        <f>$A$37*F$33-$E$6</f>
        <v>654.48145562499997</v>
      </c>
    </row>
    <row r="38" spans="1:6" x14ac:dyDescent="0.15">
      <c r="A38" s="79">
        <f>Irrigated!A38</f>
        <v>14.950000000000001</v>
      </c>
      <c r="B38" s="80">
        <f>$A$38*B$33-$E$6</f>
        <v>335.35645562499997</v>
      </c>
      <c r="C38" s="80">
        <f>$A$38*C$33-$E$6</f>
        <v>469.90645562500004</v>
      </c>
      <c r="D38" s="80">
        <f>$A$38*D$33-$E$6</f>
        <v>559.60645562500008</v>
      </c>
      <c r="E38" s="80">
        <f>$A$38*E$33-$E$6</f>
        <v>649.30645562500001</v>
      </c>
      <c r="F38" s="80">
        <f>$A$38*F$33-$E$6</f>
        <v>783.85645562499997</v>
      </c>
    </row>
    <row r="39" spans="1:6" s="53" customFormat="1" ht="12" x14ac:dyDescent="0.15"/>
    <row r="49" s="53" customFormat="1" ht="12" x14ac:dyDescent="0.15"/>
    <row r="59" s="53" customFormat="1" ht="12" x14ac:dyDescent="0.15"/>
  </sheetData>
  <sheetProtection sheet="1" objects="1" scenarios="1"/>
  <mergeCells count="13">
    <mergeCell ref="A31:F31"/>
    <mergeCell ref="A20:F20"/>
    <mergeCell ref="A21:F21"/>
    <mergeCell ref="H21:M21"/>
    <mergeCell ref="A30:F30"/>
    <mergeCell ref="H20:M20"/>
    <mergeCell ref="B1:F1"/>
    <mergeCell ref="A7:M7"/>
    <mergeCell ref="A10:F10"/>
    <mergeCell ref="A11:F11"/>
    <mergeCell ref="H11:M11"/>
    <mergeCell ref="A9:M9"/>
    <mergeCell ref="H10:M10"/>
  </mergeCells>
  <phoneticPr fontId="2" type="noConversion"/>
  <conditionalFormatting sqref="B14:F18 I14:M18 B24:F28 I24:M28 B34:F38">
    <cfRule type="cellIs" dxfId="1" priority="1" stopIfTrue="1" operator="greaterThanOrEqual">
      <formula>0</formula>
    </cfRule>
  </conditionalFormatting>
  <printOptions horizontalCentered="1" verticalCentered="1"/>
  <pageMargins left="0.5" right="0.5" top="0.5" bottom="0.5" header="0.5" footer="0.5"/>
  <pageSetup orientation="landscape" horizontalDpi="300" verticalDpi="300"/>
  <headerFooter alignWithMargins="0">
    <oddFooter>&amp;L&amp;G</oddFooter>
  </headerFooter>
  <legacyDrawingHF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sheetPr>
  <dimension ref="A1:M59"/>
  <sheetViews>
    <sheetView topLeftCell="A7" workbookViewId="0">
      <selection sqref="A1:I1"/>
    </sheetView>
  </sheetViews>
  <sheetFormatPr baseColWidth="10" defaultColWidth="9.6640625" defaultRowHeight="13" x14ac:dyDescent="0.15"/>
  <cols>
    <col min="1" max="13" width="9.33203125" style="66" customWidth="1"/>
    <col min="14" max="16384" width="9.6640625" style="66"/>
  </cols>
  <sheetData>
    <row r="1" spans="1:13" s="53" customFormat="1" ht="12" hidden="1" x14ac:dyDescent="0.15">
      <c r="B1" s="443" t="s">
        <v>46</v>
      </c>
      <c r="C1" s="443"/>
      <c r="D1" s="443"/>
      <c r="E1" s="443"/>
      <c r="F1" s="443"/>
      <c r="G1" s="84"/>
    </row>
    <row r="2" spans="1:13" s="53" customFormat="1" ht="12" hidden="1" x14ac:dyDescent="0.15">
      <c r="A2" s="54" t="s">
        <v>40</v>
      </c>
      <c r="B2" s="55" t="str">
        <f>Conventional!L6</f>
        <v>Cotton</v>
      </c>
      <c r="C2" s="55" t="str">
        <f>Conventional!N6</f>
        <v>Peanuts</v>
      </c>
      <c r="D2" s="55" t="str">
        <f>Conventional!P6</f>
        <v>Corn</v>
      </c>
      <c r="E2" s="55" t="str">
        <f>Conventional!R6</f>
        <v>Soybeans</v>
      </c>
      <c r="F2" s="55" t="str">
        <f>Conventional!T6</f>
        <v>Sorghum</v>
      </c>
    </row>
    <row r="3" spans="1:13" s="53" customFormat="1" ht="12" hidden="1" x14ac:dyDescent="0.15">
      <c r="A3" s="54" t="s">
        <v>41</v>
      </c>
      <c r="B3" s="56">
        <f>'Strip-Till'!L7</f>
        <v>750</v>
      </c>
      <c r="C3" s="56">
        <f>'Strip-Till'!N7</f>
        <v>3400</v>
      </c>
      <c r="D3" s="56">
        <f>'Strip-Till'!P7</f>
        <v>85</v>
      </c>
      <c r="E3" s="56">
        <f>'Strip-Till'!R7</f>
        <v>30</v>
      </c>
      <c r="F3" s="56">
        <f>'Strip-Till'!T7</f>
        <v>65</v>
      </c>
    </row>
    <row r="4" spans="1:13" s="53" customFormat="1" ht="12" hidden="1" x14ac:dyDescent="0.15">
      <c r="A4" s="53" t="s">
        <v>42</v>
      </c>
      <c r="B4" s="58">
        <f>'Strip-Till'!L8</f>
        <v>0.76</v>
      </c>
      <c r="C4" s="59">
        <f>'Strip-Till'!N8</f>
        <v>512.5</v>
      </c>
      <c r="D4" s="60">
        <f>'Strip-Till'!P8</f>
        <v>5.4</v>
      </c>
      <c r="E4" s="60">
        <f>'Strip-Till'!R8</f>
        <v>11.5</v>
      </c>
      <c r="F4" s="60">
        <f>'Strip-Till'!T8</f>
        <v>5.2</v>
      </c>
    </row>
    <row r="5" spans="1:13" s="53" customFormat="1" ht="12" hidden="1" x14ac:dyDescent="0.15">
      <c r="A5" s="61" t="s">
        <v>44</v>
      </c>
      <c r="B5" s="62">
        <f>B3*B4</f>
        <v>570</v>
      </c>
      <c r="C5" s="62">
        <f>C3*C4/2000</f>
        <v>871.25</v>
      </c>
      <c r="D5" s="62">
        <f>D3*D4</f>
        <v>459.00000000000006</v>
      </c>
      <c r="E5" s="62">
        <f>E3*E4</f>
        <v>345</v>
      </c>
      <c r="F5" s="62">
        <f>F3*F4</f>
        <v>338</v>
      </c>
    </row>
    <row r="6" spans="1:13" s="53" customFormat="1" ht="12" hidden="1" x14ac:dyDescent="0.15">
      <c r="A6" s="61" t="s">
        <v>43</v>
      </c>
      <c r="B6" s="64">
        <f>'Strip-Till'!L31</f>
        <v>607.36843110795462</v>
      </c>
      <c r="C6" s="64">
        <f>'Strip-Till'!N31</f>
        <v>634.44937500000003</v>
      </c>
      <c r="D6" s="64">
        <f>'Strip-Till'!P31</f>
        <v>390.34035031249999</v>
      </c>
      <c r="E6" s="64">
        <f>'Strip-Till'!R31</f>
        <v>283.06484343749997</v>
      </c>
      <c r="F6" s="64">
        <f>'Strip-Till'!T31</f>
        <v>287.45923499999992</v>
      </c>
    </row>
    <row r="7" spans="1:13" s="53" customFormat="1" ht="16" x14ac:dyDescent="0.2">
      <c r="A7" s="442" t="s">
        <v>130</v>
      </c>
      <c r="B7" s="442"/>
      <c r="C7" s="442"/>
      <c r="D7" s="442"/>
      <c r="E7" s="442"/>
      <c r="F7" s="442"/>
      <c r="G7" s="442"/>
      <c r="H7" s="442"/>
      <c r="I7" s="442"/>
      <c r="J7" s="442"/>
      <c r="K7" s="442"/>
      <c r="L7" s="442"/>
      <c r="M7" s="442"/>
    </row>
    <row r="8" spans="1:13" s="53" customFormat="1" ht="16" x14ac:dyDescent="0.2">
      <c r="A8" s="51" t="s">
        <v>35</v>
      </c>
      <c r="B8" s="65"/>
      <c r="C8" s="65"/>
      <c r="D8" s="65"/>
      <c r="E8" s="65"/>
      <c r="F8" s="65"/>
      <c r="G8" s="65"/>
      <c r="H8" s="65"/>
      <c r="I8" s="65"/>
      <c r="J8" s="65"/>
      <c r="K8" s="65"/>
      <c r="L8" s="65"/>
      <c r="M8" s="65"/>
    </row>
    <row r="9" spans="1:13" x14ac:dyDescent="0.15">
      <c r="A9" s="441" t="s">
        <v>153</v>
      </c>
      <c r="B9" s="441"/>
      <c r="C9" s="441"/>
      <c r="D9" s="441"/>
      <c r="E9" s="441"/>
      <c r="F9" s="441"/>
      <c r="G9" s="441"/>
      <c r="H9" s="441"/>
      <c r="I9" s="441"/>
      <c r="J9" s="441"/>
      <c r="K9" s="441"/>
      <c r="L9" s="441"/>
      <c r="M9" s="441"/>
    </row>
    <row r="10" spans="1:13" x14ac:dyDescent="0.15">
      <c r="A10" s="435" t="s">
        <v>59</v>
      </c>
      <c r="B10" s="435"/>
      <c r="C10" s="435"/>
      <c r="D10" s="435"/>
      <c r="E10" s="435"/>
      <c r="F10" s="435"/>
      <c r="H10" s="435" t="s">
        <v>62</v>
      </c>
      <c r="I10" s="435"/>
      <c r="J10" s="435"/>
      <c r="K10" s="435"/>
      <c r="L10" s="435"/>
      <c r="M10" s="435"/>
    </row>
    <row r="11" spans="1:13" s="53" customFormat="1" ht="12" x14ac:dyDescent="0.15">
      <c r="A11" s="434" t="s">
        <v>36</v>
      </c>
      <c r="B11" s="434"/>
      <c r="C11" s="434"/>
      <c r="D11" s="434"/>
      <c r="E11" s="434"/>
      <c r="F11" s="434"/>
      <c r="H11" s="438" t="s">
        <v>36</v>
      </c>
      <c r="I11" s="438"/>
      <c r="J11" s="438"/>
      <c r="K11" s="438"/>
      <c r="L11" s="438"/>
      <c r="M11" s="438"/>
    </row>
    <row r="12" spans="1:13" x14ac:dyDescent="0.15">
      <c r="A12" s="67" t="s">
        <v>41</v>
      </c>
      <c r="B12" s="68">
        <v>-0.25</v>
      </c>
      <c r="C12" s="68">
        <v>-0.1</v>
      </c>
      <c r="D12" s="69" t="s">
        <v>37</v>
      </c>
      <c r="E12" s="70" t="s">
        <v>38</v>
      </c>
      <c r="F12" s="70" t="s">
        <v>39</v>
      </c>
      <c r="H12" s="67" t="s">
        <v>41</v>
      </c>
      <c r="I12" s="71">
        <v>-0.25</v>
      </c>
      <c r="J12" s="71">
        <v>-0.1</v>
      </c>
      <c r="K12" s="72" t="s">
        <v>37</v>
      </c>
      <c r="L12" s="73" t="s">
        <v>38</v>
      </c>
      <c r="M12" s="73" t="s">
        <v>39</v>
      </c>
    </row>
    <row r="13" spans="1:13" x14ac:dyDescent="0.15">
      <c r="A13" s="74" t="s">
        <v>42</v>
      </c>
      <c r="B13" s="69">
        <f>0.75*D13</f>
        <v>63.75</v>
      </c>
      <c r="C13" s="69">
        <f>0.9*D13</f>
        <v>76.5</v>
      </c>
      <c r="D13" s="69">
        <f>D3</f>
        <v>85</v>
      </c>
      <c r="E13" s="69">
        <f>D13*1.1</f>
        <v>93.500000000000014</v>
      </c>
      <c r="F13" s="69">
        <f>D13*1.25</f>
        <v>106.25</v>
      </c>
      <c r="H13" s="74" t="s">
        <v>42</v>
      </c>
      <c r="I13" s="72">
        <f>0.75*K13</f>
        <v>562.5</v>
      </c>
      <c r="J13" s="72">
        <f>0.9*K13</f>
        <v>675</v>
      </c>
      <c r="K13" s="72">
        <f>B3</f>
        <v>750</v>
      </c>
      <c r="L13" s="72">
        <f>K13*1.1</f>
        <v>825.00000000000011</v>
      </c>
      <c r="M13" s="72">
        <f>K13*1.25</f>
        <v>937.5</v>
      </c>
    </row>
    <row r="14" spans="1:13" x14ac:dyDescent="0.15">
      <c r="A14" s="75">
        <f>Irrigated!A14</f>
        <v>3.78</v>
      </c>
      <c r="B14" s="76">
        <f>$A$14*B$13-$D$6</f>
        <v>-149.3653503125</v>
      </c>
      <c r="C14" s="76">
        <f>$A$14*C$13-$D$6</f>
        <v>-101.17035031250003</v>
      </c>
      <c r="D14" s="76">
        <f>$A$14*D$13-$D$6</f>
        <v>-69.040350312499982</v>
      </c>
      <c r="E14" s="76">
        <f>$A$14*E$13-$D$6</f>
        <v>-36.910350312499929</v>
      </c>
      <c r="F14" s="76">
        <f>$A$14*F$13-$D$6</f>
        <v>11.284649687500007</v>
      </c>
      <c r="H14" s="75">
        <f>Irrigated!H14</f>
        <v>0.53199999999999992</v>
      </c>
      <c r="I14" s="76">
        <f>$H$14*I$13-$B$6</f>
        <v>-308.11843110795468</v>
      </c>
      <c r="J14" s="76">
        <f>$H$14*J$13-$B$6</f>
        <v>-248.26843110795465</v>
      </c>
      <c r="K14" s="76">
        <f>$H$14*K$13-$B$6</f>
        <v>-208.36843110795468</v>
      </c>
      <c r="L14" s="76">
        <f>$H$14*L$13-$B$6</f>
        <v>-168.46843110795464</v>
      </c>
      <c r="M14" s="76">
        <f>$H$14*M$13-$B$6</f>
        <v>-108.61843110795468</v>
      </c>
    </row>
    <row r="15" spans="1:13" x14ac:dyDescent="0.15">
      <c r="A15" s="77">
        <f>Irrigated!A15</f>
        <v>4.59</v>
      </c>
      <c r="B15" s="78">
        <f>$A$15*B$13-$D$6</f>
        <v>-97.727850312499982</v>
      </c>
      <c r="C15" s="78">
        <f>$A$15*C$13-$D$6</f>
        <v>-39.205350312500002</v>
      </c>
      <c r="D15" s="78">
        <f>$A$15*D$13-$D$6</f>
        <v>-0.19035031250001566</v>
      </c>
      <c r="E15" s="78">
        <f>$A$15*E$13-$D$6</f>
        <v>38.824649687500084</v>
      </c>
      <c r="F15" s="78">
        <f>$A$15*F$13-$D$6</f>
        <v>97.347149687500007</v>
      </c>
      <c r="H15" s="77">
        <f>Irrigated!H15</f>
        <v>0.64600000000000002</v>
      </c>
      <c r="I15" s="78">
        <f>$H$15*I$13-$B$6</f>
        <v>-243.99343110795462</v>
      </c>
      <c r="J15" s="78">
        <f>$H$15*J$13-$B$6</f>
        <v>-171.31843110795461</v>
      </c>
      <c r="K15" s="78">
        <f>$H$15*K$13-$B$6</f>
        <v>-122.86843110795462</v>
      </c>
      <c r="L15" s="78">
        <f>$H$15*L$13-$B$6</f>
        <v>-74.418431107954575</v>
      </c>
      <c r="M15" s="78">
        <f>$H$15*M$13-$B$6</f>
        <v>-1.7434311079546205</v>
      </c>
    </row>
    <row r="16" spans="1:13" x14ac:dyDescent="0.15">
      <c r="A16" s="77">
        <f>Irrigated!A16</f>
        <v>5.4</v>
      </c>
      <c r="B16" s="78">
        <f>$A$16*B$13-$D$6</f>
        <v>-46.090350312499993</v>
      </c>
      <c r="C16" s="78">
        <f>$A$16*C$13-$D$6</f>
        <v>22.75964968750003</v>
      </c>
      <c r="D16" s="78">
        <f>$A$16*D$13-$D$6</f>
        <v>68.659649687500064</v>
      </c>
      <c r="E16" s="78">
        <f>$A$16*E$13-$D$6</f>
        <v>114.5596496875001</v>
      </c>
      <c r="F16" s="78">
        <f>$A$16*F$13-$D$6</f>
        <v>183.40964968750001</v>
      </c>
      <c r="H16" s="77">
        <f>Irrigated!H16</f>
        <v>0.76</v>
      </c>
      <c r="I16" s="78">
        <f>$H$16*I$13-$B$6</f>
        <v>-179.86843110795462</v>
      </c>
      <c r="J16" s="78">
        <f>$H$16*J$13-$B$6</f>
        <v>-94.368431107954621</v>
      </c>
      <c r="K16" s="78">
        <f>$H$16*K$13-$B$6</f>
        <v>-37.368431107954621</v>
      </c>
      <c r="L16" s="78">
        <f>$H$16*L$13-$B$6</f>
        <v>19.631568892045493</v>
      </c>
      <c r="M16" s="78">
        <f>$H$16*M$13-$B$6</f>
        <v>105.13156889204538</v>
      </c>
    </row>
    <row r="17" spans="1:13" x14ac:dyDescent="0.15">
      <c r="A17" s="77">
        <f>Irrigated!A17</f>
        <v>6.21</v>
      </c>
      <c r="B17" s="78">
        <f>$A$17*B$13-$D$6</f>
        <v>5.5471496874999957</v>
      </c>
      <c r="C17" s="78">
        <f>$A$17*C$13-$D$6</f>
        <v>84.724649687500005</v>
      </c>
      <c r="D17" s="78">
        <f>$A$17*D$13-$D$6</f>
        <v>137.50964968750003</v>
      </c>
      <c r="E17" s="78">
        <f>$A$17*E$13-$D$6</f>
        <v>190.29464968750011</v>
      </c>
      <c r="F17" s="78">
        <f>$A$17*F$13-$D$6</f>
        <v>269.47214968750001</v>
      </c>
      <c r="H17" s="77">
        <f>Irrigated!H17</f>
        <v>0.87399999999999989</v>
      </c>
      <c r="I17" s="78">
        <f>$H$17*I$13-$B$6</f>
        <v>-115.74343110795468</v>
      </c>
      <c r="J17" s="78">
        <f>$H$17*J$13-$B$6</f>
        <v>-17.418431107954689</v>
      </c>
      <c r="K17" s="78">
        <f>$H$17*K$13-$B$6</f>
        <v>48.131568892045266</v>
      </c>
      <c r="L17" s="78">
        <f>$H$17*L$13-$B$6</f>
        <v>113.68156889204533</v>
      </c>
      <c r="M17" s="78">
        <f>$H$17*M$13-$B$6</f>
        <v>212.00656889204527</v>
      </c>
    </row>
    <row r="18" spans="1:13" x14ac:dyDescent="0.15">
      <c r="A18" s="79">
        <f>Irrigated!A18</f>
        <v>7.0200000000000005</v>
      </c>
      <c r="B18" s="80">
        <f>$A$18*B$13-$D$6</f>
        <v>57.184649687500041</v>
      </c>
      <c r="C18" s="80">
        <f>$A$18*C$13-$D$6</f>
        <v>146.68964968750009</v>
      </c>
      <c r="D18" s="80">
        <f>$A$18*D$13-$D$6</f>
        <v>206.35964968750005</v>
      </c>
      <c r="E18" s="80">
        <f>$A$18*E$13-$D$6</f>
        <v>266.02964968750013</v>
      </c>
      <c r="F18" s="80">
        <f>$A$18*F$13-$D$6</f>
        <v>355.53464968750001</v>
      </c>
      <c r="H18" s="79">
        <f>Irrigated!H18</f>
        <v>0.9880000000000001</v>
      </c>
      <c r="I18" s="80">
        <f>$H$18*I$13-$B$6</f>
        <v>-51.618431107954621</v>
      </c>
      <c r="J18" s="80">
        <f>$H$18*J$13-$B$6</f>
        <v>59.53156889204547</v>
      </c>
      <c r="K18" s="80">
        <f>$H$18*K$13-$B$6</f>
        <v>133.63156889204549</v>
      </c>
      <c r="L18" s="80">
        <f>$H$18*L$13-$B$6</f>
        <v>207.73156889204563</v>
      </c>
      <c r="M18" s="80">
        <f>$H$18*M$13-$B$6</f>
        <v>318.88156889204549</v>
      </c>
    </row>
    <row r="20" spans="1:13" x14ac:dyDescent="0.15">
      <c r="A20" s="435" t="s">
        <v>60</v>
      </c>
      <c r="B20" s="435"/>
      <c r="C20" s="435"/>
      <c r="D20" s="435"/>
      <c r="E20" s="435"/>
      <c r="F20" s="435"/>
      <c r="H20" s="436" t="s">
        <v>123</v>
      </c>
      <c r="I20" s="436"/>
      <c r="J20" s="436"/>
      <c r="K20" s="436"/>
      <c r="L20" s="436"/>
      <c r="M20" s="436"/>
    </row>
    <row r="21" spans="1:13" s="53" customFormat="1" ht="12" x14ac:dyDescent="0.15">
      <c r="A21" s="434" t="s">
        <v>36</v>
      </c>
      <c r="B21" s="434"/>
      <c r="C21" s="434"/>
      <c r="D21" s="434"/>
      <c r="E21" s="434"/>
      <c r="F21" s="434"/>
      <c r="H21" s="437" t="s">
        <v>36</v>
      </c>
      <c r="I21" s="437"/>
      <c r="J21" s="437"/>
      <c r="K21" s="437"/>
      <c r="L21" s="437"/>
      <c r="M21" s="437"/>
    </row>
    <row r="22" spans="1:13" x14ac:dyDescent="0.15">
      <c r="A22" s="67" t="s">
        <v>41</v>
      </c>
      <c r="B22" s="68">
        <v>-0.25</v>
      </c>
      <c r="C22" s="68">
        <v>-0.1</v>
      </c>
      <c r="D22" s="69" t="s">
        <v>37</v>
      </c>
      <c r="E22" s="70" t="s">
        <v>38</v>
      </c>
      <c r="F22" s="70" t="s">
        <v>39</v>
      </c>
      <c r="H22" s="67" t="s">
        <v>41</v>
      </c>
      <c r="I22" s="68">
        <v>-0.25</v>
      </c>
      <c r="J22" s="68">
        <v>-0.1</v>
      </c>
      <c r="K22" s="69" t="s">
        <v>37</v>
      </c>
      <c r="L22" s="70" t="s">
        <v>38</v>
      </c>
      <c r="M22" s="70" t="s">
        <v>39</v>
      </c>
    </row>
    <row r="23" spans="1:13" x14ac:dyDescent="0.15">
      <c r="A23" s="74" t="s">
        <v>42</v>
      </c>
      <c r="B23" s="69">
        <f>0.75*D23</f>
        <v>48.75</v>
      </c>
      <c r="C23" s="69">
        <f>0.9*D23</f>
        <v>58.5</v>
      </c>
      <c r="D23" s="69">
        <f>F3</f>
        <v>65</v>
      </c>
      <c r="E23" s="69">
        <f>D23*1.1</f>
        <v>71.5</v>
      </c>
      <c r="F23" s="69">
        <f>D23*1.25</f>
        <v>81.25</v>
      </c>
      <c r="H23" s="74" t="s">
        <v>42</v>
      </c>
      <c r="I23" s="69">
        <f>0.75*K23</f>
        <v>2550</v>
      </c>
      <c r="J23" s="69">
        <f>0.9*K23</f>
        <v>3060</v>
      </c>
      <c r="K23" s="69">
        <f>C3</f>
        <v>3400</v>
      </c>
      <c r="L23" s="69">
        <f>K23*1.1</f>
        <v>3740.0000000000005</v>
      </c>
      <c r="M23" s="69">
        <f>K23*1.25</f>
        <v>4250</v>
      </c>
    </row>
    <row r="24" spans="1:13" x14ac:dyDescent="0.15">
      <c r="A24" s="75">
        <f>Irrigated!A24</f>
        <v>3.6399999999999997</v>
      </c>
      <c r="B24" s="76">
        <f>$A$24*B$23-$F$6</f>
        <v>-110.00923499999993</v>
      </c>
      <c r="C24" s="76">
        <f>$A$24*C$23-$F$6</f>
        <v>-74.519234999999952</v>
      </c>
      <c r="D24" s="76">
        <f>$A$24*D$23-$F$6</f>
        <v>-50.859234999999956</v>
      </c>
      <c r="E24" s="76">
        <f>$A$24*E$23-$F$6</f>
        <v>-27.199234999999931</v>
      </c>
      <c r="F24" s="76">
        <f>$A$24*F$23-$F$6</f>
        <v>8.2907650000000785</v>
      </c>
      <c r="H24" s="81">
        <f>Irrigated!H24</f>
        <v>358.75</v>
      </c>
      <c r="I24" s="76">
        <f>$H$24*I$23/2000-$C$6</f>
        <v>-177.04312500000003</v>
      </c>
      <c r="J24" s="76">
        <f>$H$24*J$23/2000-$C$6</f>
        <v>-85.561874999999986</v>
      </c>
      <c r="K24" s="76">
        <f>$H$24*K$23/2000-$C$6</f>
        <v>-24.574375000000032</v>
      </c>
      <c r="L24" s="76">
        <f>$H$24*L$23/2000-$C$6</f>
        <v>36.413125000000036</v>
      </c>
      <c r="M24" s="76">
        <f>$H$24*M$23/2000-$C$6</f>
        <v>127.89437499999997</v>
      </c>
    </row>
    <row r="25" spans="1:13" x14ac:dyDescent="0.15">
      <c r="A25" s="77">
        <f>Irrigated!A25</f>
        <v>4.42</v>
      </c>
      <c r="B25" s="78">
        <f>$A$25*B$23-$F$6</f>
        <v>-71.984234999999927</v>
      </c>
      <c r="C25" s="78">
        <f>$A$25*C$23-$F$6</f>
        <v>-28.889234999999928</v>
      </c>
      <c r="D25" s="78">
        <f>$A$25*D$23-$F$6</f>
        <v>-0.15923499999991009</v>
      </c>
      <c r="E25" s="78">
        <f>$A$25*E$23-$F$6</f>
        <v>28.570765000000051</v>
      </c>
      <c r="F25" s="78">
        <f>$A$25*F$23-$F$6</f>
        <v>71.665765000000079</v>
      </c>
      <c r="H25" s="82">
        <f>Irrigated!H25</f>
        <v>435.625</v>
      </c>
      <c r="I25" s="78">
        <f>$H$25*I$23/2000-$C$6</f>
        <v>-79.027500000000032</v>
      </c>
      <c r="J25" s="78">
        <f>$H$25*J$23/2000-$C$6</f>
        <v>32.056874999999991</v>
      </c>
      <c r="K25" s="78">
        <f>$H$25*K$23/2000-$C$6</f>
        <v>106.11312499999997</v>
      </c>
      <c r="L25" s="78">
        <f>$H$25*L$23/2000-$C$6</f>
        <v>180.16937500000006</v>
      </c>
      <c r="M25" s="78">
        <f>$H$25*M$23/2000-$C$6</f>
        <v>291.25374999999997</v>
      </c>
    </row>
    <row r="26" spans="1:13" x14ac:dyDescent="0.15">
      <c r="A26" s="77">
        <f>Irrigated!A26</f>
        <v>5.2</v>
      </c>
      <c r="B26" s="78">
        <f>$A$26*B$23-$F$6</f>
        <v>-33.959234999999921</v>
      </c>
      <c r="C26" s="78">
        <f>$A$26*C$23-$F$6</f>
        <v>16.740765000000067</v>
      </c>
      <c r="D26" s="78">
        <f>$A$26*D$23-$F$6</f>
        <v>50.540765000000079</v>
      </c>
      <c r="E26" s="78">
        <f>$A$26*E$23-$F$6</f>
        <v>84.34076500000009</v>
      </c>
      <c r="F26" s="78">
        <f>$A$26*F$23-$F$6</f>
        <v>135.04076500000008</v>
      </c>
      <c r="H26" s="82">
        <f>Irrigated!H26</f>
        <v>512.5</v>
      </c>
      <c r="I26" s="78">
        <f>$H$26*I$23/2000-$C$6</f>
        <v>18.988124999999968</v>
      </c>
      <c r="J26" s="78">
        <f>$H$26*J$23/2000-$C$6</f>
        <v>149.67562499999997</v>
      </c>
      <c r="K26" s="78">
        <f>$H$26*K$23/2000-$C$6</f>
        <v>236.80062499999997</v>
      </c>
      <c r="L26" s="78">
        <f>$H$26*L$23/2000-$C$6</f>
        <v>323.92562500000008</v>
      </c>
      <c r="M26" s="78">
        <f>$H$26*M$23/2000-$C$6</f>
        <v>454.61312499999997</v>
      </c>
    </row>
    <row r="27" spans="1:13" x14ac:dyDescent="0.15">
      <c r="A27" s="77">
        <f>Irrigated!A27</f>
        <v>5.9799999999999995</v>
      </c>
      <c r="B27" s="78">
        <f>$A$27*B$23-$F$6</f>
        <v>4.0657650000000558</v>
      </c>
      <c r="C27" s="78">
        <f>$A$27*C$23-$F$6</f>
        <v>62.370765000000063</v>
      </c>
      <c r="D27" s="78">
        <f>$A$27*D$23-$F$6</f>
        <v>101.24076500000007</v>
      </c>
      <c r="E27" s="78">
        <f>$A$27*E$23-$F$6</f>
        <v>140.11076500000007</v>
      </c>
      <c r="F27" s="78">
        <f>$A$27*F$23-$F$6</f>
        <v>198.41576500000002</v>
      </c>
      <c r="H27" s="82">
        <f>Irrigated!H27</f>
        <v>589.375</v>
      </c>
      <c r="I27" s="78">
        <f>$H$27*I$23/2000-$C$6</f>
        <v>117.00374999999997</v>
      </c>
      <c r="J27" s="78">
        <f>$H$27*J$23/2000-$C$6</f>
        <v>267.29437499999995</v>
      </c>
      <c r="K27" s="78">
        <f>$H$27*K$23/2000-$C$6</f>
        <v>367.48812499999997</v>
      </c>
      <c r="L27" s="78">
        <f>$H$27*L$23/2000-$C$6</f>
        <v>467.6818750000001</v>
      </c>
      <c r="M27" s="78">
        <f>$H$27*M$23/2000-$C$6</f>
        <v>617.97249999999997</v>
      </c>
    </row>
    <row r="28" spans="1:13" x14ac:dyDescent="0.15">
      <c r="A28" s="79">
        <f>Irrigated!A28</f>
        <v>6.7600000000000007</v>
      </c>
      <c r="B28" s="80">
        <f>$A$28*B$23-$F$6</f>
        <v>42.09076500000009</v>
      </c>
      <c r="C28" s="80">
        <f>$A$28*C$23-$F$6</f>
        <v>108.00076500000011</v>
      </c>
      <c r="D28" s="80">
        <f>$A$28*D$23-$F$6</f>
        <v>151.94076500000011</v>
      </c>
      <c r="E28" s="80">
        <f>$A$28*E$23-$F$6</f>
        <v>195.88076500000011</v>
      </c>
      <c r="F28" s="80">
        <f>$A$28*F$23-$F$6</f>
        <v>261.79076500000008</v>
      </c>
      <c r="H28" s="83">
        <f>Irrigated!H28</f>
        <v>666.25</v>
      </c>
      <c r="I28" s="80">
        <f>$H$28*I$23/2000-$C$6</f>
        <v>215.01937499999997</v>
      </c>
      <c r="J28" s="80">
        <f>$H$28*J$23/2000-$C$6</f>
        <v>384.91312499999992</v>
      </c>
      <c r="K28" s="80">
        <f>$H$28*K$23/2000-$C$6</f>
        <v>498.17562499999997</v>
      </c>
      <c r="L28" s="80">
        <f>$H$28*L$23/2000-$C$6</f>
        <v>611.43812500000024</v>
      </c>
      <c r="M28" s="80">
        <f>$H$28*M$23/2000-$C$6</f>
        <v>781.33187499999997</v>
      </c>
    </row>
    <row r="30" spans="1:13" x14ac:dyDescent="0.15">
      <c r="A30" s="435" t="s">
        <v>61</v>
      </c>
      <c r="B30" s="435"/>
      <c r="C30" s="435"/>
      <c r="D30" s="435"/>
      <c r="E30" s="435"/>
      <c r="F30" s="435"/>
    </row>
    <row r="31" spans="1:13" s="53" customFormat="1" ht="12" x14ac:dyDescent="0.15">
      <c r="A31" s="434" t="s">
        <v>36</v>
      </c>
      <c r="B31" s="434"/>
      <c r="C31" s="434"/>
      <c r="D31" s="434"/>
      <c r="E31" s="434"/>
      <c r="F31" s="434"/>
    </row>
    <row r="32" spans="1:13" x14ac:dyDescent="0.15">
      <c r="A32" s="67" t="s">
        <v>41</v>
      </c>
      <c r="B32" s="68">
        <v>-0.25</v>
      </c>
      <c r="C32" s="68">
        <v>-0.1</v>
      </c>
      <c r="D32" s="69" t="s">
        <v>37</v>
      </c>
      <c r="E32" s="70" t="s">
        <v>38</v>
      </c>
      <c r="F32" s="70" t="s">
        <v>39</v>
      </c>
      <c r="I32" s="53"/>
    </row>
    <row r="33" spans="1:9" x14ac:dyDescent="0.15">
      <c r="A33" s="74" t="s">
        <v>42</v>
      </c>
      <c r="B33" s="69">
        <f>0.75*D33</f>
        <v>22.5</v>
      </c>
      <c r="C33" s="69">
        <f>0.9*D33</f>
        <v>27</v>
      </c>
      <c r="D33" s="69">
        <f>E3</f>
        <v>30</v>
      </c>
      <c r="E33" s="69">
        <f>D33*1.1</f>
        <v>33</v>
      </c>
      <c r="F33" s="69">
        <f>D33*1.25</f>
        <v>37.5</v>
      </c>
      <c r="I33" s="53"/>
    </row>
    <row r="34" spans="1:9" x14ac:dyDescent="0.15">
      <c r="A34" s="75">
        <f>Irrigated!A34</f>
        <v>8.0499999999999989</v>
      </c>
      <c r="B34" s="76">
        <f>$A$34*B$33-$E$6</f>
        <v>-101.9398434375</v>
      </c>
      <c r="C34" s="76">
        <f>$A$34*C$33-$E$6</f>
        <v>-65.714843437500008</v>
      </c>
      <c r="D34" s="76">
        <f>$A$34*D$33-$E$6</f>
        <v>-41.564843437500002</v>
      </c>
      <c r="E34" s="76">
        <f>$A$34*E$33-$E$6</f>
        <v>-17.414843437499997</v>
      </c>
      <c r="F34" s="76">
        <f>$A$34*F$33-$E$6</f>
        <v>18.810156562499969</v>
      </c>
      <c r="I34" s="53"/>
    </row>
    <row r="35" spans="1:9" x14ac:dyDescent="0.15">
      <c r="A35" s="77">
        <f>Irrigated!A35</f>
        <v>9.7750000000000004</v>
      </c>
      <c r="B35" s="78">
        <f>$A$35*B$33-$E$6</f>
        <v>-63.127343437499974</v>
      </c>
      <c r="C35" s="78">
        <f>$A$35*C$33-$E$6</f>
        <v>-19.139843437499962</v>
      </c>
      <c r="D35" s="78">
        <f>$A$35*D$33-$E$6</f>
        <v>10.185156562500026</v>
      </c>
      <c r="E35" s="78">
        <f>$A$35*E$33-$E$6</f>
        <v>39.510156562500015</v>
      </c>
      <c r="F35" s="78">
        <f>$A$35*F$33-$E$6</f>
        <v>83.497656562500026</v>
      </c>
      <c r="I35" s="53"/>
    </row>
    <row r="36" spans="1:9" x14ac:dyDescent="0.15">
      <c r="A36" s="77">
        <f>Irrigated!A36</f>
        <v>11.5</v>
      </c>
      <c r="B36" s="78">
        <f>$A$36*B$33-$E$6</f>
        <v>-24.314843437499974</v>
      </c>
      <c r="C36" s="78">
        <f>$A$36*C$33-$E$6</f>
        <v>27.435156562500026</v>
      </c>
      <c r="D36" s="78">
        <f>$A$36*D$33-$E$6</f>
        <v>61.935156562500026</v>
      </c>
      <c r="E36" s="78">
        <f>$A$36*E$33-$E$6</f>
        <v>96.435156562500026</v>
      </c>
      <c r="F36" s="78">
        <f>$A$36*F$33-$E$6</f>
        <v>148.18515656250003</v>
      </c>
      <c r="I36" s="53"/>
    </row>
    <row r="37" spans="1:9" x14ac:dyDescent="0.15">
      <c r="A37" s="77">
        <f>Irrigated!A37</f>
        <v>13.225</v>
      </c>
      <c r="B37" s="78">
        <f>$A$37*B$33-$E$6</f>
        <v>14.497656562500026</v>
      </c>
      <c r="C37" s="78">
        <f>$A$37*C$33-$E$6</f>
        <v>74.010156562500015</v>
      </c>
      <c r="D37" s="78">
        <f>$A$37*D$33-$E$6</f>
        <v>113.68515656250003</v>
      </c>
      <c r="E37" s="78">
        <f>$A$37*E$33-$E$6</f>
        <v>153.36015656250004</v>
      </c>
      <c r="F37" s="78">
        <f>$A$37*F$33-$E$6</f>
        <v>212.87265656250003</v>
      </c>
      <c r="I37" s="53"/>
    </row>
    <row r="38" spans="1:9" x14ac:dyDescent="0.15">
      <c r="A38" s="79">
        <f>Irrigated!A38</f>
        <v>14.950000000000001</v>
      </c>
      <c r="B38" s="80">
        <f>$A$38*B$33-$E$6</f>
        <v>53.310156562500026</v>
      </c>
      <c r="C38" s="80">
        <f>$A$38*C$33-$E$6</f>
        <v>120.58515656250006</v>
      </c>
      <c r="D38" s="80">
        <f>$A$38*D$33-$E$6</f>
        <v>165.43515656250008</v>
      </c>
      <c r="E38" s="80">
        <f>$A$38*E$33-$E$6</f>
        <v>210.28515656250005</v>
      </c>
      <c r="F38" s="80">
        <f>$A$38*F$33-$E$6</f>
        <v>277.56015656250003</v>
      </c>
      <c r="I38" s="53"/>
    </row>
    <row r="39" spans="1:9" s="53" customFormat="1" ht="12" x14ac:dyDescent="0.15"/>
    <row r="49" s="53" customFormat="1" ht="12" x14ac:dyDescent="0.15"/>
    <row r="59" s="53" customFormat="1" ht="12" x14ac:dyDescent="0.15"/>
  </sheetData>
  <sheetProtection sheet="1" objects="1" scenarios="1"/>
  <mergeCells count="13">
    <mergeCell ref="B1:F1"/>
    <mergeCell ref="A31:F31"/>
    <mergeCell ref="A20:F20"/>
    <mergeCell ref="A21:F21"/>
    <mergeCell ref="A7:M7"/>
    <mergeCell ref="H21:M21"/>
    <mergeCell ref="A10:F10"/>
    <mergeCell ref="A11:F11"/>
    <mergeCell ref="A30:F30"/>
    <mergeCell ref="H10:M10"/>
    <mergeCell ref="H11:M11"/>
    <mergeCell ref="A9:M9"/>
    <mergeCell ref="H20:M20"/>
  </mergeCells>
  <phoneticPr fontId="2" type="noConversion"/>
  <conditionalFormatting sqref="B14:F18 I14:M18 B24:F28 I24:M28 B34:F38">
    <cfRule type="cellIs" dxfId="0" priority="1" stopIfTrue="1" operator="greaterThanOrEqual">
      <formula>0</formula>
    </cfRule>
  </conditionalFormatting>
  <printOptions horizontalCentered="1" verticalCentered="1"/>
  <pageMargins left="0.5" right="0.5" top="0.5" bottom="0.5" header="0.5" footer="0.5"/>
  <pageSetup orientation="landscape" horizontalDpi="300" verticalDpi="300"/>
  <headerFooter alignWithMargins="0">
    <oddFooter>&amp;L&amp;G</oddFoot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pageSetUpPr fitToPage="1"/>
  </sheetPr>
  <dimension ref="A1:BE422"/>
  <sheetViews>
    <sheetView tabSelected="1" zoomScale="150" zoomScaleNormal="150" zoomScaleSheetLayoutView="87" zoomScalePageLayoutView="170" workbookViewId="0">
      <pane xSplit="1" ySplit="9" topLeftCell="B10" activePane="bottomRight" state="frozen"/>
      <selection pane="topRight" activeCell="B1" sqref="B1"/>
      <selection pane="bottomLeft" activeCell="A10" sqref="A10"/>
      <selection pane="bottomRight"/>
    </sheetView>
  </sheetViews>
  <sheetFormatPr baseColWidth="10" defaultColWidth="8.83203125" defaultRowHeight="14" x14ac:dyDescent="0.2"/>
  <cols>
    <col min="1" max="1" width="29.1640625" style="87" customWidth="1"/>
    <col min="2" max="2" width="7.5" style="91" bestFit="1" customWidth="1"/>
    <col min="3" max="3" width="3" style="91" bestFit="1" customWidth="1"/>
    <col min="4" max="4" width="5.5" style="91" bestFit="1" customWidth="1"/>
    <col min="5" max="5" width="4" style="91" bestFit="1" customWidth="1"/>
    <col min="6" max="6" width="5.5" style="91" bestFit="1" customWidth="1"/>
    <col min="7" max="7" width="3.5" style="91" bestFit="1" customWidth="1"/>
    <col min="8" max="8" width="8" style="91" bestFit="1" customWidth="1"/>
    <col min="9" max="10" width="5.83203125" style="91" bestFit="1" customWidth="1"/>
    <col min="11" max="11" width="3.5" style="91" bestFit="1" customWidth="1"/>
    <col min="12" max="12" width="5.6640625" style="91" bestFit="1" customWidth="1"/>
    <col min="13" max="13" width="3.5" style="91" customWidth="1"/>
    <col min="14" max="14" width="5.5" style="91" bestFit="1" customWidth="1"/>
    <col min="15" max="15" width="3" style="91" bestFit="1" customWidth="1"/>
    <col min="16" max="16" width="5.5" style="91" bestFit="1" customWidth="1"/>
    <col min="17" max="17" width="4" style="91" bestFit="1" customWidth="1"/>
    <col min="18" max="18" width="5.83203125" style="91" bestFit="1" customWidth="1"/>
    <col min="19" max="19" width="3.5" style="91" bestFit="1" customWidth="1"/>
    <col min="20" max="20" width="5.5" style="91" bestFit="1" customWidth="1"/>
    <col min="21" max="21" width="3.5" style="91" bestFit="1" customWidth="1"/>
    <col min="22" max="22" width="5.5" style="91" bestFit="1" customWidth="1"/>
    <col min="23" max="23" width="3.5" style="91" bestFit="1" customWidth="1"/>
    <col min="24" max="24" width="5.5" style="91" bestFit="1" customWidth="1"/>
    <col min="25" max="25" width="3.5" style="91" customWidth="1"/>
    <col min="26" max="26" width="5.5" style="91" bestFit="1" customWidth="1"/>
    <col min="27" max="27" width="3.5" style="91" customWidth="1"/>
    <col min="28" max="28" width="5.5" style="91" bestFit="1" customWidth="1"/>
    <col min="29" max="29" width="6.5" style="91" bestFit="1" customWidth="1"/>
    <col min="30" max="30" width="8.83203125" style="91"/>
    <col min="31" max="57" width="8.83203125" style="90"/>
    <col min="58" max="16384" width="8.83203125" style="91"/>
  </cols>
  <sheetData>
    <row r="1" spans="1:57" ht="14" customHeight="1" x14ac:dyDescent="0.2">
      <c r="A1" s="85" t="s">
        <v>190</v>
      </c>
      <c r="B1" s="148"/>
      <c r="C1" s="148"/>
      <c r="D1" s="148"/>
      <c r="E1" s="148"/>
      <c r="F1" s="148"/>
      <c r="G1" s="148"/>
      <c r="H1" s="305"/>
      <c r="I1" s="377" t="s">
        <v>191</v>
      </c>
      <c r="J1" s="377"/>
      <c r="K1" s="377"/>
      <c r="L1" s="377"/>
      <c r="M1" s="377"/>
      <c r="N1" s="377"/>
      <c r="O1" s="377"/>
      <c r="P1" s="377"/>
      <c r="Q1" s="377"/>
      <c r="R1" s="377"/>
      <c r="S1" s="377"/>
      <c r="T1" s="377"/>
      <c r="U1" s="377"/>
      <c r="V1" s="377"/>
      <c r="W1" s="377"/>
      <c r="X1" s="377"/>
      <c r="Y1" s="377"/>
      <c r="Z1" s="148"/>
      <c r="AA1" s="148"/>
      <c r="AB1" s="148"/>
      <c r="AC1" s="90"/>
      <c r="AD1" s="90"/>
      <c r="BE1" s="91"/>
    </row>
    <row r="2" spans="1:57" s="290" customFormat="1" ht="11" customHeight="1" x14ac:dyDescent="0.2">
      <c r="A2" s="288" t="s">
        <v>194</v>
      </c>
      <c r="B2" s="288"/>
      <c r="C2" s="288"/>
      <c r="D2" s="288"/>
      <c r="E2" s="288"/>
      <c r="F2" s="288"/>
      <c r="G2" s="288"/>
      <c r="H2" s="306"/>
      <c r="I2" s="378"/>
      <c r="J2" s="378"/>
      <c r="K2" s="378"/>
      <c r="L2" s="378"/>
      <c r="M2" s="378"/>
      <c r="N2" s="378"/>
      <c r="O2" s="378"/>
      <c r="P2" s="378"/>
      <c r="Q2" s="378"/>
      <c r="R2" s="378"/>
      <c r="S2" s="378"/>
      <c r="T2" s="378"/>
      <c r="U2" s="378"/>
      <c r="V2" s="378"/>
      <c r="W2" s="378"/>
      <c r="X2" s="378"/>
      <c r="Y2" s="378"/>
      <c r="Z2" s="289"/>
      <c r="AA2" s="289"/>
      <c r="AB2" s="289"/>
      <c r="AC2" s="289"/>
      <c r="AD2" s="289"/>
      <c r="AE2" s="289"/>
      <c r="AF2" s="289"/>
      <c r="AG2" s="289"/>
      <c r="AH2" s="289"/>
      <c r="AI2" s="289"/>
      <c r="AJ2" s="289"/>
      <c r="AK2" s="289"/>
      <c r="AL2" s="289"/>
      <c r="AM2" s="289"/>
      <c r="AN2" s="289"/>
      <c r="AO2" s="289"/>
      <c r="AP2" s="289"/>
      <c r="AQ2" s="289"/>
      <c r="AR2" s="289"/>
      <c r="AS2" s="289"/>
      <c r="AT2" s="289"/>
      <c r="AU2" s="289"/>
      <c r="AV2" s="289"/>
      <c r="AW2" s="289"/>
      <c r="AX2" s="289"/>
      <c r="AY2" s="289"/>
      <c r="AZ2" s="289"/>
      <c r="BA2" s="289"/>
      <c r="BB2" s="289"/>
      <c r="BC2" s="289"/>
      <c r="BD2" s="289"/>
    </row>
    <row r="3" spans="1:57" x14ac:dyDescent="0.2">
      <c r="A3" s="211" t="s">
        <v>193</v>
      </c>
      <c r="B3" s="286"/>
      <c r="C3" s="286"/>
      <c r="D3" s="286"/>
      <c r="E3" s="286"/>
      <c r="F3" s="286"/>
      <c r="G3" s="286"/>
      <c r="H3" s="286"/>
      <c r="I3" s="286"/>
      <c r="J3" s="286"/>
      <c r="K3" s="286"/>
      <c r="L3" s="286"/>
      <c r="M3" s="286"/>
      <c r="N3" s="286"/>
      <c r="O3" s="286"/>
      <c r="P3" s="286"/>
      <c r="Q3" s="286"/>
      <c r="R3" s="286"/>
      <c r="S3" s="286"/>
      <c r="T3" s="286"/>
      <c r="U3" s="286"/>
      <c r="V3" s="286"/>
      <c r="W3" s="286"/>
      <c r="X3" s="286"/>
      <c r="Y3" s="287"/>
      <c r="Z3" s="90"/>
      <c r="AA3" s="90"/>
      <c r="AB3" s="90"/>
      <c r="AC3" s="90"/>
      <c r="AD3" s="90"/>
      <c r="AZ3" s="91"/>
      <c r="BA3" s="91"/>
      <c r="BB3" s="91"/>
      <c r="BC3" s="91"/>
      <c r="BD3" s="91"/>
      <c r="BE3" s="91"/>
    </row>
    <row r="4" spans="1:57" x14ac:dyDescent="0.2">
      <c r="A4" s="160" t="s">
        <v>25</v>
      </c>
      <c r="B4" s="379" t="s">
        <v>0</v>
      </c>
      <c r="C4" s="380"/>
      <c r="D4" s="380"/>
      <c r="E4" s="380"/>
      <c r="F4" s="380"/>
      <c r="G4" s="380"/>
      <c r="H4" s="380"/>
      <c r="I4" s="380"/>
      <c r="J4" s="380"/>
      <c r="K4" s="380"/>
      <c r="L4" s="379" t="s">
        <v>1</v>
      </c>
      <c r="M4" s="380"/>
      <c r="N4" s="380"/>
      <c r="O4" s="380"/>
      <c r="P4" s="380"/>
      <c r="Q4" s="380"/>
      <c r="R4" s="380"/>
      <c r="S4" s="380"/>
      <c r="T4" s="380"/>
      <c r="U4" s="380"/>
      <c r="V4" s="380"/>
      <c r="W4" s="380"/>
      <c r="X4" s="380"/>
      <c r="Y4" s="381"/>
      <c r="Z4" s="90"/>
      <c r="AA4" s="90"/>
      <c r="AB4" s="90"/>
      <c r="AC4" s="90"/>
      <c r="AD4" s="90"/>
      <c r="BA4" s="91"/>
      <c r="BB4" s="91"/>
      <c r="BC4" s="91"/>
      <c r="BD4" s="91"/>
      <c r="BE4" s="91"/>
    </row>
    <row r="5" spans="1:57" s="150" customFormat="1" x14ac:dyDescent="0.2">
      <c r="A5" s="161"/>
      <c r="B5" s="366"/>
      <c r="C5" s="367"/>
      <c r="D5" s="365"/>
      <c r="E5" s="365"/>
      <c r="F5" s="368"/>
      <c r="G5" s="368"/>
      <c r="H5" s="368"/>
      <c r="I5" s="368"/>
      <c r="J5" s="375" t="s">
        <v>23</v>
      </c>
      <c r="K5" s="367"/>
      <c r="L5" s="366"/>
      <c r="M5" s="367"/>
      <c r="N5" s="365"/>
      <c r="O5" s="365"/>
      <c r="P5" s="368"/>
      <c r="Q5" s="368"/>
      <c r="R5" s="368"/>
      <c r="S5" s="368"/>
      <c r="T5" s="368" t="s">
        <v>23</v>
      </c>
      <c r="U5" s="368"/>
      <c r="V5" s="368" t="s">
        <v>22</v>
      </c>
      <c r="W5" s="368"/>
      <c r="X5" s="367"/>
      <c r="Y5" s="36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row>
    <row r="6" spans="1:57" s="150" customFormat="1" x14ac:dyDescent="0.2">
      <c r="A6" s="161"/>
      <c r="B6" s="373" t="s">
        <v>2</v>
      </c>
      <c r="C6" s="371"/>
      <c r="D6" s="374" t="s">
        <v>3</v>
      </c>
      <c r="E6" s="374"/>
      <c r="F6" s="370" t="s">
        <v>4</v>
      </c>
      <c r="G6" s="370"/>
      <c r="H6" s="370" t="s">
        <v>5</v>
      </c>
      <c r="I6" s="370"/>
      <c r="J6" s="376" t="s">
        <v>6</v>
      </c>
      <c r="K6" s="371"/>
      <c r="L6" s="373" t="s">
        <v>2</v>
      </c>
      <c r="M6" s="371"/>
      <c r="N6" s="374" t="s">
        <v>3</v>
      </c>
      <c r="O6" s="374"/>
      <c r="P6" s="370" t="s">
        <v>4</v>
      </c>
      <c r="Q6" s="370"/>
      <c r="R6" s="370" t="s">
        <v>5</v>
      </c>
      <c r="S6" s="370"/>
      <c r="T6" s="370" t="s">
        <v>6</v>
      </c>
      <c r="U6" s="370"/>
      <c r="V6" s="370" t="s">
        <v>7</v>
      </c>
      <c r="W6" s="370"/>
      <c r="X6" s="371" t="s">
        <v>7</v>
      </c>
      <c r="Y6" s="372"/>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row>
    <row r="7" spans="1:57" x14ac:dyDescent="0.2">
      <c r="A7" s="98" t="s">
        <v>154</v>
      </c>
      <c r="B7" s="267">
        <v>1200</v>
      </c>
      <c r="C7" s="266" t="s">
        <v>158</v>
      </c>
      <c r="D7" s="257">
        <f>'Peanut Price Calculator'!B10</f>
        <v>4700</v>
      </c>
      <c r="E7" s="258" t="s">
        <v>158</v>
      </c>
      <c r="F7" s="261">
        <v>200</v>
      </c>
      <c r="G7" s="262" t="s">
        <v>161</v>
      </c>
      <c r="H7" s="261">
        <v>60</v>
      </c>
      <c r="I7" s="262" t="s">
        <v>161</v>
      </c>
      <c r="J7" s="261">
        <v>100</v>
      </c>
      <c r="K7" s="266" t="s">
        <v>161</v>
      </c>
      <c r="L7" s="268">
        <v>750</v>
      </c>
      <c r="M7" s="266" t="s">
        <v>158</v>
      </c>
      <c r="N7" s="257">
        <f>'Peanut Price Calculator'!B21</f>
        <v>3400</v>
      </c>
      <c r="O7" s="258" t="s">
        <v>158</v>
      </c>
      <c r="P7" s="261">
        <v>85</v>
      </c>
      <c r="Q7" s="262" t="s">
        <v>161</v>
      </c>
      <c r="R7" s="261">
        <v>30</v>
      </c>
      <c r="S7" s="262" t="s">
        <v>161</v>
      </c>
      <c r="T7" s="261">
        <v>65</v>
      </c>
      <c r="U7" s="262" t="s">
        <v>161</v>
      </c>
      <c r="V7" s="261">
        <v>75</v>
      </c>
      <c r="W7" s="262" t="s">
        <v>161</v>
      </c>
      <c r="X7" s="263">
        <v>55</v>
      </c>
      <c r="Y7" s="264" t="s">
        <v>161</v>
      </c>
      <c r="Z7" s="90"/>
      <c r="AA7" s="90"/>
      <c r="AB7" s="90"/>
      <c r="AC7" s="90"/>
      <c r="AD7" s="90"/>
      <c r="BB7" s="91"/>
      <c r="BC7" s="91"/>
      <c r="BD7" s="91"/>
      <c r="BE7" s="91"/>
    </row>
    <row r="8" spans="1:57" ht="15" thickBot="1" x14ac:dyDescent="0.25">
      <c r="A8" s="99" t="s">
        <v>124</v>
      </c>
      <c r="B8" s="256">
        <v>0.76</v>
      </c>
      <c r="C8" s="255" t="s">
        <v>159</v>
      </c>
      <c r="D8" s="259">
        <f>'Peanut Price Calculator'!B17</f>
        <v>512.5</v>
      </c>
      <c r="E8" s="260" t="s">
        <v>160</v>
      </c>
      <c r="F8" s="252">
        <v>5.4</v>
      </c>
      <c r="G8" s="249" t="s">
        <v>162</v>
      </c>
      <c r="H8" s="252">
        <v>11.5</v>
      </c>
      <c r="I8" s="249" t="s">
        <v>162</v>
      </c>
      <c r="J8" s="252">
        <v>5.2</v>
      </c>
      <c r="K8" s="255" t="s">
        <v>162</v>
      </c>
      <c r="L8" s="282">
        <f>B8</f>
        <v>0.76</v>
      </c>
      <c r="M8" s="255" t="s">
        <v>159</v>
      </c>
      <c r="N8" s="259">
        <f>'Peanut Price Calculator'!B28</f>
        <v>512.5</v>
      </c>
      <c r="O8" s="260" t="s">
        <v>160</v>
      </c>
      <c r="P8" s="248">
        <f>F8</f>
        <v>5.4</v>
      </c>
      <c r="Q8" s="249" t="s">
        <v>162</v>
      </c>
      <c r="R8" s="248">
        <f>H8</f>
        <v>11.5</v>
      </c>
      <c r="S8" s="249" t="s">
        <v>162</v>
      </c>
      <c r="T8" s="248">
        <f>J8</f>
        <v>5.2</v>
      </c>
      <c r="U8" s="249" t="s">
        <v>162</v>
      </c>
      <c r="V8" s="252">
        <v>5.9</v>
      </c>
      <c r="W8" s="249" t="s">
        <v>162</v>
      </c>
      <c r="X8" s="250">
        <f>V8</f>
        <v>5.9</v>
      </c>
      <c r="Y8" s="251" t="s">
        <v>162</v>
      </c>
      <c r="Z8" s="90"/>
      <c r="AA8" s="90"/>
      <c r="AB8" s="90"/>
      <c r="AC8" s="90"/>
      <c r="AD8" s="90"/>
      <c r="BB8" s="91"/>
      <c r="BC8" s="91"/>
      <c r="BD8" s="91"/>
      <c r="BE8" s="91"/>
    </row>
    <row r="9" spans="1:57" x14ac:dyDescent="0.2">
      <c r="A9" s="100" t="s">
        <v>155</v>
      </c>
      <c r="B9" s="360">
        <f>B7*B8</f>
        <v>912</v>
      </c>
      <c r="C9" s="353"/>
      <c r="D9" s="355">
        <f>D8*(D7/2000)</f>
        <v>1204.375</v>
      </c>
      <c r="E9" s="355"/>
      <c r="F9" s="355">
        <f>F7*F8</f>
        <v>1080</v>
      </c>
      <c r="G9" s="355"/>
      <c r="H9" s="355">
        <f>H7*H8</f>
        <v>690</v>
      </c>
      <c r="I9" s="355"/>
      <c r="J9" s="362">
        <f>J7*J8</f>
        <v>520</v>
      </c>
      <c r="K9" s="353"/>
      <c r="L9" s="360">
        <f>L7*L8</f>
        <v>570</v>
      </c>
      <c r="M9" s="353"/>
      <c r="N9" s="355">
        <f>N8*(N7/2000)</f>
        <v>871.25</v>
      </c>
      <c r="O9" s="355"/>
      <c r="P9" s="355">
        <f>P7*P8</f>
        <v>459.00000000000006</v>
      </c>
      <c r="Q9" s="355"/>
      <c r="R9" s="355">
        <f>R7*R8</f>
        <v>345</v>
      </c>
      <c r="S9" s="355"/>
      <c r="T9" s="355">
        <f>T7*T8</f>
        <v>338</v>
      </c>
      <c r="U9" s="355"/>
      <c r="V9" s="355">
        <f>V7*V8</f>
        <v>442.5</v>
      </c>
      <c r="W9" s="355"/>
      <c r="X9" s="353">
        <f>X7*X8</f>
        <v>324.5</v>
      </c>
      <c r="Y9" s="354"/>
      <c r="Z9" s="90"/>
      <c r="AA9" s="90"/>
      <c r="AB9" s="90"/>
      <c r="AC9" s="90"/>
      <c r="AD9" s="90"/>
      <c r="BB9" s="91"/>
      <c r="BC9" s="91"/>
      <c r="BD9" s="91"/>
      <c r="BE9" s="91"/>
    </row>
    <row r="10" spans="1:57" x14ac:dyDescent="0.2">
      <c r="A10" s="101" t="s">
        <v>156</v>
      </c>
      <c r="B10" s="350"/>
      <c r="C10" s="347"/>
      <c r="D10" s="349"/>
      <c r="E10" s="349"/>
      <c r="F10" s="349"/>
      <c r="G10" s="349"/>
      <c r="H10" s="349"/>
      <c r="I10" s="349"/>
      <c r="J10" s="358"/>
      <c r="K10" s="347"/>
      <c r="L10" s="350"/>
      <c r="M10" s="347"/>
      <c r="N10" s="349"/>
      <c r="O10" s="349"/>
      <c r="P10" s="349"/>
      <c r="Q10" s="349"/>
      <c r="R10" s="349"/>
      <c r="S10" s="349"/>
      <c r="T10" s="349"/>
      <c r="U10" s="349"/>
      <c r="V10" s="278"/>
      <c r="W10" s="277"/>
      <c r="X10" s="347"/>
      <c r="Y10" s="348"/>
      <c r="Z10" s="90"/>
      <c r="AA10" s="90"/>
      <c r="AB10" s="90"/>
      <c r="AC10" s="90"/>
      <c r="AD10" s="90"/>
      <c r="BB10" s="91"/>
      <c r="BC10" s="91"/>
      <c r="BD10" s="91"/>
      <c r="BE10" s="91"/>
    </row>
    <row r="11" spans="1:57" x14ac:dyDescent="0.2">
      <c r="A11" s="95" t="s">
        <v>24</v>
      </c>
      <c r="B11" s="361">
        <v>104.18</v>
      </c>
      <c r="C11" s="351"/>
      <c r="D11" s="356">
        <v>126</v>
      </c>
      <c r="E11" s="357"/>
      <c r="F11" s="359">
        <v>124.8</v>
      </c>
      <c r="G11" s="359"/>
      <c r="H11" s="356">
        <v>66.25</v>
      </c>
      <c r="I11" s="357"/>
      <c r="J11" s="356">
        <v>27</v>
      </c>
      <c r="K11" s="351"/>
      <c r="L11" s="361">
        <f>B11</f>
        <v>104.18</v>
      </c>
      <c r="M11" s="351"/>
      <c r="N11" s="359">
        <v>126</v>
      </c>
      <c r="O11" s="359"/>
      <c r="P11" s="359">
        <v>78</v>
      </c>
      <c r="Q11" s="359"/>
      <c r="R11" s="356">
        <f>H11</f>
        <v>66.25</v>
      </c>
      <c r="S11" s="357"/>
      <c r="T11" s="359">
        <v>16.5</v>
      </c>
      <c r="U11" s="359"/>
      <c r="V11" s="359">
        <v>68.75</v>
      </c>
      <c r="W11" s="359"/>
      <c r="X11" s="351">
        <v>45</v>
      </c>
      <c r="Y11" s="352"/>
      <c r="Z11" s="90"/>
      <c r="AA11" s="90"/>
      <c r="AB11" s="90"/>
      <c r="AC11" s="90"/>
      <c r="AD11" s="90"/>
      <c r="BB11" s="91"/>
      <c r="BC11" s="91"/>
      <c r="BD11" s="91"/>
      <c r="BE11" s="91"/>
    </row>
    <row r="12" spans="1:57" x14ac:dyDescent="0.2">
      <c r="A12" s="95" t="s">
        <v>8</v>
      </c>
      <c r="B12" s="322">
        <f>B7/495*0.75</f>
        <v>1.8181818181818183</v>
      </c>
      <c r="C12" s="323"/>
      <c r="D12" s="313"/>
      <c r="E12" s="313"/>
      <c r="F12" s="313"/>
      <c r="G12" s="313"/>
      <c r="H12" s="313"/>
      <c r="I12" s="313"/>
      <c r="J12" s="323"/>
      <c r="K12" s="323"/>
      <c r="L12" s="322">
        <f>L7/495*0.75</f>
        <v>1.1363636363636362</v>
      </c>
      <c r="M12" s="323"/>
      <c r="N12" s="313"/>
      <c r="O12" s="313"/>
      <c r="P12" s="313"/>
      <c r="Q12" s="313"/>
      <c r="R12" s="313"/>
      <c r="S12" s="313"/>
      <c r="T12" s="313"/>
      <c r="U12" s="313"/>
      <c r="V12" s="313"/>
      <c r="W12" s="313"/>
      <c r="X12" s="323"/>
      <c r="Y12" s="330"/>
      <c r="Z12" s="90"/>
      <c r="AA12" s="90"/>
      <c r="AB12" s="90"/>
      <c r="AC12" s="90"/>
      <c r="AD12" s="90"/>
      <c r="BB12" s="91"/>
      <c r="BC12" s="91"/>
      <c r="BD12" s="91"/>
      <c r="BE12" s="91"/>
    </row>
    <row r="13" spans="1:57" x14ac:dyDescent="0.2">
      <c r="A13" s="95" t="s">
        <v>27</v>
      </c>
      <c r="B13" s="322">
        <f>18.15+6.95+B7*0.075*$D$46+0.0583*B7*$F$46+0.0583*B7*$H$46</f>
        <v>168.55399999999997</v>
      </c>
      <c r="C13" s="323"/>
      <c r="D13" s="313">
        <f>9.25+67.5+6.9</f>
        <v>83.65</v>
      </c>
      <c r="E13" s="313"/>
      <c r="F13" s="313">
        <f>27.5+F7*1.2*$D$46+F7*0.5*$F$46+F7*$H$46</f>
        <v>360.5</v>
      </c>
      <c r="G13" s="313"/>
      <c r="H13" s="313">
        <f>18.15+6.9+0.6667*H7*$F$46+1.333*H7*$H$46+6.5</f>
        <v>97.541300000000007</v>
      </c>
      <c r="I13" s="313"/>
      <c r="J13" s="323">
        <f>27.5+1.25*J7*$D$46+0.6*J7*$F$46+0.9*J7*$H$46</f>
        <v>199</v>
      </c>
      <c r="K13" s="323"/>
      <c r="L13" s="322">
        <f>18.15+6.95+0.08*L7*$D$46+0.0667*L7*$F$46+0.0667*L7*$H$46</f>
        <v>124.62875</v>
      </c>
      <c r="M13" s="323"/>
      <c r="N13" s="313">
        <f>9.25+67.5+6.9</f>
        <v>83.65</v>
      </c>
      <c r="O13" s="313"/>
      <c r="P13" s="313">
        <f>13.75+P7*1.1765*$D$46+0.4706*P7*$F$46+0.7059*P7*$H$46</f>
        <v>139.75315000000001</v>
      </c>
      <c r="Q13" s="313"/>
      <c r="R13" s="310">
        <f>6.5+18.15+1.3333*R7*$F$46+2.6667*R7*$H$46+6.9</f>
        <v>97.549850000000006</v>
      </c>
      <c r="S13" s="311"/>
      <c r="T13" s="313">
        <f>13.75+1.2308*T7*$D$46+0.6154*T7*$F$46+0.9231*T7*$H$46</f>
        <v>125.75279999999999</v>
      </c>
      <c r="U13" s="313"/>
      <c r="V13" s="313">
        <f>13.75+1.6*V7*$D$46+0.6667*V7*$F$46+0.8*V7*$H$46</f>
        <v>160.25162499999999</v>
      </c>
      <c r="W13" s="313"/>
      <c r="X13" s="323">
        <f>13.75+1.4545*X7*$D$46+0.7273*X7*$F$46+0.7273*X7*$H$46</f>
        <v>115.74997499999998</v>
      </c>
      <c r="Y13" s="330"/>
      <c r="Z13" s="90"/>
      <c r="AA13" s="283"/>
      <c r="AB13" s="90"/>
      <c r="AC13" s="90"/>
      <c r="AD13" s="90"/>
      <c r="BB13" s="91"/>
      <c r="BC13" s="91"/>
      <c r="BD13" s="91"/>
      <c r="BE13" s="91"/>
    </row>
    <row r="14" spans="1:57" x14ac:dyDescent="0.2">
      <c r="A14" s="95" t="s">
        <v>125</v>
      </c>
      <c r="B14" s="322"/>
      <c r="C14" s="323"/>
      <c r="D14" s="313"/>
      <c r="E14" s="313"/>
      <c r="F14" s="313"/>
      <c r="G14" s="313"/>
      <c r="H14" s="313"/>
      <c r="I14" s="313"/>
      <c r="J14" s="323"/>
      <c r="K14" s="323"/>
      <c r="L14" s="322"/>
      <c r="M14" s="323"/>
      <c r="N14" s="313"/>
      <c r="O14" s="313"/>
      <c r="P14" s="313"/>
      <c r="Q14" s="313"/>
      <c r="R14" s="313"/>
      <c r="S14" s="313"/>
      <c r="T14" s="313"/>
      <c r="U14" s="313"/>
      <c r="V14" s="313"/>
      <c r="W14" s="313"/>
      <c r="X14" s="323"/>
      <c r="Y14" s="330"/>
      <c r="Z14" s="90"/>
      <c r="AA14" s="283"/>
      <c r="AB14" s="90"/>
      <c r="AC14" s="90"/>
      <c r="AD14" s="90"/>
      <c r="BB14" s="91"/>
      <c r="BC14" s="91"/>
      <c r="BD14" s="91"/>
      <c r="BE14" s="91"/>
    </row>
    <row r="15" spans="1:57" x14ac:dyDescent="0.2">
      <c r="A15" s="95" t="s">
        <v>9</v>
      </c>
      <c r="B15" s="322">
        <f>((53.69+80.97)/2+20.56+19.62+12.83+2.88)</f>
        <v>123.22</v>
      </c>
      <c r="C15" s="323"/>
      <c r="D15" s="313">
        <f>35.01+41.55+87.97+32</f>
        <v>196.53</v>
      </c>
      <c r="E15" s="313"/>
      <c r="F15" s="313">
        <f>14.9+8.45+12</f>
        <v>35.35</v>
      </c>
      <c r="G15" s="313"/>
      <c r="H15" s="313">
        <f>29.94+3.65+14.7</f>
        <v>48.290000000000006</v>
      </c>
      <c r="I15" s="313"/>
      <c r="J15" s="323">
        <f>17.85+10.38</f>
        <v>28.230000000000004</v>
      </c>
      <c r="K15" s="323"/>
      <c r="L15" s="322">
        <f>((53.69+80.97)/2+20.56+1.56+19.62+12.83)</f>
        <v>121.9</v>
      </c>
      <c r="M15" s="323"/>
      <c r="N15" s="313">
        <f>50.57+41.55+37.3</f>
        <v>129.42000000000002</v>
      </c>
      <c r="O15" s="313"/>
      <c r="P15" s="313">
        <f>14.9+8.45+12</f>
        <v>35.35</v>
      </c>
      <c r="Q15" s="313"/>
      <c r="R15" s="313">
        <f>28.15+3.65</f>
        <v>31.799999999999997</v>
      </c>
      <c r="S15" s="313"/>
      <c r="T15" s="313">
        <f>17.85+10.38</f>
        <v>28.230000000000004</v>
      </c>
      <c r="U15" s="313"/>
      <c r="V15" s="313">
        <f>23.05+1.43+49.45</f>
        <v>73.930000000000007</v>
      </c>
      <c r="W15" s="313"/>
      <c r="X15" s="323">
        <f>17.65+1.43+44.53</f>
        <v>63.61</v>
      </c>
      <c r="Y15" s="330"/>
      <c r="Z15" s="90"/>
      <c r="AA15" s="283"/>
      <c r="AB15" s="90"/>
      <c r="AC15" s="90"/>
      <c r="AD15" s="90"/>
      <c r="BB15" s="91"/>
      <c r="BC15" s="91"/>
      <c r="BD15" s="91"/>
      <c r="BE15" s="91"/>
    </row>
    <row r="16" spans="1:57" x14ac:dyDescent="0.2">
      <c r="A16" s="95" t="s">
        <v>172</v>
      </c>
      <c r="B16" s="212"/>
      <c r="C16" s="213"/>
      <c r="D16" s="310"/>
      <c r="E16" s="311"/>
      <c r="F16" s="310"/>
      <c r="G16" s="311"/>
      <c r="H16" s="310"/>
      <c r="I16" s="311"/>
      <c r="J16" s="213"/>
      <c r="K16" s="213"/>
      <c r="L16" s="212"/>
      <c r="M16" s="213"/>
      <c r="N16" s="310"/>
      <c r="O16" s="311"/>
      <c r="P16" s="310"/>
      <c r="Q16" s="311"/>
      <c r="R16" s="310"/>
      <c r="S16" s="311"/>
      <c r="T16" s="310"/>
      <c r="U16" s="311"/>
      <c r="V16" s="310">
        <v>8.5</v>
      </c>
      <c r="W16" s="311"/>
      <c r="X16" s="310">
        <v>8.5</v>
      </c>
      <c r="Y16" s="330"/>
      <c r="Z16" s="90"/>
      <c r="AA16" s="90"/>
      <c r="AB16" s="90"/>
      <c r="AC16" s="90"/>
      <c r="AD16" s="90"/>
      <c r="BB16" s="91"/>
      <c r="BC16" s="91"/>
      <c r="BD16" s="91"/>
      <c r="BE16" s="91"/>
    </row>
    <row r="17" spans="1:57" x14ac:dyDescent="0.2">
      <c r="A17" s="95" t="s">
        <v>173</v>
      </c>
      <c r="B17" s="322">
        <v>18</v>
      </c>
      <c r="C17" s="323"/>
      <c r="D17" s="313">
        <v>18</v>
      </c>
      <c r="E17" s="313"/>
      <c r="F17" s="313"/>
      <c r="G17" s="313"/>
      <c r="H17" s="313"/>
      <c r="I17" s="313"/>
      <c r="J17" s="323"/>
      <c r="K17" s="323"/>
      <c r="L17" s="322">
        <v>18</v>
      </c>
      <c r="M17" s="323"/>
      <c r="N17" s="313">
        <v>18</v>
      </c>
      <c r="O17" s="313"/>
      <c r="P17" s="313"/>
      <c r="Q17" s="313"/>
      <c r="R17" s="313"/>
      <c r="S17" s="313"/>
      <c r="T17" s="313"/>
      <c r="U17" s="313"/>
      <c r="V17" s="313"/>
      <c r="W17" s="313"/>
      <c r="X17" s="323"/>
      <c r="Y17" s="330"/>
      <c r="Z17" s="90"/>
      <c r="AA17" s="90"/>
      <c r="AB17" s="90"/>
      <c r="AC17" s="90"/>
      <c r="AD17" s="90"/>
      <c r="BB17" s="91"/>
      <c r="BC17" s="91"/>
      <c r="BD17" s="91"/>
      <c r="BE17" s="91"/>
    </row>
    <row r="18" spans="1:57" x14ac:dyDescent="0.2">
      <c r="A18" s="95" t="s">
        <v>10</v>
      </c>
      <c r="B18" s="322">
        <v>12.5</v>
      </c>
      <c r="C18" s="323"/>
      <c r="D18" s="313">
        <v>12.5</v>
      </c>
      <c r="E18" s="313"/>
      <c r="F18" s="313"/>
      <c r="G18" s="313"/>
      <c r="H18" s="313"/>
      <c r="I18" s="313"/>
      <c r="J18" s="323"/>
      <c r="K18" s="323"/>
      <c r="L18" s="322">
        <v>12.5</v>
      </c>
      <c r="M18" s="323"/>
      <c r="N18" s="313">
        <v>12.5</v>
      </c>
      <c r="O18" s="313"/>
      <c r="P18" s="313"/>
      <c r="Q18" s="313"/>
      <c r="R18" s="313"/>
      <c r="S18" s="313"/>
      <c r="T18" s="313"/>
      <c r="U18" s="313"/>
      <c r="V18" s="313"/>
      <c r="W18" s="313"/>
      <c r="X18" s="323"/>
      <c r="Y18" s="330"/>
      <c r="Z18" s="90"/>
      <c r="AA18" s="90"/>
      <c r="AB18" s="90"/>
      <c r="AC18" s="90"/>
      <c r="AD18" s="90"/>
      <c r="BB18" s="91"/>
      <c r="BC18" s="91"/>
      <c r="BD18" s="91"/>
      <c r="BE18" s="91"/>
    </row>
    <row r="19" spans="1:57" x14ac:dyDescent="0.2">
      <c r="A19" s="95" t="s">
        <v>28</v>
      </c>
      <c r="B19" s="322">
        <f>(4.6+7.6)*$B$47</f>
        <v>48.8</v>
      </c>
      <c r="C19" s="323"/>
      <c r="D19" s="313">
        <f>(9.7+7.9)*$B$47</f>
        <v>70.400000000000006</v>
      </c>
      <c r="E19" s="313"/>
      <c r="F19" s="313">
        <f>7.8*$B$47</f>
        <v>31.2</v>
      </c>
      <c r="G19" s="313"/>
      <c r="H19" s="313">
        <f>6.9*$B$47</f>
        <v>27.6</v>
      </c>
      <c r="I19" s="313"/>
      <c r="J19" s="323">
        <f>7.8*$B$47</f>
        <v>31.2</v>
      </c>
      <c r="K19" s="323"/>
      <c r="L19" s="322">
        <f>(4.6+7.6)*$B$47</f>
        <v>48.8</v>
      </c>
      <c r="M19" s="323"/>
      <c r="N19" s="313">
        <f>(9.7+7.9)*$B$47</f>
        <v>70.400000000000006</v>
      </c>
      <c r="O19" s="313"/>
      <c r="P19" s="313">
        <f>7.8*B47</f>
        <v>31.2</v>
      </c>
      <c r="Q19" s="313"/>
      <c r="R19" s="313">
        <f>6.9*$B$47</f>
        <v>27.6</v>
      </c>
      <c r="S19" s="313"/>
      <c r="T19" s="313">
        <f>J19</f>
        <v>31.2</v>
      </c>
      <c r="U19" s="313"/>
      <c r="V19" s="313">
        <f>6.5*$B$47</f>
        <v>26</v>
      </c>
      <c r="W19" s="313"/>
      <c r="X19" s="323">
        <f>6.3*$B$47</f>
        <v>25.2</v>
      </c>
      <c r="Y19" s="330"/>
      <c r="Z19" s="90"/>
      <c r="AA19" s="90"/>
      <c r="AB19" s="90"/>
      <c r="AC19" s="90"/>
      <c r="AD19" s="90"/>
      <c r="BB19" s="91"/>
      <c r="BC19" s="91"/>
      <c r="BD19" s="91"/>
      <c r="BE19" s="91"/>
    </row>
    <row r="20" spans="1:57" x14ac:dyDescent="0.2">
      <c r="A20" s="95" t="s">
        <v>11</v>
      </c>
      <c r="B20" s="322">
        <f>16+(33.96+27.75)/2</f>
        <v>46.855000000000004</v>
      </c>
      <c r="C20" s="323"/>
      <c r="D20" s="313">
        <f>27.4+34.06</f>
        <v>61.46</v>
      </c>
      <c r="E20" s="313"/>
      <c r="F20" s="313">
        <f>18.04+10.2</f>
        <v>28.24</v>
      </c>
      <c r="G20" s="313"/>
      <c r="H20" s="313">
        <f>15.74+7.71</f>
        <v>23.45</v>
      </c>
      <c r="I20" s="313"/>
      <c r="J20" s="313">
        <f>18.89+7.22</f>
        <v>26.11</v>
      </c>
      <c r="K20" s="313"/>
      <c r="L20" s="322">
        <f>16+(33.96+27.75)/2</f>
        <v>46.855000000000004</v>
      </c>
      <c r="M20" s="323"/>
      <c r="N20" s="313">
        <f>D20</f>
        <v>61.46</v>
      </c>
      <c r="O20" s="313"/>
      <c r="P20" s="313">
        <f>F20</f>
        <v>28.24</v>
      </c>
      <c r="Q20" s="313"/>
      <c r="R20" s="313">
        <f>H20</f>
        <v>23.45</v>
      </c>
      <c r="S20" s="313"/>
      <c r="T20" s="310">
        <f>J20</f>
        <v>26.11</v>
      </c>
      <c r="U20" s="330"/>
      <c r="V20" s="313">
        <f>10+7.04</f>
        <v>17.04</v>
      </c>
      <c r="W20" s="313"/>
      <c r="X20" s="323">
        <f>9.55+7.04</f>
        <v>16.59</v>
      </c>
      <c r="Y20" s="330"/>
      <c r="Z20" s="90"/>
      <c r="AA20" s="90"/>
      <c r="AB20" s="90"/>
      <c r="AC20" s="90"/>
      <c r="AD20" s="149"/>
      <c r="BB20" s="91"/>
      <c r="BC20" s="91"/>
      <c r="BD20" s="91"/>
      <c r="BE20" s="91"/>
    </row>
    <row r="21" spans="1:57" x14ac:dyDescent="0.2">
      <c r="A21" s="95" t="s">
        <v>29</v>
      </c>
      <c r="B21" s="322">
        <f>((8*9)*0.67+(4*$B$47*8)*0.33)</f>
        <v>90.48</v>
      </c>
      <c r="C21" s="323"/>
      <c r="D21" s="313">
        <f>((9*6)*0.67+(4*$B$47*6)*0.33)</f>
        <v>67.86</v>
      </c>
      <c r="E21" s="313"/>
      <c r="F21" s="310">
        <f>((9*8)*0.67+(4*$B$47*8)*0.33)</f>
        <v>90.48</v>
      </c>
      <c r="G21" s="311"/>
      <c r="H21" s="313">
        <f>((9*5)*0.67+(4*$B$47*5)*0.33)</f>
        <v>56.550000000000004</v>
      </c>
      <c r="I21" s="313"/>
      <c r="J21" s="310">
        <f>((9*4)*0.67+(4*$B$47*4)*0.33)</f>
        <v>45.24</v>
      </c>
      <c r="K21" s="323"/>
      <c r="L21" s="322"/>
      <c r="M21" s="323"/>
      <c r="N21" s="313"/>
      <c r="O21" s="313"/>
      <c r="P21" s="313"/>
      <c r="Q21" s="313"/>
      <c r="R21" s="313"/>
      <c r="S21" s="313"/>
      <c r="T21" s="313"/>
      <c r="U21" s="313"/>
      <c r="V21" s="310">
        <v>11.25</v>
      </c>
      <c r="W21" s="311"/>
      <c r="X21" s="323"/>
      <c r="Y21" s="330"/>
      <c r="Z21" s="90"/>
      <c r="AA21" s="90"/>
      <c r="AB21" s="90"/>
      <c r="AC21" s="90"/>
      <c r="AD21" s="90"/>
      <c r="BB21" s="91"/>
      <c r="BC21" s="91"/>
      <c r="BD21" s="91"/>
      <c r="BE21" s="91"/>
    </row>
    <row r="22" spans="1:57" x14ac:dyDescent="0.2">
      <c r="A22" s="95" t="s">
        <v>13</v>
      </c>
      <c r="B22" s="322">
        <f>(23.83+17.96)/2</f>
        <v>20.895</v>
      </c>
      <c r="C22" s="323"/>
      <c r="D22" s="313">
        <v>38.51</v>
      </c>
      <c r="E22" s="313"/>
      <c r="F22" s="313">
        <v>16.47</v>
      </c>
      <c r="G22" s="313"/>
      <c r="H22" s="313">
        <v>14.24</v>
      </c>
      <c r="I22" s="313"/>
      <c r="J22" s="313">
        <v>16.55</v>
      </c>
      <c r="K22" s="313"/>
      <c r="L22" s="322">
        <f>(23.83+17.96)/2</f>
        <v>20.895</v>
      </c>
      <c r="M22" s="323"/>
      <c r="N22" s="313">
        <v>38.51</v>
      </c>
      <c r="O22" s="313"/>
      <c r="P22" s="313">
        <v>16.47</v>
      </c>
      <c r="Q22" s="313"/>
      <c r="R22" s="313">
        <v>14.24</v>
      </c>
      <c r="S22" s="313"/>
      <c r="T22" s="313">
        <v>16.55</v>
      </c>
      <c r="U22" s="313"/>
      <c r="V22" s="313">
        <v>11.72</v>
      </c>
      <c r="W22" s="313"/>
      <c r="X22" s="323">
        <v>11.19</v>
      </c>
      <c r="Y22" s="330"/>
      <c r="Z22" s="90"/>
      <c r="AA22" s="90"/>
      <c r="AB22" s="90"/>
      <c r="AC22" s="90"/>
      <c r="AD22" s="90"/>
      <c r="BB22" s="91"/>
      <c r="BC22" s="91"/>
      <c r="BD22" s="91"/>
      <c r="BE22" s="91"/>
    </row>
    <row r="23" spans="1:57" x14ac:dyDescent="0.2">
      <c r="A23" s="95" t="s">
        <v>14</v>
      </c>
      <c r="B23" s="322">
        <v>20</v>
      </c>
      <c r="C23" s="323"/>
      <c r="D23" s="313">
        <v>31</v>
      </c>
      <c r="E23" s="313"/>
      <c r="F23" s="313">
        <v>20</v>
      </c>
      <c r="G23" s="313"/>
      <c r="H23" s="313">
        <v>13</v>
      </c>
      <c r="I23" s="313"/>
      <c r="J23" s="323">
        <v>37</v>
      </c>
      <c r="K23" s="323"/>
      <c r="L23" s="322">
        <v>38</v>
      </c>
      <c r="M23" s="323"/>
      <c r="N23" s="313">
        <v>43</v>
      </c>
      <c r="O23" s="313"/>
      <c r="P23" s="313">
        <v>35</v>
      </c>
      <c r="Q23" s="313"/>
      <c r="R23" s="313">
        <v>22</v>
      </c>
      <c r="S23" s="313"/>
      <c r="T23" s="313">
        <v>30</v>
      </c>
      <c r="U23" s="313"/>
      <c r="V23" s="313">
        <v>14</v>
      </c>
      <c r="W23" s="313"/>
      <c r="X23" s="323">
        <v>15</v>
      </c>
      <c r="Y23" s="330"/>
      <c r="Z23" s="90"/>
      <c r="AA23" s="90"/>
      <c r="AB23" s="90"/>
      <c r="AC23" s="90"/>
      <c r="AD23" s="90"/>
      <c r="BB23" s="91"/>
      <c r="BC23" s="91"/>
      <c r="BD23" s="91"/>
      <c r="BE23" s="91"/>
    </row>
    <row r="24" spans="1:57" x14ac:dyDescent="0.2">
      <c r="A24" s="95" t="s">
        <v>126</v>
      </c>
      <c r="B24" s="322"/>
      <c r="C24" s="323"/>
      <c r="D24" s="313"/>
      <c r="E24" s="313"/>
      <c r="F24" s="313"/>
      <c r="G24" s="313"/>
      <c r="H24" s="313"/>
      <c r="I24" s="313"/>
      <c r="J24" s="323"/>
      <c r="K24" s="323"/>
      <c r="L24" s="322"/>
      <c r="M24" s="323"/>
      <c r="N24" s="313"/>
      <c r="O24" s="313"/>
      <c r="P24" s="313"/>
      <c r="Q24" s="313"/>
      <c r="R24" s="313"/>
      <c r="S24" s="313"/>
      <c r="T24" s="313"/>
      <c r="U24" s="313"/>
      <c r="V24" s="313"/>
      <c r="W24" s="313"/>
      <c r="X24" s="323"/>
      <c r="Y24" s="330"/>
      <c r="Z24" s="90"/>
      <c r="AA24" s="90"/>
      <c r="AB24" s="90"/>
      <c r="AC24" s="90"/>
      <c r="AD24" s="90"/>
      <c r="BB24" s="91"/>
      <c r="BC24" s="91"/>
      <c r="BD24" s="91"/>
      <c r="BE24" s="91"/>
    </row>
    <row r="25" spans="1:57" x14ac:dyDescent="0.2">
      <c r="A25" s="95" t="s">
        <v>16</v>
      </c>
      <c r="B25" s="322"/>
      <c r="C25" s="323"/>
      <c r="D25" s="313"/>
      <c r="E25" s="313"/>
      <c r="F25" s="313"/>
      <c r="G25" s="313"/>
      <c r="H25" s="313"/>
      <c r="I25" s="313"/>
      <c r="J25" s="323"/>
      <c r="K25" s="323"/>
      <c r="L25" s="322"/>
      <c r="M25" s="323"/>
      <c r="N25" s="313"/>
      <c r="O25" s="313"/>
      <c r="P25" s="313"/>
      <c r="Q25" s="313"/>
      <c r="R25" s="313"/>
      <c r="S25" s="313"/>
      <c r="T25" s="313"/>
      <c r="U25" s="313"/>
      <c r="V25" s="313"/>
      <c r="W25" s="313"/>
      <c r="X25" s="323"/>
      <c r="Y25" s="330"/>
      <c r="Z25" s="90"/>
      <c r="AA25" s="90"/>
      <c r="AB25" s="90"/>
      <c r="AC25" s="90"/>
      <c r="AD25" s="90"/>
      <c r="BB25" s="91"/>
      <c r="BC25" s="91"/>
      <c r="BD25" s="91"/>
      <c r="BE25" s="91"/>
    </row>
    <row r="26" spans="1:57" x14ac:dyDescent="0.2">
      <c r="A26" s="95" t="s">
        <v>17</v>
      </c>
      <c r="B26" s="363">
        <f>(SUM(B11:B25))*0.5*0.0875</f>
        <v>28.669470454545451</v>
      </c>
      <c r="C26" s="341"/>
      <c r="D26" s="343">
        <f>(SUM(D11:D25))*0.5*0.0875</f>
        <v>30.8835625</v>
      </c>
      <c r="E26" s="343"/>
      <c r="F26" s="343">
        <f>(SUM(F11:F25))*0.5*0.0875</f>
        <v>30.933</v>
      </c>
      <c r="G26" s="343"/>
      <c r="H26" s="343">
        <f>(SUM(H11:H25))*0.5*0.0875</f>
        <v>15.177806875</v>
      </c>
      <c r="I26" s="343"/>
      <c r="J26" s="341">
        <f>(SUM(J11:J25))*0.5*0.0875</f>
        <v>17.9519375</v>
      </c>
      <c r="K26" s="341"/>
      <c r="L26" s="363">
        <f>(SUM(L11:L25))*0.5*0.0875</f>
        <v>23.489161221590912</v>
      </c>
      <c r="M26" s="341"/>
      <c r="N26" s="343">
        <f>(SUM(N11:N25))*0.5*0.0875</f>
        <v>25.503625</v>
      </c>
      <c r="O26" s="343"/>
      <c r="P26" s="343">
        <f>(SUM(P11:P25))*0.5*0.0875</f>
        <v>15.925575312499999</v>
      </c>
      <c r="Q26" s="343"/>
      <c r="R26" s="343">
        <f>(SUM(R11:R25))*0.5*0.0875</f>
        <v>12.376430937499999</v>
      </c>
      <c r="S26" s="343"/>
      <c r="T26" s="343">
        <f>(SUM(T11:T25))*0.5*0.0875</f>
        <v>12.0024975</v>
      </c>
      <c r="U26" s="343"/>
      <c r="V26" s="343">
        <f>(SUM(V11:V25))*0.5*0.0875</f>
        <v>17.125571093750001</v>
      </c>
      <c r="W26" s="343"/>
      <c r="X26" s="341">
        <f>(SUM(X11:X25))*0.5*0.0875</f>
        <v>13.161748906249995</v>
      </c>
      <c r="Y26" s="342"/>
      <c r="Z26" s="90"/>
      <c r="AA26" s="90"/>
      <c r="AB26" s="90"/>
      <c r="AC26" s="90"/>
      <c r="AD26" s="90"/>
      <c r="BB26" s="91"/>
      <c r="BC26" s="91"/>
      <c r="BD26" s="91"/>
      <c r="BE26" s="91"/>
    </row>
    <row r="27" spans="1:57" x14ac:dyDescent="0.2">
      <c r="A27" s="95" t="s">
        <v>171</v>
      </c>
      <c r="B27" s="363">
        <f>B7*0.028</f>
        <v>33.6</v>
      </c>
      <c r="C27" s="341"/>
      <c r="D27" s="343"/>
      <c r="E27" s="343"/>
      <c r="F27" s="343"/>
      <c r="G27" s="343"/>
      <c r="H27" s="343"/>
      <c r="I27" s="343"/>
      <c r="J27" s="341"/>
      <c r="K27" s="341"/>
      <c r="L27" s="363">
        <f>0.028*L7</f>
        <v>21</v>
      </c>
      <c r="M27" s="341"/>
      <c r="N27" s="343"/>
      <c r="O27" s="343"/>
      <c r="P27" s="343"/>
      <c r="Q27" s="343"/>
      <c r="R27" s="343"/>
      <c r="S27" s="343"/>
      <c r="T27" s="343"/>
      <c r="U27" s="343"/>
      <c r="V27" s="343"/>
      <c r="W27" s="343"/>
      <c r="X27" s="341"/>
      <c r="Y27" s="342"/>
      <c r="Z27" s="90"/>
      <c r="AA27" s="90"/>
      <c r="AB27" s="90"/>
      <c r="AC27" s="90"/>
      <c r="AD27" s="90"/>
      <c r="BB27" s="91"/>
      <c r="BC27" s="91"/>
      <c r="BD27" s="91"/>
      <c r="BE27" s="91"/>
    </row>
    <row r="28" spans="1:57" x14ac:dyDescent="0.2">
      <c r="A28" s="95" t="s">
        <v>15</v>
      </c>
      <c r="B28" s="363"/>
      <c r="C28" s="341"/>
      <c r="D28" s="343">
        <f>D7/2000*0.33*20+D7/2000*0.67*30</f>
        <v>62.745000000000005</v>
      </c>
      <c r="E28" s="343"/>
      <c r="F28" s="343">
        <f>F7*1.0975*0.28</f>
        <v>61.46</v>
      </c>
      <c r="G28" s="343"/>
      <c r="H28" s="343"/>
      <c r="I28" s="343"/>
      <c r="J28" s="341">
        <f>J7*1.0975*0.28</f>
        <v>30.73</v>
      </c>
      <c r="K28" s="341"/>
      <c r="L28" s="363"/>
      <c r="M28" s="341"/>
      <c r="N28" s="343">
        <f>N7/2000*0.33*20+N7/2000*0.67*30</f>
        <v>45.39</v>
      </c>
      <c r="O28" s="343"/>
      <c r="P28" s="343">
        <f>P7*1.0975*0.28</f>
        <v>26.1205</v>
      </c>
      <c r="Q28" s="343"/>
      <c r="R28" s="343"/>
      <c r="S28" s="343"/>
      <c r="T28" s="343">
        <f>T7*1.0975*0.28</f>
        <v>19.974499999999999</v>
      </c>
      <c r="U28" s="343"/>
      <c r="V28" s="343">
        <f>V7*1.03*0.095</f>
        <v>7.3387500000000001</v>
      </c>
      <c r="W28" s="343"/>
      <c r="X28" s="341">
        <f>X7*1.03*0.095</f>
        <v>5.3817500000000003</v>
      </c>
      <c r="Y28" s="342"/>
      <c r="Z28" s="90"/>
      <c r="AA28" s="90"/>
      <c r="AB28" s="90"/>
      <c r="AC28" s="90"/>
      <c r="AD28" s="90"/>
      <c r="BB28" s="91"/>
      <c r="BC28" s="91"/>
      <c r="BD28" s="91"/>
      <c r="BE28" s="91"/>
    </row>
    <row r="29" spans="1:57" x14ac:dyDescent="0.2">
      <c r="A29" s="95" t="s">
        <v>18</v>
      </c>
      <c r="B29" s="324"/>
      <c r="C29" s="325"/>
      <c r="D29" s="314">
        <f>D7/2000*3+D7/2000*355*0.01</f>
        <v>15.3925</v>
      </c>
      <c r="E29" s="314"/>
      <c r="F29" s="314"/>
      <c r="G29" s="314"/>
      <c r="H29" s="314"/>
      <c r="I29" s="314"/>
      <c r="J29" s="325"/>
      <c r="K29" s="325"/>
      <c r="L29" s="324"/>
      <c r="M29" s="325"/>
      <c r="N29" s="314">
        <f>N7/2000*3+N7/2000*355*0.01</f>
        <v>11.135</v>
      </c>
      <c r="O29" s="314"/>
      <c r="P29" s="314"/>
      <c r="Q29" s="314"/>
      <c r="R29" s="314"/>
      <c r="S29" s="314"/>
      <c r="T29" s="314"/>
      <c r="U29" s="314"/>
      <c r="V29" s="314"/>
      <c r="W29" s="314"/>
      <c r="X29" s="325"/>
      <c r="Y29" s="334"/>
      <c r="Z29" s="90"/>
      <c r="AA29" s="90"/>
      <c r="AB29" s="90"/>
      <c r="AC29" s="90"/>
      <c r="AD29" s="90"/>
      <c r="BB29" s="91"/>
      <c r="BC29" s="91"/>
      <c r="BD29" s="91"/>
      <c r="BE29" s="91"/>
    </row>
    <row r="30" spans="1:57" ht="15" thickBot="1" x14ac:dyDescent="0.25">
      <c r="A30" s="115" t="s">
        <v>157</v>
      </c>
      <c r="B30" s="337">
        <f t="shared" ref="B30:X30" si="0">SUM(B11:B29)</f>
        <v>717.57165227272731</v>
      </c>
      <c r="C30" s="336"/>
      <c r="D30" s="317">
        <f t="shared" si="0"/>
        <v>814.93106250000017</v>
      </c>
      <c r="E30" s="317"/>
      <c r="F30" s="317">
        <f t="shared" si="0"/>
        <v>799.43300000000011</v>
      </c>
      <c r="G30" s="317"/>
      <c r="H30" s="317">
        <f t="shared" si="0"/>
        <v>362.09910687500002</v>
      </c>
      <c r="I30" s="317"/>
      <c r="J30" s="336">
        <f t="shared" si="0"/>
        <v>459.01193750000004</v>
      </c>
      <c r="K30" s="336"/>
      <c r="L30" s="337">
        <f>SUM(L11:L29)</f>
        <v>581.38427485795467</v>
      </c>
      <c r="M30" s="336"/>
      <c r="N30" s="317">
        <f t="shared" si="0"/>
        <v>664.96862500000009</v>
      </c>
      <c r="O30" s="317"/>
      <c r="P30" s="317">
        <f t="shared" si="0"/>
        <v>406.05922531249996</v>
      </c>
      <c r="Q30" s="317"/>
      <c r="R30" s="317">
        <f t="shared" si="0"/>
        <v>295.26628093749997</v>
      </c>
      <c r="S30" s="317"/>
      <c r="T30" s="317">
        <f t="shared" si="0"/>
        <v>306.31979749999999</v>
      </c>
      <c r="U30" s="317"/>
      <c r="V30" s="317">
        <f>SUM(V11:V29)</f>
        <v>415.90594609375006</v>
      </c>
      <c r="W30" s="317"/>
      <c r="X30" s="336">
        <f t="shared" si="0"/>
        <v>319.38347390624995</v>
      </c>
      <c r="Y30" s="339"/>
      <c r="Z30" s="90"/>
      <c r="AA30" s="90"/>
      <c r="AB30" s="90"/>
      <c r="AC30" s="90"/>
      <c r="AD30" s="90"/>
      <c r="BB30" s="91"/>
      <c r="BC30" s="91"/>
      <c r="BD30" s="91"/>
      <c r="BE30" s="91"/>
    </row>
    <row r="31" spans="1:57" s="153" customFormat="1" x14ac:dyDescent="0.2">
      <c r="A31" s="151" t="s">
        <v>163</v>
      </c>
      <c r="B31" s="364">
        <f t="shared" ref="B31:X31" si="1">B9-B30</f>
        <v>194.42834772727269</v>
      </c>
      <c r="C31" s="345"/>
      <c r="D31" s="344">
        <f t="shared" si="1"/>
        <v>389.44393749999983</v>
      </c>
      <c r="E31" s="344"/>
      <c r="F31" s="344">
        <f t="shared" si="1"/>
        <v>280.56699999999989</v>
      </c>
      <c r="G31" s="344"/>
      <c r="H31" s="344">
        <f t="shared" si="1"/>
        <v>327.90089312499998</v>
      </c>
      <c r="I31" s="344"/>
      <c r="J31" s="345">
        <f t="shared" si="1"/>
        <v>60.988062499999955</v>
      </c>
      <c r="K31" s="345"/>
      <c r="L31" s="364">
        <f t="shared" si="1"/>
        <v>-11.384274857954665</v>
      </c>
      <c r="M31" s="345"/>
      <c r="N31" s="344">
        <f t="shared" si="1"/>
        <v>206.28137499999991</v>
      </c>
      <c r="O31" s="344"/>
      <c r="P31" s="344">
        <f t="shared" si="1"/>
        <v>52.940774687500095</v>
      </c>
      <c r="Q31" s="344"/>
      <c r="R31" s="344">
        <f t="shared" si="1"/>
        <v>49.733719062500029</v>
      </c>
      <c r="S31" s="344"/>
      <c r="T31" s="344">
        <f t="shared" si="1"/>
        <v>31.680202500000007</v>
      </c>
      <c r="U31" s="344"/>
      <c r="V31" s="344">
        <f>V9-V30</f>
        <v>26.59405390624994</v>
      </c>
      <c r="W31" s="344"/>
      <c r="X31" s="345">
        <f t="shared" si="1"/>
        <v>5.1165260937500534</v>
      </c>
      <c r="Y31" s="346"/>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row>
    <row r="32" spans="1:57" x14ac:dyDescent="0.2">
      <c r="A32" s="240" t="s">
        <v>170</v>
      </c>
      <c r="B32" s="241">
        <f>B30/B7</f>
        <v>0.59797637689393945</v>
      </c>
      <c r="C32" s="242" t="s">
        <v>159</v>
      </c>
      <c r="D32" s="243">
        <f>D30/D7*2000</f>
        <v>346.77917553191497</v>
      </c>
      <c r="E32" s="244" t="s">
        <v>160</v>
      </c>
      <c r="F32" s="245">
        <f>F30/F7</f>
        <v>3.9971650000000007</v>
      </c>
      <c r="G32" s="244" t="s">
        <v>162</v>
      </c>
      <c r="H32" s="245">
        <f>H30/H7</f>
        <v>6.0349851145833338</v>
      </c>
      <c r="I32" s="244" t="s">
        <v>162</v>
      </c>
      <c r="J32" s="246">
        <f>J30/J7</f>
        <v>4.5901193750000004</v>
      </c>
      <c r="K32" s="242" t="s">
        <v>162</v>
      </c>
      <c r="L32" s="241">
        <f>L30/L7</f>
        <v>0.77517903314393954</v>
      </c>
      <c r="M32" s="242" t="s">
        <v>159</v>
      </c>
      <c r="N32" s="243">
        <f>N30/N7*2000</f>
        <v>391.15801470588241</v>
      </c>
      <c r="O32" s="244" t="s">
        <v>160</v>
      </c>
      <c r="P32" s="245">
        <f>P30/P7</f>
        <v>4.7771673566176469</v>
      </c>
      <c r="Q32" s="244" t="s">
        <v>162</v>
      </c>
      <c r="R32" s="245">
        <f>R30/R7</f>
        <v>9.8422093645833328</v>
      </c>
      <c r="S32" s="244" t="s">
        <v>162</v>
      </c>
      <c r="T32" s="245">
        <f>T30/T7</f>
        <v>4.7126122692307693</v>
      </c>
      <c r="U32" s="244" t="s">
        <v>162</v>
      </c>
      <c r="V32" s="245">
        <f>V30/V7</f>
        <v>5.5454126145833342</v>
      </c>
      <c r="W32" s="244" t="s">
        <v>162</v>
      </c>
      <c r="X32" s="246">
        <f>X30/X7</f>
        <v>5.8069722528409082</v>
      </c>
      <c r="Y32" s="247" t="s">
        <v>162</v>
      </c>
      <c r="Z32" s="90"/>
      <c r="AA32" s="90"/>
      <c r="AB32" s="90"/>
      <c r="AC32" s="90"/>
      <c r="AD32" s="90"/>
      <c r="BB32" s="91"/>
      <c r="BC32" s="91"/>
      <c r="BD32" s="91"/>
      <c r="BE32" s="91"/>
    </row>
    <row r="33" spans="1:57" x14ac:dyDescent="0.2">
      <c r="A33" s="117" t="s">
        <v>189</v>
      </c>
      <c r="B33" s="294">
        <f>B30/B8</f>
        <v>944.17322667464123</v>
      </c>
      <c r="C33" s="295" t="s">
        <v>158</v>
      </c>
      <c r="D33" s="296">
        <f>D30/D8*2000</f>
        <v>3180.2187804878054</v>
      </c>
      <c r="E33" s="297" t="s">
        <v>158</v>
      </c>
      <c r="F33" s="296">
        <f>F30/F8</f>
        <v>148.04314814814816</v>
      </c>
      <c r="G33" s="297" t="s">
        <v>161</v>
      </c>
      <c r="H33" s="296">
        <f>H30/H8</f>
        <v>31.486878858695654</v>
      </c>
      <c r="I33" s="297" t="s">
        <v>161</v>
      </c>
      <c r="J33" s="298">
        <f>J30/J8</f>
        <v>88.271526442307703</v>
      </c>
      <c r="K33" s="295" t="s">
        <v>161</v>
      </c>
      <c r="L33" s="294">
        <f>L30/L8</f>
        <v>764.97930902362452</v>
      </c>
      <c r="M33" s="295" t="s">
        <v>158</v>
      </c>
      <c r="N33" s="296">
        <f>N30/N8*2000</f>
        <v>2594.9995121951224</v>
      </c>
      <c r="O33" s="297" t="s">
        <v>158</v>
      </c>
      <c r="P33" s="296">
        <f>P30/P8</f>
        <v>75.196152835648135</v>
      </c>
      <c r="Q33" s="297" t="s">
        <v>161</v>
      </c>
      <c r="R33" s="296">
        <f>R30/R8</f>
        <v>25.67532877717391</v>
      </c>
      <c r="S33" s="297" t="s">
        <v>161</v>
      </c>
      <c r="T33" s="296">
        <f>T30/T8</f>
        <v>58.907653365384611</v>
      </c>
      <c r="U33" s="297" t="s">
        <v>161</v>
      </c>
      <c r="V33" s="296">
        <f>V30/V8</f>
        <v>70.492533236228823</v>
      </c>
      <c r="W33" s="297" t="s">
        <v>161</v>
      </c>
      <c r="X33" s="296">
        <f>X30/X8</f>
        <v>54.132792187499987</v>
      </c>
      <c r="Y33" s="292" t="s">
        <v>161</v>
      </c>
      <c r="Z33" s="90"/>
      <c r="AA33" s="90"/>
      <c r="AB33" s="90"/>
      <c r="AC33" s="90"/>
      <c r="AD33" s="90"/>
      <c r="BB33" s="91"/>
      <c r="BC33" s="91"/>
      <c r="BD33" s="91"/>
      <c r="BE33" s="91"/>
    </row>
    <row r="34" spans="1:57" x14ac:dyDescent="0.2">
      <c r="A34" s="98" t="s">
        <v>164</v>
      </c>
      <c r="B34" s="363"/>
      <c r="C34" s="341"/>
      <c r="D34" s="343"/>
      <c r="E34" s="343"/>
      <c r="F34" s="343"/>
      <c r="G34" s="343"/>
      <c r="H34" s="343"/>
      <c r="I34" s="343"/>
      <c r="J34" s="341"/>
      <c r="K34" s="341"/>
      <c r="L34" s="363"/>
      <c r="M34" s="341"/>
      <c r="N34" s="343"/>
      <c r="O34" s="343"/>
      <c r="P34" s="343"/>
      <c r="Q34" s="343"/>
      <c r="R34" s="343"/>
      <c r="S34" s="343"/>
      <c r="T34" s="343"/>
      <c r="U34" s="343"/>
      <c r="V34" s="343"/>
      <c r="W34" s="343"/>
      <c r="X34" s="341"/>
      <c r="Y34" s="342"/>
      <c r="Z34" s="90"/>
      <c r="AA34" s="90"/>
      <c r="AB34" s="90"/>
      <c r="AC34" s="90"/>
      <c r="AD34" s="90"/>
      <c r="BB34" s="91"/>
      <c r="BC34" s="91"/>
      <c r="BD34" s="91"/>
      <c r="BE34" s="91"/>
    </row>
    <row r="35" spans="1:57" x14ac:dyDescent="0.2">
      <c r="A35" s="95" t="s">
        <v>19</v>
      </c>
      <c r="B35" s="322">
        <f>51.21+(102.53+155.13)/2</f>
        <v>180.04</v>
      </c>
      <c r="C35" s="323"/>
      <c r="D35" s="313">
        <f>78.82+103.09</f>
        <v>181.91</v>
      </c>
      <c r="E35" s="313"/>
      <c r="F35" s="313">
        <f>49.55+49.31</f>
        <v>98.86</v>
      </c>
      <c r="G35" s="313"/>
      <c r="H35" s="313">
        <f>45.08+37.25</f>
        <v>82.33</v>
      </c>
      <c r="I35" s="313"/>
      <c r="J35" s="310">
        <f>50.91+37.13</f>
        <v>88.039999999999992</v>
      </c>
      <c r="K35" s="311"/>
      <c r="L35" s="322">
        <f>B35</f>
        <v>180.04</v>
      </c>
      <c r="M35" s="323"/>
      <c r="N35" s="313">
        <f>D35</f>
        <v>181.91</v>
      </c>
      <c r="O35" s="313"/>
      <c r="P35" s="313">
        <f>F35</f>
        <v>98.86</v>
      </c>
      <c r="Q35" s="313"/>
      <c r="R35" s="313">
        <f>H35</f>
        <v>82.33</v>
      </c>
      <c r="S35" s="313"/>
      <c r="T35" s="310">
        <f>J35</f>
        <v>88.039999999999992</v>
      </c>
      <c r="U35" s="311"/>
      <c r="V35" s="313">
        <f>27.19+33.7</f>
        <v>60.89</v>
      </c>
      <c r="W35" s="313"/>
      <c r="X35" s="323">
        <f>26.13+33.7</f>
        <v>59.83</v>
      </c>
      <c r="Y35" s="330"/>
      <c r="Z35" s="90"/>
      <c r="AA35" s="90"/>
      <c r="AB35" s="90"/>
      <c r="AC35" s="90"/>
      <c r="AD35" s="90"/>
      <c r="BB35" s="91"/>
      <c r="BC35" s="91"/>
      <c r="BD35" s="91"/>
      <c r="BE35" s="91"/>
    </row>
    <row r="36" spans="1:57" x14ac:dyDescent="0.2">
      <c r="A36" s="95" t="s">
        <v>12</v>
      </c>
      <c r="B36" s="322">
        <v>140</v>
      </c>
      <c r="C36" s="323"/>
      <c r="D36" s="313">
        <v>140</v>
      </c>
      <c r="E36" s="313"/>
      <c r="F36" s="313">
        <v>140</v>
      </c>
      <c r="G36" s="313"/>
      <c r="H36" s="313">
        <v>140</v>
      </c>
      <c r="I36" s="313"/>
      <c r="J36" s="323">
        <v>140</v>
      </c>
      <c r="K36" s="323"/>
      <c r="L36" s="322"/>
      <c r="M36" s="323"/>
      <c r="N36" s="313"/>
      <c r="O36" s="313"/>
      <c r="P36" s="313"/>
      <c r="Q36" s="313"/>
      <c r="R36" s="313"/>
      <c r="S36" s="313"/>
      <c r="T36" s="313"/>
      <c r="U36" s="313"/>
      <c r="V36" s="313">
        <v>140</v>
      </c>
      <c r="W36" s="313"/>
      <c r="X36" s="323"/>
      <c r="Y36" s="330"/>
      <c r="Z36" s="90"/>
      <c r="AA36" s="90"/>
      <c r="AB36" s="90"/>
      <c r="AC36" s="90"/>
      <c r="AD36" s="90"/>
      <c r="BB36" s="91"/>
      <c r="BC36" s="91"/>
      <c r="BD36" s="91"/>
      <c r="BE36" s="91"/>
    </row>
    <row r="37" spans="1:57" x14ac:dyDescent="0.2">
      <c r="A37" s="95" t="s">
        <v>20</v>
      </c>
      <c r="B37" s="322"/>
      <c r="C37" s="323"/>
      <c r="D37" s="313"/>
      <c r="E37" s="313"/>
      <c r="F37" s="313"/>
      <c r="G37" s="313"/>
      <c r="H37" s="313"/>
      <c r="I37" s="313"/>
      <c r="J37" s="323"/>
      <c r="K37" s="323"/>
      <c r="L37" s="322"/>
      <c r="M37" s="323"/>
      <c r="N37" s="313"/>
      <c r="O37" s="313"/>
      <c r="P37" s="313"/>
      <c r="Q37" s="313"/>
      <c r="R37" s="313"/>
      <c r="S37" s="313"/>
      <c r="T37" s="313"/>
      <c r="U37" s="313"/>
      <c r="V37" s="313"/>
      <c r="W37" s="313"/>
      <c r="X37" s="323"/>
      <c r="Y37" s="330"/>
      <c r="Z37" s="90"/>
      <c r="AA37" s="90"/>
      <c r="AB37" s="90"/>
      <c r="AC37" s="90"/>
      <c r="AD37" s="90"/>
      <c r="BB37" s="91"/>
      <c r="BC37" s="91"/>
      <c r="BD37" s="91"/>
      <c r="BE37" s="91"/>
    </row>
    <row r="38" spans="1:57" x14ac:dyDescent="0.2">
      <c r="A38" s="95" t="s">
        <v>21</v>
      </c>
      <c r="B38" s="324">
        <f>0.05*B30</f>
        <v>35.878582613636368</v>
      </c>
      <c r="C38" s="325"/>
      <c r="D38" s="314">
        <f>0.05*D30</f>
        <v>40.746553125000013</v>
      </c>
      <c r="E38" s="314"/>
      <c r="F38" s="314">
        <f>0.05*F30</f>
        <v>39.971650000000011</v>
      </c>
      <c r="G38" s="314"/>
      <c r="H38" s="314">
        <f>0.05*H30</f>
        <v>18.104955343750003</v>
      </c>
      <c r="I38" s="314"/>
      <c r="J38" s="325">
        <f>0.05*J30</f>
        <v>22.950596875000002</v>
      </c>
      <c r="K38" s="325"/>
      <c r="L38" s="324">
        <f>0.05*L30</f>
        <v>29.069213742897734</v>
      </c>
      <c r="M38" s="325"/>
      <c r="N38" s="314">
        <f>0.05*N30</f>
        <v>33.248431250000003</v>
      </c>
      <c r="O38" s="314"/>
      <c r="P38" s="314">
        <f>0.05*P30</f>
        <v>20.302961265625001</v>
      </c>
      <c r="Q38" s="314"/>
      <c r="R38" s="314">
        <f>0.05*R30</f>
        <v>14.763314046874999</v>
      </c>
      <c r="S38" s="314"/>
      <c r="T38" s="314">
        <f>0.05*T30</f>
        <v>15.315989875</v>
      </c>
      <c r="U38" s="314"/>
      <c r="V38" s="314">
        <f>0.05*V30</f>
        <v>20.795297304687505</v>
      </c>
      <c r="W38" s="314"/>
      <c r="X38" s="325">
        <f>0.05*X30</f>
        <v>15.969173695312499</v>
      </c>
      <c r="Y38" s="334"/>
      <c r="Z38" s="90"/>
      <c r="AA38" s="90"/>
      <c r="AB38" s="90"/>
      <c r="AC38" s="90"/>
      <c r="AD38" s="90"/>
      <c r="BB38" s="91"/>
      <c r="BC38" s="91"/>
      <c r="BD38" s="91"/>
      <c r="BE38" s="91"/>
    </row>
    <row r="39" spans="1:57" x14ac:dyDescent="0.2">
      <c r="A39" s="101" t="s">
        <v>165</v>
      </c>
      <c r="B39" s="326">
        <f>SUM(B35:B38)</f>
        <v>355.91858261363632</v>
      </c>
      <c r="C39" s="327"/>
      <c r="D39" s="315">
        <f>SUM(D35:D38)</f>
        <v>362.65655312499996</v>
      </c>
      <c r="E39" s="315"/>
      <c r="F39" s="315">
        <f>SUM(F35:F38)</f>
        <v>278.83165000000002</v>
      </c>
      <c r="G39" s="315"/>
      <c r="H39" s="315">
        <f>SUM(H35:H38)</f>
        <v>240.43495534374998</v>
      </c>
      <c r="I39" s="315"/>
      <c r="J39" s="327">
        <f>SUM(J35:J38)</f>
        <v>250.99059687499999</v>
      </c>
      <c r="K39" s="327"/>
      <c r="L39" s="326">
        <f>SUM(L35:L38)</f>
        <v>209.10921374289774</v>
      </c>
      <c r="M39" s="327"/>
      <c r="N39" s="315">
        <f>SUM(N35:N38)</f>
        <v>215.15843125000001</v>
      </c>
      <c r="O39" s="315"/>
      <c r="P39" s="315">
        <f>SUM(P35:P38)</f>
        <v>119.162961265625</v>
      </c>
      <c r="Q39" s="315"/>
      <c r="R39" s="315">
        <f>SUM(R35:R38)</f>
        <v>97.093314046874994</v>
      </c>
      <c r="S39" s="315"/>
      <c r="T39" s="315">
        <f>SUM(T35:T38)</f>
        <v>103.35598987499999</v>
      </c>
      <c r="U39" s="315"/>
      <c r="V39" s="315">
        <f>SUM(V35:V38)</f>
        <v>221.68529730468748</v>
      </c>
      <c r="W39" s="315"/>
      <c r="X39" s="327">
        <f>SUM(X35:X38)</f>
        <v>75.799173695312504</v>
      </c>
      <c r="Y39" s="333"/>
      <c r="Z39" s="90"/>
      <c r="AA39" s="90"/>
      <c r="AB39" s="90"/>
      <c r="AC39" s="90"/>
      <c r="AD39" s="90"/>
      <c r="BB39" s="91"/>
      <c r="BC39" s="91"/>
      <c r="BD39" s="91"/>
      <c r="BE39" s="91"/>
    </row>
    <row r="40" spans="1:57" x14ac:dyDescent="0.2">
      <c r="A40" s="95"/>
      <c r="B40" s="125"/>
      <c r="C40" s="126"/>
      <c r="D40" s="316"/>
      <c r="E40" s="316"/>
      <c r="F40" s="316"/>
      <c r="G40" s="316"/>
      <c r="H40" s="316"/>
      <c r="I40" s="316"/>
      <c r="J40" s="331"/>
      <c r="K40" s="331"/>
      <c r="L40" s="335"/>
      <c r="M40" s="331"/>
      <c r="N40" s="316"/>
      <c r="O40" s="316"/>
      <c r="P40" s="316"/>
      <c r="Q40" s="316"/>
      <c r="R40" s="316"/>
      <c r="S40" s="316"/>
      <c r="T40" s="316"/>
      <c r="U40" s="316"/>
      <c r="V40" s="279"/>
      <c r="W40" s="280"/>
      <c r="X40" s="331"/>
      <c r="Y40" s="332"/>
      <c r="Z40" s="90"/>
      <c r="AA40" s="90"/>
      <c r="AB40" s="90"/>
      <c r="AC40" s="90"/>
      <c r="AD40" s="90"/>
      <c r="BB40" s="91"/>
      <c r="BC40" s="91"/>
      <c r="BD40" s="91"/>
      <c r="BE40" s="91"/>
    </row>
    <row r="41" spans="1:57" ht="15" thickBot="1" x14ac:dyDescent="0.25">
      <c r="A41" s="115" t="s">
        <v>166</v>
      </c>
      <c r="B41" s="337">
        <f>B39+B30</f>
        <v>1073.4902348863636</v>
      </c>
      <c r="C41" s="336"/>
      <c r="D41" s="317">
        <f>D39+D30</f>
        <v>1177.5876156250001</v>
      </c>
      <c r="E41" s="317"/>
      <c r="F41" s="317">
        <f>F39+F30</f>
        <v>1078.2646500000001</v>
      </c>
      <c r="G41" s="317"/>
      <c r="H41" s="317">
        <f>H39+H30</f>
        <v>602.53406221875002</v>
      </c>
      <c r="I41" s="317"/>
      <c r="J41" s="336">
        <f>J39+J30</f>
        <v>710.0025343750001</v>
      </c>
      <c r="K41" s="336"/>
      <c r="L41" s="337">
        <f>L39+L30</f>
        <v>790.4934886008524</v>
      </c>
      <c r="M41" s="336"/>
      <c r="N41" s="317">
        <f>N39+N30</f>
        <v>880.12705625000012</v>
      </c>
      <c r="O41" s="317"/>
      <c r="P41" s="317">
        <f>P39+P30</f>
        <v>525.22218657812493</v>
      </c>
      <c r="Q41" s="317"/>
      <c r="R41" s="317">
        <f>R39+R30</f>
        <v>392.35959498437495</v>
      </c>
      <c r="S41" s="317"/>
      <c r="T41" s="317">
        <f>T39+T30</f>
        <v>409.67578737499997</v>
      </c>
      <c r="U41" s="317"/>
      <c r="V41" s="317">
        <f>V39+V30</f>
        <v>637.59124339843754</v>
      </c>
      <c r="W41" s="317"/>
      <c r="X41" s="336">
        <f>X39+X30</f>
        <v>395.18264760156245</v>
      </c>
      <c r="Y41" s="339"/>
      <c r="Z41" s="90"/>
      <c r="AA41" s="90"/>
      <c r="AB41" s="90"/>
      <c r="AC41" s="90"/>
      <c r="AD41" s="90"/>
      <c r="BB41" s="91"/>
      <c r="BC41" s="91"/>
      <c r="BD41" s="91"/>
      <c r="BE41" s="91"/>
    </row>
    <row r="42" spans="1:57" s="155" customFormat="1" ht="15" thickBot="1" x14ac:dyDescent="0.25">
      <c r="A42" s="130" t="s">
        <v>167</v>
      </c>
      <c r="B42" s="328">
        <f>B9-B41</f>
        <v>-161.49023488636362</v>
      </c>
      <c r="C42" s="329"/>
      <c r="D42" s="321">
        <f>D9-D41</f>
        <v>26.787384374999874</v>
      </c>
      <c r="E42" s="321"/>
      <c r="F42" s="321">
        <f>F9-F41</f>
        <v>1.7353499999999258</v>
      </c>
      <c r="G42" s="321"/>
      <c r="H42" s="321">
        <f>H9-H41</f>
        <v>87.465937781249977</v>
      </c>
      <c r="I42" s="321"/>
      <c r="J42" s="329">
        <f>J9-J41</f>
        <v>-190.0025343750001</v>
      </c>
      <c r="K42" s="329"/>
      <c r="L42" s="328">
        <f>L9-L41</f>
        <v>-220.4934886008524</v>
      </c>
      <c r="M42" s="329"/>
      <c r="N42" s="321">
        <f>N9-N41</f>
        <v>-8.8770562500001233</v>
      </c>
      <c r="O42" s="321"/>
      <c r="P42" s="321">
        <f>P9-P41</f>
        <v>-66.222186578124877</v>
      </c>
      <c r="Q42" s="321"/>
      <c r="R42" s="321">
        <f>R9-R41</f>
        <v>-47.359594984374951</v>
      </c>
      <c r="S42" s="321"/>
      <c r="T42" s="321">
        <f>T9-T41</f>
        <v>-71.67578737499997</v>
      </c>
      <c r="U42" s="321"/>
      <c r="V42" s="321">
        <f>V9-V41</f>
        <v>-195.09124339843754</v>
      </c>
      <c r="W42" s="321"/>
      <c r="X42" s="329">
        <f>X9-X41</f>
        <v>-70.682647601562451</v>
      </c>
      <c r="Y42" s="340"/>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row>
    <row r="43" spans="1:57" ht="15" thickTop="1" x14ac:dyDescent="0.2">
      <c r="A43" s="95"/>
      <c r="B43" s="131"/>
      <c r="C43" s="132"/>
      <c r="D43" s="318"/>
      <c r="E43" s="318"/>
      <c r="F43" s="308"/>
      <c r="G43" s="309"/>
      <c r="H43" s="308"/>
      <c r="I43" s="309"/>
      <c r="J43" s="132"/>
      <c r="K43" s="132"/>
      <c r="L43" s="319"/>
      <c r="M43" s="320"/>
      <c r="N43" s="318"/>
      <c r="O43" s="318"/>
      <c r="P43" s="318"/>
      <c r="Q43" s="318"/>
      <c r="R43" s="318"/>
      <c r="S43" s="318"/>
      <c r="T43" s="318"/>
      <c r="U43" s="318"/>
      <c r="V43" s="308"/>
      <c r="W43" s="309"/>
      <c r="X43" s="320"/>
      <c r="Y43" s="338"/>
      <c r="Z43" s="90"/>
      <c r="AA43" s="90"/>
      <c r="AB43" s="90"/>
      <c r="AC43" s="90"/>
      <c r="AD43" s="90"/>
      <c r="BB43" s="91"/>
      <c r="BC43" s="91"/>
      <c r="BD43" s="91"/>
      <c r="BE43" s="91"/>
    </row>
    <row r="44" spans="1:57" x14ac:dyDescent="0.2">
      <c r="A44" s="117" t="s">
        <v>34</v>
      </c>
      <c r="B44" s="156">
        <f>B41/B7</f>
        <v>0.89457519573863631</v>
      </c>
      <c r="C44" s="136" t="s">
        <v>159</v>
      </c>
      <c r="D44" s="221">
        <f>D41/D7*2000</f>
        <v>501.10111303191496</v>
      </c>
      <c r="E44" s="223" t="s">
        <v>160</v>
      </c>
      <c r="F44" s="222">
        <f>F41/F7</f>
        <v>5.3913232500000001</v>
      </c>
      <c r="G44" s="223" t="s">
        <v>162</v>
      </c>
      <c r="H44" s="222">
        <f>H41/H7</f>
        <v>10.042234370312501</v>
      </c>
      <c r="I44" s="223" t="s">
        <v>162</v>
      </c>
      <c r="J44" s="222">
        <f>J41/J7</f>
        <v>7.1000253437500014</v>
      </c>
      <c r="K44" s="119" t="s">
        <v>162</v>
      </c>
      <c r="L44" s="135">
        <f>L41/L7</f>
        <v>1.0539913181344698</v>
      </c>
      <c r="M44" s="136" t="s">
        <v>159</v>
      </c>
      <c r="N44" s="218">
        <f>N41/N7*2000</f>
        <v>517.72179779411772</v>
      </c>
      <c r="O44" s="217" t="s">
        <v>160</v>
      </c>
      <c r="P44" s="219">
        <f>P41/P7</f>
        <v>6.1790845479779408</v>
      </c>
      <c r="Q44" s="217" t="s">
        <v>162</v>
      </c>
      <c r="R44" s="219">
        <f>R41/R7</f>
        <v>13.078653166145832</v>
      </c>
      <c r="S44" s="217" t="s">
        <v>162</v>
      </c>
      <c r="T44" s="219">
        <f>T41/T7</f>
        <v>6.3027044211538454</v>
      </c>
      <c r="U44" s="217" t="s">
        <v>162</v>
      </c>
      <c r="V44" s="219">
        <f>V41/V7</f>
        <v>8.5012165786458347</v>
      </c>
      <c r="W44" s="217" t="s">
        <v>162</v>
      </c>
      <c r="X44" s="137">
        <f>X41/X7</f>
        <v>7.1851390473011358</v>
      </c>
      <c r="Y44" s="122" t="s">
        <v>162</v>
      </c>
      <c r="Z44" s="90"/>
      <c r="AA44" s="90"/>
      <c r="AB44" s="90"/>
      <c r="AC44" s="90"/>
      <c r="AD44" s="90"/>
      <c r="BA44" s="91"/>
      <c r="BB44" s="91"/>
      <c r="BC44" s="91"/>
      <c r="BD44" s="91"/>
      <c r="BE44" s="91"/>
    </row>
    <row r="45" spans="1:57" x14ac:dyDescent="0.2">
      <c r="A45" s="138" t="s">
        <v>168</v>
      </c>
      <c r="B45" s="139">
        <f>B41/B8</f>
        <v>1412.4871511662679</v>
      </c>
      <c r="C45" s="140" t="s">
        <v>158</v>
      </c>
      <c r="D45" s="224">
        <f>D41/D8*2000</f>
        <v>4595.4638658536587</v>
      </c>
      <c r="E45" s="220" t="s">
        <v>158</v>
      </c>
      <c r="F45" s="225">
        <f>F41/F8</f>
        <v>199.67863888888888</v>
      </c>
      <c r="G45" s="217" t="s">
        <v>161</v>
      </c>
      <c r="H45" s="225">
        <f>H41/H8</f>
        <v>52.394266279891305</v>
      </c>
      <c r="I45" s="217" t="s">
        <v>161</v>
      </c>
      <c r="J45" s="225">
        <f>J41/J8</f>
        <v>136.53894891826926</v>
      </c>
      <c r="K45" s="281" t="s">
        <v>161</v>
      </c>
      <c r="L45" s="284">
        <f>L41/L8</f>
        <v>1040.1230113169111</v>
      </c>
      <c r="M45" s="140" t="s">
        <v>158</v>
      </c>
      <c r="N45" s="224">
        <f>N41/N8*2000</f>
        <v>3434.6421707317077</v>
      </c>
      <c r="O45" s="220" t="s">
        <v>158</v>
      </c>
      <c r="P45" s="225">
        <f>P41/P8</f>
        <v>97.263367884837947</v>
      </c>
      <c r="Q45" s="217" t="s">
        <v>161</v>
      </c>
      <c r="R45" s="225">
        <f>R41/R8</f>
        <v>34.118225650815212</v>
      </c>
      <c r="S45" s="217" t="s">
        <v>161</v>
      </c>
      <c r="T45" s="225">
        <f>T41/T8</f>
        <v>78.783805264423066</v>
      </c>
      <c r="U45" s="217" t="s">
        <v>161</v>
      </c>
      <c r="V45" s="225">
        <f>V41/V8</f>
        <v>108.06631244041314</v>
      </c>
      <c r="W45" s="217" t="s">
        <v>161</v>
      </c>
      <c r="X45" s="141">
        <f>X41/X8</f>
        <v>66.980109762976682</v>
      </c>
      <c r="Y45" s="122" t="s">
        <v>161</v>
      </c>
      <c r="Z45" s="285"/>
      <c r="AA45" s="285"/>
      <c r="AB45" s="90"/>
      <c r="AC45" s="90"/>
      <c r="AD45" s="90"/>
      <c r="BA45" s="91"/>
      <c r="BB45" s="91"/>
      <c r="BC45" s="91"/>
      <c r="BD45" s="91"/>
      <c r="BE45" s="91"/>
    </row>
    <row r="46" spans="1:57" x14ac:dyDescent="0.2">
      <c r="A46" s="143" t="s">
        <v>175</v>
      </c>
      <c r="B46" s="90"/>
      <c r="C46" s="85" t="s">
        <v>169</v>
      </c>
      <c r="D46" s="157">
        <v>0.7</v>
      </c>
      <c r="E46" s="158" t="s">
        <v>65</v>
      </c>
      <c r="F46" s="157">
        <v>0.65</v>
      </c>
      <c r="G46" s="158" t="s">
        <v>66</v>
      </c>
      <c r="H46" s="214">
        <v>0.5</v>
      </c>
      <c r="I46" s="90"/>
      <c r="J46" s="90"/>
      <c r="K46" s="216"/>
      <c r="L46" s="216"/>
      <c r="M46" s="216"/>
      <c r="N46" s="90"/>
      <c r="O46" s="90"/>
      <c r="P46" s="90"/>
      <c r="Q46" s="216"/>
      <c r="R46" s="86"/>
      <c r="S46" s="86"/>
      <c r="T46" s="143"/>
      <c r="U46" s="143"/>
      <c r="V46" s="143"/>
      <c r="W46" s="143"/>
      <c r="X46" s="143"/>
      <c r="Y46" s="143"/>
      <c r="Z46" s="143"/>
      <c r="AA46" s="143"/>
      <c r="AB46" s="90"/>
      <c r="AC46" s="90"/>
      <c r="AD46" s="90"/>
      <c r="BE46" s="91"/>
    </row>
    <row r="47" spans="1:57" x14ac:dyDescent="0.2">
      <c r="A47" s="86" t="s">
        <v>176</v>
      </c>
      <c r="B47" s="226">
        <v>4</v>
      </c>
      <c r="C47" s="312" t="s">
        <v>67</v>
      </c>
      <c r="D47" s="312"/>
      <c r="E47" s="312"/>
      <c r="F47" s="86"/>
      <c r="G47" s="86"/>
      <c r="H47" s="86"/>
      <c r="I47" s="86"/>
      <c r="J47" s="86"/>
      <c r="K47" s="86"/>
      <c r="L47" s="86"/>
      <c r="M47" s="86"/>
      <c r="N47" s="86"/>
      <c r="O47" s="86"/>
      <c r="P47" s="86"/>
      <c r="Q47" s="86"/>
      <c r="R47" s="86"/>
      <c r="S47" s="86"/>
      <c r="T47" s="86"/>
      <c r="U47" s="86"/>
      <c r="V47" s="86"/>
      <c r="W47" s="86"/>
      <c r="X47" s="86"/>
      <c r="Y47" s="86"/>
      <c r="Z47" s="86"/>
      <c r="AA47" s="86"/>
      <c r="AB47" s="90"/>
      <c r="AC47" s="90"/>
      <c r="AD47" s="90"/>
      <c r="BE47" s="91"/>
    </row>
    <row r="48" spans="1:57" x14ac:dyDescent="0.2">
      <c r="A48" s="312" t="s">
        <v>192</v>
      </c>
      <c r="B48" s="312"/>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159"/>
      <c r="AD48" s="90"/>
    </row>
    <row r="49" spans="1:9" s="90" customFormat="1" x14ac:dyDescent="0.2">
      <c r="A49" s="86"/>
    </row>
    <row r="50" spans="1:9" s="90" customFormat="1" x14ac:dyDescent="0.2">
      <c r="A50" s="86"/>
    </row>
    <row r="51" spans="1:9" s="90" customFormat="1" x14ac:dyDescent="0.2">
      <c r="A51" s="86"/>
      <c r="I51" s="307"/>
    </row>
    <row r="52" spans="1:9" s="90" customFormat="1" x14ac:dyDescent="0.2">
      <c r="A52" s="86"/>
    </row>
    <row r="53" spans="1:9" s="90" customFormat="1" x14ac:dyDescent="0.2">
      <c r="A53" s="86"/>
    </row>
    <row r="54" spans="1:9" s="90" customFormat="1" x14ac:dyDescent="0.2">
      <c r="A54" s="86"/>
    </row>
    <row r="55" spans="1:9" s="90" customFormat="1" x14ac:dyDescent="0.2">
      <c r="A55" s="86"/>
    </row>
    <row r="56" spans="1:9" s="90" customFormat="1" x14ac:dyDescent="0.2">
      <c r="A56" s="86"/>
    </row>
    <row r="57" spans="1:9" s="90" customFormat="1" x14ac:dyDescent="0.2">
      <c r="A57" s="86"/>
    </row>
    <row r="58" spans="1:9" s="90" customFormat="1" x14ac:dyDescent="0.2">
      <c r="A58" s="86"/>
    </row>
    <row r="59" spans="1:9" s="90" customFormat="1" x14ac:dyDescent="0.2">
      <c r="A59" s="86"/>
    </row>
    <row r="60" spans="1:9" s="90" customFormat="1" x14ac:dyDescent="0.2">
      <c r="A60" s="86"/>
    </row>
    <row r="61" spans="1:9" s="90" customFormat="1" x14ac:dyDescent="0.2">
      <c r="A61" s="86"/>
    </row>
    <row r="62" spans="1:9" s="90" customFormat="1" x14ac:dyDescent="0.2">
      <c r="A62" s="86"/>
    </row>
    <row r="63" spans="1:9" s="90" customFormat="1" x14ac:dyDescent="0.2">
      <c r="A63" s="86"/>
    </row>
    <row r="64" spans="1:9" s="90" customFormat="1" x14ac:dyDescent="0.2">
      <c r="A64" s="86"/>
    </row>
    <row r="65" spans="1:1" s="90" customFormat="1" x14ac:dyDescent="0.2">
      <c r="A65" s="86"/>
    </row>
    <row r="66" spans="1:1" s="90" customFormat="1" x14ac:dyDescent="0.2">
      <c r="A66" s="86"/>
    </row>
    <row r="67" spans="1:1" s="90" customFormat="1" x14ac:dyDescent="0.2">
      <c r="A67" s="86"/>
    </row>
    <row r="68" spans="1:1" s="90" customFormat="1" x14ac:dyDescent="0.2">
      <c r="A68" s="86"/>
    </row>
    <row r="69" spans="1:1" s="90" customFormat="1" x14ac:dyDescent="0.2">
      <c r="A69" s="86"/>
    </row>
    <row r="70" spans="1:1" s="90" customFormat="1" x14ac:dyDescent="0.2">
      <c r="A70" s="86"/>
    </row>
    <row r="71" spans="1:1" s="90" customFormat="1" x14ac:dyDescent="0.2">
      <c r="A71" s="86"/>
    </row>
    <row r="72" spans="1:1" s="90" customFormat="1" x14ac:dyDescent="0.2">
      <c r="A72" s="86"/>
    </row>
    <row r="73" spans="1:1" s="90" customFormat="1" x14ac:dyDescent="0.2">
      <c r="A73" s="86"/>
    </row>
    <row r="74" spans="1:1" s="90" customFormat="1" x14ac:dyDescent="0.2">
      <c r="A74" s="86"/>
    </row>
    <row r="75" spans="1:1" s="90" customFormat="1" x14ac:dyDescent="0.2">
      <c r="A75" s="86"/>
    </row>
    <row r="76" spans="1:1" s="90" customFormat="1" x14ac:dyDescent="0.2">
      <c r="A76" s="86"/>
    </row>
    <row r="77" spans="1:1" s="90" customFormat="1" x14ac:dyDescent="0.2">
      <c r="A77" s="86"/>
    </row>
    <row r="78" spans="1:1" s="90" customFormat="1" x14ac:dyDescent="0.2">
      <c r="A78" s="86"/>
    </row>
    <row r="79" spans="1:1" s="90" customFormat="1" x14ac:dyDescent="0.2">
      <c r="A79" s="86"/>
    </row>
    <row r="80" spans="1:1" s="90" customFormat="1" x14ac:dyDescent="0.2">
      <c r="A80" s="86"/>
    </row>
    <row r="81" spans="1:1" s="90" customFormat="1" x14ac:dyDescent="0.2">
      <c r="A81" s="86"/>
    </row>
    <row r="82" spans="1:1" s="90" customFormat="1" x14ac:dyDescent="0.2">
      <c r="A82" s="86"/>
    </row>
    <row r="83" spans="1:1" s="90" customFormat="1" x14ac:dyDescent="0.2">
      <c r="A83" s="86"/>
    </row>
    <row r="84" spans="1:1" s="90" customFormat="1" x14ac:dyDescent="0.2">
      <c r="A84" s="86"/>
    </row>
    <row r="85" spans="1:1" s="90" customFormat="1" x14ac:dyDescent="0.2">
      <c r="A85" s="86"/>
    </row>
    <row r="86" spans="1:1" s="90" customFormat="1" x14ac:dyDescent="0.2">
      <c r="A86" s="86"/>
    </row>
    <row r="87" spans="1:1" s="90" customFormat="1" x14ac:dyDescent="0.2">
      <c r="A87" s="86"/>
    </row>
    <row r="88" spans="1:1" s="90" customFormat="1" x14ac:dyDescent="0.2">
      <c r="A88" s="86"/>
    </row>
    <row r="89" spans="1:1" s="90" customFormat="1" x14ac:dyDescent="0.2">
      <c r="A89" s="86"/>
    </row>
    <row r="90" spans="1:1" s="90" customFormat="1" x14ac:dyDescent="0.2">
      <c r="A90" s="86"/>
    </row>
    <row r="91" spans="1:1" s="90" customFormat="1" x14ac:dyDescent="0.2">
      <c r="A91" s="86"/>
    </row>
    <row r="92" spans="1:1" s="90" customFormat="1" x14ac:dyDescent="0.2">
      <c r="A92" s="86"/>
    </row>
    <row r="93" spans="1:1" s="90" customFormat="1" x14ac:dyDescent="0.2">
      <c r="A93" s="86"/>
    </row>
    <row r="94" spans="1:1" s="90" customFormat="1" x14ac:dyDescent="0.2">
      <c r="A94" s="86"/>
    </row>
    <row r="95" spans="1:1" s="90" customFormat="1" x14ac:dyDescent="0.2">
      <c r="A95" s="86"/>
    </row>
    <row r="96" spans="1:1" s="90" customFormat="1" x14ac:dyDescent="0.2">
      <c r="A96" s="86"/>
    </row>
    <row r="97" spans="1:1" s="90" customFormat="1" x14ac:dyDescent="0.2">
      <c r="A97" s="86"/>
    </row>
    <row r="98" spans="1:1" s="90" customFormat="1" x14ac:dyDescent="0.2">
      <c r="A98" s="86"/>
    </row>
    <row r="99" spans="1:1" s="90" customFormat="1" x14ac:dyDescent="0.2">
      <c r="A99" s="86"/>
    </row>
    <row r="100" spans="1:1" s="90" customFormat="1" x14ac:dyDescent="0.2">
      <c r="A100" s="86"/>
    </row>
    <row r="101" spans="1:1" s="90" customFormat="1" x14ac:dyDescent="0.2">
      <c r="A101" s="86"/>
    </row>
    <row r="102" spans="1:1" s="90" customFormat="1" x14ac:dyDescent="0.2">
      <c r="A102" s="86"/>
    </row>
    <row r="103" spans="1:1" s="90" customFormat="1" x14ac:dyDescent="0.2">
      <c r="A103" s="86"/>
    </row>
    <row r="104" spans="1:1" s="90" customFormat="1" x14ac:dyDescent="0.2">
      <c r="A104" s="86"/>
    </row>
    <row r="105" spans="1:1" s="90" customFormat="1" x14ac:dyDescent="0.2">
      <c r="A105" s="86"/>
    </row>
    <row r="106" spans="1:1" s="90" customFormat="1" x14ac:dyDescent="0.2">
      <c r="A106" s="86"/>
    </row>
    <row r="107" spans="1:1" s="90" customFormat="1" x14ac:dyDescent="0.2">
      <c r="A107" s="86"/>
    </row>
    <row r="108" spans="1:1" s="90" customFormat="1" x14ac:dyDescent="0.2">
      <c r="A108" s="86"/>
    </row>
    <row r="109" spans="1:1" s="90" customFormat="1" x14ac:dyDescent="0.2">
      <c r="A109" s="86"/>
    </row>
    <row r="110" spans="1:1" s="90" customFormat="1" x14ac:dyDescent="0.2">
      <c r="A110" s="86"/>
    </row>
    <row r="111" spans="1:1" s="90" customFormat="1" x14ac:dyDescent="0.2">
      <c r="A111" s="86"/>
    </row>
    <row r="112" spans="1:1" s="90" customFormat="1" x14ac:dyDescent="0.2">
      <c r="A112" s="86"/>
    </row>
    <row r="113" spans="1:1" s="90" customFormat="1" x14ac:dyDescent="0.2">
      <c r="A113" s="86"/>
    </row>
    <row r="114" spans="1:1" s="90" customFormat="1" x14ac:dyDescent="0.2">
      <c r="A114" s="86"/>
    </row>
    <row r="115" spans="1:1" s="90" customFormat="1" x14ac:dyDescent="0.2">
      <c r="A115" s="86"/>
    </row>
    <row r="116" spans="1:1" s="90" customFormat="1" x14ac:dyDescent="0.2">
      <c r="A116" s="86"/>
    </row>
    <row r="117" spans="1:1" s="90" customFormat="1" x14ac:dyDescent="0.2">
      <c r="A117" s="86"/>
    </row>
    <row r="118" spans="1:1" s="90" customFormat="1" x14ac:dyDescent="0.2">
      <c r="A118" s="86"/>
    </row>
    <row r="119" spans="1:1" s="90" customFormat="1" x14ac:dyDescent="0.2">
      <c r="A119" s="86"/>
    </row>
    <row r="120" spans="1:1" s="90" customFormat="1" x14ac:dyDescent="0.2">
      <c r="A120" s="86"/>
    </row>
    <row r="121" spans="1:1" s="90" customFormat="1" x14ac:dyDescent="0.2">
      <c r="A121" s="86"/>
    </row>
    <row r="122" spans="1:1" s="90" customFormat="1" x14ac:dyDescent="0.2">
      <c r="A122" s="86"/>
    </row>
    <row r="123" spans="1:1" s="90" customFormat="1" x14ac:dyDescent="0.2">
      <c r="A123" s="86"/>
    </row>
    <row r="124" spans="1:1" s="90" customFormat="1" x14ac:dyDescent="0.2">
      <c r="A124" s="86"/>
    </row>
    <row r="125" spans="1:1" s="90" customFormat="1" x14ac:dyDescent="0.2">
      <c r="A125" s="86"/>
    </row>
    <row r="126" spans="1:1" s="90" customFormat="1" x14ac:dyDescent="0.2">
      <c r="A126" s="86"/>
    </row>
    <row r="127" spans="1:1" s="90" customFormat="1" x14ac:dyDescent="0.2">
      <c r="A127" s="86"/>
    </row>
    <row r="128" spans="1:1" s="90" customFormat="1" x14ac:dyDescent="0.2">
      <c r="A128" s="86"/>
    </row>
    <row r="129" spans="1:1" s="90" customFormat="1" x14ac:dyDescent="0.2">
      <c r="A129" s="86"/>
    </row>
    <row r="130" spans="1:1" s="90" customFormat="1" x14ac:dyDescent="0.2">
      <c r="A130" s="86"/>
    </row>
    <row r="131" spans="1:1" s="90" customFormat="1" x14ac:dyDescent="0.2">
      <c r="A131" s="86"/>
    </row>
    <row r="132" spans="1:1" s="90" customFormat="1" x14ac:dyDescent="0.2">
      <c r="A132" s="86"/>
    </row>
    <row r="133" spans="1:1" s="90" customFormat="1" x14ac:dyDescent="0.2">
      <c r="A133" s="86"/>
    </row>
    <row r="134" spans="1:1" s="90" customFormat="1" x14ac:dyDescent="0.2">
      <c r="A134" s="86"/>
    </row>
    <row r="135" spans="1:1" s="90" customFormat="1" x14ac:dyDescent="0.2">
      <c r="A135" s="86"/>
    </row>
    <row r="136" spans="1:1" s="90" customFormat="1" x14ac:dyDescent="0.2">
      <c r="A136" s="86"/>
    </row>
    <row r="137" spans="1:1" s="90" customFormat="1" x14ac:dyDescent="0.2">
      <c r="A137" s="86"/>
    </row>
    <row r="138" spans="1:1" s="90" customFormat="1" x14ac:dyDescent="0.2">
      <c r="A138" s="86"/>
    </row>
    <row r="139" spans="1:1" s="90" customFormat="1" x14ac:dyDescent="0.2">
      <c r="A139" s="86"/>
    </row>
    <row r="140" spans="1:1" s="90" customFormat="1" x14ac:dyDescent="0.2">
      <c r="A140" s="86"/>
    </row>
    <row r="141" spans="1:1" s="90" customFormat="1" x14ac:dyDescent="0.2">
      <c r="A141" s="86"/>
    </row>
    <row r="142" spans="1:1" s="90" customFormat="1" x14ac:dyDescent="0.2">
      <c r="A142" s="86"/>
    </row>
    <row r="143" spans="1:1" s="90" customFormat="1" x14ac:dyDescent="0.2">
      <c r="A143" s="86"/>
    </row>
    <row r="144" spans="1:1" s="90" customFormat="1" x14ac:dyDescent="0.2">
      <c r="A144" s="86"/>
    </row>
    <row r="145" spans="1:1" s="90" customFormat="1" x14ac:dyDescent="0.2">
      <c r="A145" s="86"/>
    </row>
    <row r="146" spans="1:1" s="90" customFormat="1" x14ac:dyDescent="0.2">
      <c r="A146" s="86"/>
    </row>
    <row r="147" spans="1:1" s="90" customFormat="1" x14ac:dyDescent="0.2">
      <c r="A147" s="86"/>
    </row>
    <row r="148" spans="1:1" s="90" customFormat="1" x14ac:dyDescent="0.2">
      <c r="A148" s="86"/>
    </row>
    <row r="149" spans="1:1" s="90" customFormat="1" x14ac:dyDescent="0.2">
      <c r="A149" s="86"/>
    </row>
    <row r="150" spans="1:1" s="90" customFormat="1" x14ac:dyDescent="0.2">
      <c r="A150" s="86"/>
    </row>
    <row r="151" spans="1:1" s="90" customFormat="1" x14ac:dyDescent="0.2">
      <c r="A151" s="86"/>
    </row>
    <row r="152" spans="1:1" s="90" customFormat="1" x14ac:dyDescent="0.2">
      <c r="A152" s="86"/>
    </row>
    <row r="153" spans="1:1" s="90" customFormat="1" x14ac:dyDescent="0.2">
      <c r="A153" s="86"/>
    </row>
    <row r="154" spans="1:1" s="90" customFormat="1" x14ac:dyDescent="0.2">
      <c r="A154" s="86"/>
    </row>
    <row r="155" spans="1:1" s="90" customFormat="1" x14ac:dyDescent="0.2">
      <c r="A155" s="86"/>
    </row>
    <row r="156" spans="1:1" s="90" customFormat="1" x14ac:dyDescent="0.2">
      <c r="A156" s="86"/>
    </row>
    <row r="157" spans="1:1" s="90" customFormat="1" x14ac:dyDescent="0.2">
      <c r="A157" s="86"/>
    </row>
    <row r="158" spans="1:1" s="90" customFormat="1" x14ac:dyDescent="0.2">
      <c r="A158" s="86"/>
    </row>
    <row r="159" spans="1:1" s="90" customFormat="1" x14ac:dyDescent="0.2">
      <c r="A159" s="86"/>
    </row>
    <row r="160" spans="1:1" s="90" customFormat="1" x14ac:dyDescent="0.2">
      <c r="A160" s="86"/>
    </row>
    <row r="161" spans="1:1" s="90" customFormat="1" x14ac:dyDescent="0.2">
      <c r="A161" s="86"/>
    </row>
    <row r="162" spans="1:1" s="90" customFormat="1" x14ac:dyDescent="0.2">
      <c r="A162" s="86"/>
    </row>
    <row r="163" spans="1:1" s="90" customFormat="1" x14ac:dyDescent="0.2">
      <c r="A163" s="86"/>
    </row>
    <row r="164" spans="1:1" s="90" customFormat="1" x14ac:dyDescent="0.2">
      <c r="A164" s="86"/>
    </row>
    <row r="165" spans="1:1" s="90" customFormat="1" x14ac:dyDescent="0.2">
      <c r="A165" s="86"/>
    </row>
    <row r="166" spans="1:1" s="90" customFormat="1" x14ac:dyDescent="0.2">
      <c r="A166" s="86"/>
    </row>
    <row r="167" spans="1:1" s="90" customFormat="1" x14ac:dyDescent="0.2">
      <c r="A167" s="86"/>
    </row>
    <row r="168" spans="1:1" s="90" customFormat="1" x14ac:dyDescent="0.2">
      <c r="A168" s="86"/>
    </row>
    <row r="169" spans="1:1" s="90" customFormat="1" x14ac:dyDescent="0.2">
      <c r="A169" s="86"/>
    </row>
    <row r="170" spans="1:1" s="90" customFormat="1" x14ac:dyDescent="0.2">
      <c r="A170" s="86"/>
    </row>
    <row r="171" spans="1:1" s="90" customFormat="1" x14ac:dyDescent="0.2">
      <c r="A171" s="86"/>
    </row>
    <row r="172" spans="1:1" s="90" customFormat="1" x14ac:dyDescent="0.2">
      <c r="A172" s="86"/>
    </row>
    <row r="173" spans="1:1" s="90" customFormat="1" x14ac:dyDescent="0.2">
      <c r="A173" s="86"/>
    </row>
    <row r="174" spans="1:1" s="90" customFormat="1" x14ac:dyDescent="0.2">
      <c r="A174" s="86"/>
    </row>
    <row r="175" spans="1:1" s="90" customFormat="1" x14ac:dyDescent="0.2">
      <c r="A175" s="86"/>
    </row>
    <row r="176" spans="1:1" s="90" customFormat="1" x14ac:dyDescent="0.2">
      <c r="A176" s="86"/>
    </row>
    <row r="177" spans="1:1" s="90" customFormat="1" x14ac:dyDescent="0.2">
      <c r="A177" s="86"/>
    </row>
    <row r="178" spans="1:1" s="90" customFormat="1" x14ac:dyDescent="0.2">
      <c r="A178" s="86"/>
    </row>
    <row r="179" spans="1:1" s="90" customFormat="1" x14ac:dyDescent="0.2">
      <c r="A179" s="86"/>
    </row>
    <row r="180" spans="1:1" s="90" customFormat="1" x14ac:dyDescent="0.2">
      <c r="A180" s="86"/>
    </row>
    <row r="181" spans="1:1" s="90" customFormat="1" x14ac:dyDescent="0.2">
      <c r="A181" s="86"/>
    </row>
    <row r="182" spans="1:1" s="90" customFormat="1" x14ac:dyDescent="0.2">
      <c r="A182" s="86"/>
    </row>
    <row r="183" spans="1:1" s="90" customFormat="1" x14ac:dyDescent="0.2">
      <c r="A183" s="86"/>
    </row>
    <row r="184" spans="1:1" s="90" customFormat="1" x14ac:dyDescent="0.2">
      <c r="A184" s="86"/>
    </row>
    <row r="185" spans="1:1" s="90" customFormat="1" x14ac:dyDescent="0.2">
      <c r="A185" s="86"/>
    </row>
    <row r="186" spans="1:1" s="90" customFormat="1" x14ac:dyDescent="0.2">
      <c r="A186" s="86"/>
    </row>
    <row r="187" spans="1:1" s="90" customFormat="1" x14ac:dyDescent="0.2">
      <c r="A187" s="86"/>
    </row>
    <row r="188" spans="1:1" s="90" customFormat="1" x14ac:dyDescent="0.2">
      <c r="A188" s="86"/>
    </row>
    <row r="189" spans="1:1" s="90" customFormat="1" x14ac:dyDescent="0.2">
      <c r="A189" s="86"/>
    </row>
    <row r="190" spans="1:1" s="90" customFormat="1" x14ac:dyDescent="0.2">
      <c r="A190" s="86"/>
    </row>
    <row r="191" spans="1:1" s="90" customFormat="1" x14ac:dyDescent="0.2">
      <c r="A191" s="86"/>
    </row>
    <row r="192" spans="1:1" s="90" customFormat="1" x14ac:dyDescent="0.2">
      <c r="A192" s="86"/>
    </row>
    <row r="193" spans="1:1" s="90" customFormat="1" x14ac:dyDescent="0.2">
      <c r="A193" s="86"/>
    </row>
    <row r="194" spans="1:1" s="90" customFormat="1" x14ac:dyDescent="0.2">
      <c r="A194" s="86"/>
    </row>
    <row r="195" spans="1:1" s="90" customFormat="1" x14ac:dyDescent="0.2">
      <c r="A195" s="86"/>
    </row>
    <row r="196" spans="1:1" s="90" customFormat="1" x14ac:dyDescent="0.2">
      <c r="A196" s="86"/>
    </row>
    <row r="197" spans="1:1" s="90" customFormat="1" x14ac:dyDescent="0.2">
      <c r="A197" s="86"/>
    </row>
    <row r="198" spans="1:1" s="90" customFormat="1" x14ac:dyDescent="0.2">
      <c r="A198" s="86"/>
    </row>
    <row r="199" spans="1:1" s="90" customFormat="1" x14ac:dyDescent="0.2">
      <c r="A199" s="86"/>
    </row>
    <row r="200" spans="1:1" s="90" customFormat="1" x14ac:dyDescent="0.2">
      <c r="A200" s="86"/>
    </row>
    <row r="201" spans="1:1" s="90" customFormat="1" x14ac:dyDescent="0.2">
      <c r="A201" s="86"/>
    </row>
    <row r="202" spans="1:1" s="90" customFormat="1" x14ac:dyDescent="0.2">
      <c r="A202" s="86"/>
    </row>
    <row r="203" spans="1:1" s="90" customFormat="1" x14ac:dyDescent="0.2">
      <c r="A203" s="86"/>
    </row>
    <row r="204" spans="1:1" s="90" customFormat="1" x14ac:dyDescent="0.2">
      <c r="A204" s="86"/>
    </row>
    <row r="205" spans="1:1" s="90" customFormat="1" x14ac:dyDescent="0.2">
      <c r="A205" s="86"/>
    </row>
    <row r="206" spans="1:1" s="90" customFormat="1" x14ac:dyDescent="0.2">
      <c r="A206" s="86"/>
    </row>
    <row r="207" spans="1:1" s="90" customFormat="1" x14ac:dyDescent="0.2">
      <c r="A207" s="86"/>
    </row>
    <row r="208" spans="1:1" s="90" customFormat="1" x14ac:dyDescent="0.2">
      <c r="A208" s="86"/>
    </row>
    <row r="209" spans="1:1" s="90" customFormat="1" x14ac:dyDescent="0.2">
      <c r="A209" s="86"/>
    </row>
    <row r="210" spans="1:1" s="90" customFormat="1" x14ac:dyDescent="0.2">
      <c r="A210" s="86"/>
    </row>
    <row r="211" spans="1:1" s="90" customFormat="1" x14ac:dyDescent="0.2">
      <c r="A211" s="86"/>
    </row>
    <row r="212" spans="1:1" s="90" customFormat="1" x14ac:dyDescent="0.2">
      <c r="A212" s="86"/>
    </row>
    <row r="213" spans="1:1" s="90" customFormat="1" x14ac:dyDescent="0.2">
      <c r="A213" s="86"/>
    </row>
    <row r="214" spans="1:1" s="90" customFormat="1" x14ac:dyDescent="0.2">
      <c r="A214" s="86"/>
    </row>
    <row r="215" spans="1:1" s="90" customFormat="1" x14ac:dyDescent="0.2">
      <c r="A215" s="86"/>
    </row>
    <row r="216" spans="1:1" s="90" customFormat="1" x14ac:dyDescent="0.2">
      <c r="A216" s="86"/>
    </row>
    <row r="217" spans="1:1" s="90" customFormat="1" x14ac:dyDescent="0.2">
      <c r="A217" s="86"/>
    </row>
    <row r="218" spans="1:1" s="90" customFormat="1" x14ac:dyDescent="0.2">
      <c r="A218" s="86"/>
    </row>
    <row r="219" spans="1:1" s="90" customFormat="1" x14ac:dyDescent="0.2">
      <c r="A219" s="86"/>
    </row>
    <row r="220" spans="1:1" s="90" customFormat="1" x14ac:dyDescent="0.2">
      <c r="A220" s="86"/>
    </row>
    <row r="221" spans="1:1" s="90" customFormat="1" x14ac:dyDescent="0.2">
      <c r="A221" s="86"/>
    </row>
    <row r="222" spans="1:1" s="90" customFormat="1" x14ac:dyDescent="0.2">
      <c r="A222" s="86"/>
    </row>
    <row r="223" spans="1:1" s="90" customFormat="1" x14ac:dyDescent="0.2">
      <c r="A223" s="86"/>
    </row>
    <row r="224" spans="1:1" s="90" customFormat="1" x14ac:dyDescent="0.2">
      <c r="A224" s="86"/>
    </row>
    <row r="225" spans="1:1" s="90" customFormat="1" x14ac:dyDescent="0.2">
      <c r="A225" s="86"/>
    </row>
    <row r="226" spans="1:1" s="90" customFormat="1" x14ac:dyDescent="0.2">
      <c r="A226" s="86"/>
    </row>
    <row r="227" spans="1:1" s="90" customFormat="1" x14ac:dyDescent="0.2">
      <c r="A227" s="86"/>
    </row>
    <row r="228" spans="1:1" s="90" customFormat="1" x14ac:dyDescent="0.2">
      <c r="A228" s="86"/>
    </row>
    <row r="229" spans="1:1" s="90" customFormat="1" x14ac:dyDescent="0.2">
      <c r="A229" s="86"/>
    </row>
    <row r="230" spans="1:1" s="90" customFormat="1" x14ac:dyDescent="0.2">
      <c r="A230" s="86"/>
    </row>
    <row r="231" spans="1:1" s="90" customFormat="1" x14ac:dyDescent="0.2">
      <c r="A231" s="86"/>
    </row>
    <row r="232" spans="1:1" s="90" customFormat="1" x14ac:dyDescent="0.2">
      <c r="A232" s="86"/>
    </row>
    <row r="233" spans="1:1" s="90" customFormat="1" x14ac:dyDescent="0.2">
      <c r="A233" s="86"/>
    </row>
    <row r="234" spans="1:1" s="90" customFormat="1" x14ac:dyDescent="0.2">
      <c r="A234" s="86"/>
    </row>
    <row r="235" spans="1:1" s="90" customFormat="1" x14ac:dyDescent="0.2">
      <c r="A235" s="86"/>
    </row>
    <row r="236" spans="1:1" s="90" customFormat="1" x14ac:dyDescent="0.2">
      <c r="A236" s="86"/>
    </row>
    <row r="237" spans="1:1" s="90" customFormat="1" x14ac:dyDescent="0.2">
      <c r="A237" s="86"/>
    </row>
    <row r="238" spans="1:1" s="90" customFormat="1" x14ac:dyDescent="0.2">
      <c r="A238" s="86"/>
    </row>
    <row r="239" spans="1:1" s="90" customFormat="1" x14ac:dyDescent="0.2">
      <c r="A239" s="86"/>
    </row>
    <row r="240" spans="1:1" s="90" customFormat="1" x14ac:dyDescent="0.2">
      <c r="A240" s="86"/>
    </row>
    <row r="241" spans="1:1" s="90" customFormat="1" x14ac:dyDescent="0.2">
      <c r="A241" s="86"/>
    </row>
    <row r="242" spans="1:1" s="90" customFormat="1" x14ac:dyDescent="0.2">
      <c r="A242" s="86"/>
    </row>
    <row r="243" spans="1:1" s="90" customFormat="1" x14ac:dyDescent="0.2">
      <c r="A243" s="86"/>
    </row>
    <row r="244" spans="1:1" s="90" customFormat="1" x14ac:dyDescent="0.2">
      <c r="A244" s="86"/>
    </row>
    <row r="245" spans="1:1" s="90" customFormat="1" x14ac:dyDescent="0.2">
      <c r="A245" s="86"/>
    </row>
    <row r="246" spans="1:1" s="90" customFormat="1" x14ac:dyDescent="0.2">
      <c r="A246" s="86"/>
    </row>
    <row r="247" spans="1:1" s="90" customFormat="1" x14ac:dyDescent="0.2">
      <c r="A247" s="86"/>
    </row>
    <row r="248" spans="1:1" s="90" customFormat="1" x14ac:dyDescent="0.2">
      <c r="A248" s="86"/>
    </row>
    <row r="249" spans="1:1" s="90" customFormat="1" x14ac:dyDescent="0.2">
      <c r="A249" s="86"/>
    </row>
    <row r="250" spans="1:1" s="90" customFormat="1" x14ac:dyDescent="0.2">
      <c r="A250" s="86"/>
    </row>
    <row r="251" spans="1:1" s="90" customFormat="1" x14ac:dyDescent="0.2">
      <c r="A251" s="86"/>
    </row>
    <row r="252" spans="1:1" s="90" customFormat="1" x14ac:dyDescent="0.2">
      <c r="A252" s="86"/>
    </row>
    <row r="253" spans="1:1" s="90" customFormat="1" x14ac:dyDescent="0.2">
      <c r="A253" s="86"/>
    </row>
    <row r="254" spans="1:1" s="90" customFormat="1" x14ac:dyDescent="0.2">
      <c r="A254" s="86"/>
    </row>
    <row r="255" spans="1:1" s="90" customFormat="1" x14ac:dyDescent="0.2">
      <c r="A255" s="86"/>
    </row>
    <row r="256" spans="1:1" s="90" customFormat="1" x14ac:dyDescent="0.2">
      <c r="A256" s="86"/>
    </row>
    <row r="257" spans="1:1" s="90" customFormat="1" x14ac:dyDescent="0.2">
      <c r="A257" s="86"/>
    </row>
    <row r="258" spans="1:1" s="90" customFormat="1" x14ac:dyDescent="0.2">
      <c r="A258" s="86"/>
    </row>
    <row r="259" spans="1:1" s="90" customFormat="1" x14ac:dyDescent="0.2">
      <c r="A259" s="86"/>
    </row>
    <row r="260" spans="1:1" s="90" customFormat="1" x14ac:dyDescent="0.2">
      <c r="A260" s="86"/>
    </row>
    <row r="261" spans="1:1" s="90" customFormat="1" x14ac:dyDescent="0.2">
      <c r="A261" s="86"/>
    </row>
    <row r="262" spans="1:1" s="90" customFormat="1" x14ac:dyDescent="0.2">
      <c r="A262" s="86"/>
    </row>
    <row r="263" spans="1:1" s="90" customFormat="1" x14ac:dyDescent="0.2">
      <c r="A263" s="86"/>
    </row>
    <row r="264" spans="1:1" s="90" customFormat="1" x14ac:dyDescent="0.2">
      <c r="A264" s="86"/>
    </row>
    <row r="265" spans="1:1" s="90" customFormat="1" x14ac:dyDescent="0.2">
      <c r="A265" s="86"/>
    </row>
    <row r="266" spans="1:1" s="90" customFormat="1" x14ac:dyDescent="0.2">
      <c r="A266" s="86"/>
    </row>
    <row r="267" spans="1:1" s="90" customFormat="1" x14ac:dyDescent="0.2">
      <c r="A267" s="86"/>
    </row>
    <row r="268" spans="1:1" s="90" customFormat="1" x14ac:dyDescent="0.2">
      <c r="A268" s="86"/>
    </row>
    <row r="269" spans="1:1" s="90" customFormat="1" x14ac:dyDescent="0.2">
      <c r="A269" s="86"/>
    </row>
    <row r="270" spans="1:1" s="90" customFormat="1" x14ac:dyDescent="0.2">
      <c r="A270" s="86"/>
    </row>
    <row r="271" spans="1:1" s="90" customFormat="1" x14ac:dyDescent="0.2">
      <c r="A271" s="86"/>
    </row>
    <row r="272" spans="1:1" s="90" customFormat="1" x14ac:dyDescent="0.2">
      <c r="A272" s="86"/>
    </row>
    <row r="273" spans="1:1" s="90" customFormat="1" x14ac:dyDescent="0.2">
      <c r="A273" s="86"/>
    </row>
    <row r="274" spans="1:1" s="90" customFormat="1" x14ac:dyDescent="0.2">
      <c r="A274" s="86"/>
    </row>
    <row r="275" spans="1:1" s="90" customFormat="1" x14ac:dyDescent="0.2">
      <c r="A275" s="86"/>
    </row>
    <row r="276" spans="1:1" s="90" customFormat="1" x14ac:dyDescent="0.2">
      <c r="A276" s="86"/>
    </row>
    <row r="277" spans="1:1" s="90" customFormat="1" x14ac:dyDescent="0.2">
      <c r="A277" s="86"/>
    </row>
    <row r="278" spans="1:1" s="90" customFormat="1" x14ac:dyDescent="0.2">
      <c r="A278" s="86"/>
    </row>
    <row r="279" spans="1:1" s="90" customFormat="1" x14ac:dyDescent="0.2">
      <c r="A279" s="86"/>
    </row>
    <row r="280" spans="1:1" s="90" customFormat="1" x14ac:dyDescent="0.2">
      <c r="A280" s="86"/>
    </row>
    <row r="281" spans="1:1" s="90" customFormat="1" x14ac:dyDescent="0.2">
      <c r="A281" s="86"/>
    </row>
    <row r="282" spans="1:1" s="90" customFormat="1" x14ac:dyDescent="0.2">
      <c r="A282" s="86"/>
    </row>
    <row r="283" spans="1:1" s="90" customFormat="1" x14ac:dyDescent="0.2">
      <c r="A283" s="86"/>
    </row>
    <row r="284" spans="1:1" s="90" customFormat="1" x14ac:dyDescent="0.2">
      <c r="A284" s="86"/>
    </row>
    <row r="285" spans="1:1" s="90" customFormat="1" x14ac:dyDescent="0.2">
      <c r="A285" s="86"/>
    </row>
    <row r="286" spans="1:1" s="90" customFormat="1" x14ac:dyDescent="0.2">
      <c r="A286" s="86"/>
    </row>
    <row r="287" spans="1:1" s="90" customFormat="1" x14ac:dyDescent="0.2">
      <c r="A287" s="86"/>
    </row>
    <row r="288" spans="1:1" s="90" customFormat="1" x14ac:dyDescent="0.2">
      <c r="A288" s="86"/>
    </row>
    <row r="289" spans="1:1" s="90" customFormat="1" x14ac:dyDescent="0.2">
      <c r="A289" s="86"/>
    </row>
    <row r="290" spans="1:1" s="90" customFormat="1" x14ac:dyDescent="0.2">
      <c r="A290" s="86"/>
    </row>
    <row r="291" spans="1:1" s="90" customFormat="1" x14ac:dyDescent="0.2">
      <c r="A291" s="86"/>
    </row>
    <row r="292" spans="1:1" s="90" customFormat="1" x14ac:dyDescent="0.2">
      <c r="A292" s="86"/>
    </row>
    <row r="293" spans="1:1" s="90" customFormat="1" x14ac:dyDescent="0.2">
      <c r="A293" s="86"/>
    </row>
    <row r="294" spans="1:1" s="90" customFormat="1" x14ac:dyDescent="0.2">
      <c r="A294" s="86"/>
    </row>
    <row r="295" spans="1:1" s="90" customFormat="1" x14ac:dyDescent="0.2">
      <c r="A295" s="86"/>
    </row>
    <row r="296" spans="1:1" s="90" customFormat="1" x14ac:dyDescent="0.2">
      <c r="A296" s="86"/>
    </row>
    <row r="297" spans="1:1" s="90" customFormat="1" x14ac:dyDescent="0.2">
      <c r="A297" s="86"/>
    </row>
    <row r="298" spans="1:1" s="90" customFormat="1" x14ac:dyDescent="0.2">
      <c r="A298" s="86"/>
    </row>
    <row r="299" spans="1:1" s="90" customFormat="1" x14ac:dyDescent="0.2">
      <c r="A299" s="86"/>
    </row>
    <row r="300" spans="1:1" s="90" customFormat="1" x14ac:dyDescent="0.2">
      <c r="A300" s="86"/>
    </row>
    <row r="301" spans="1:1" s="90" customFormat="1" x14ac:dyDescent="0.2">
      <c r="A301" s="86"/>
    </row>
    <row r="302" spans="1:1" s="90" customFormat="1" x14ac:dyDescent="0.2">
      <c r="A302" s="86"/>
    </row>
    <row r="303" spans="1:1" s="90" customFormat="1" x14ac:dyDescent="0.2">
      <c r="A303" s="86"/>
    </row>
    <row r="304" spans="1:1" s="90" customFormat="1" x14ac:dyDescent="0.2">
      <c r="A304" s="86"/>
    </row>
    <row r="305" spans="1:1" s="90" customFormat="1" x14ac:dyDescent="0.2">
      <c r="A305" s="86"/>
    </row>
    <row r="306" spans="1:1" s="90" customFormat="1" x14ac:dyDescent="0.2">
      <c r="A306" s="86"/>
    </row>
    <row r="307" spans="1:1" s="90" customFormat="1" x14ac:dyDescent="0.2">
      <c r="A307" s="86"/>
    </row>
    <row r="308" spans="1:1" s="90" customFormat="1" x14ac:dyDescent="0.2">
      <c r="A308" s="86"/>
    </row>
    <row r="309" spans="1:1" s="90" customFormat="1" x14ac:dyDescent="0.2">
      <c r="A309" s="86"/>
    </row>
    <row r="310" spans="1:1" s="90" customFormat="1" x14ac:dyDescent="0.2">
      <c r="A310" s="86"/>
    </row>
    <row r="311" spans="1:1" s="90" customFormat="1" x14ac:dyDescent="0.2">
      <c r="A311" s="86"/>
    </row>
    <row r="312" spans="1:1" s="90" customFormat="1" x14ac:dyDescent="0.2">
      <c r="A312" s="86"/>
    </row>
    <row r="313" spans="1:1" s="90" customFormat="1" x14ac:dyDescent="0.2">
      <c r="A313" s="86"/>
    </row>
    <row r="314" spans="1:1" s="90" customFormat="1" x14ac:dyDescent="0.2">
      <c r="A314" s="86"/>
    </row>
    <row r="315" spans="1:1" s="90" customFormat="1" x14ac:dyDescent="0.2">
      <c r="A315" s="86"/>
    </row>
    <row r="316" spans="1:1" s="90" customFormat="1" x14ac:dyDescent="0.2">
      <c r="A316" s="86"/>
    </row>
    <row r="317" spans="1:1" s="90" customFormat="1" x14ac:dyDescent="0.2">
      <c r="A317" s="86"/>
    </row>
    <row r="318" spans="1:1" s="90" customFormat="1" x14ac:dyDescent="0.2">
      <c r="A318" s="86"/>
    </row>
    <row r="319" spans="1:1" s="90" customFormat="1" x14ac:dyDescent="0.2">
      <c r="A319" s="86"/>
    </row>
    <row r="320" spans="1:1" s="90" customFormat="1" x14ac:dyDescent="0.2">
      <c r="A320" s="86"/>
    </row>
    <row r="321" spans="1:1" s="90" customFormat="1" x14ac:dyDescent="0.2">
      <c r="A321" s="86"/>
    </row>
    <row r="322" spans="1:1" s="90" customFormat="1" x14ac:dyDescent="0.2">
      <c r="A322" s="86"/>
    </row>
    <row r="323" spans="1:1" s="90" customFormat="1" x14ac:dyDescent="0.2">
      <c r="A323" s="86"/>
    </row>
    <row r="324" spans="1:1" s="90" customFormat="1" x14ac:dyDescent="0.2">
      <c r="A324" s="86"/>
    </row>
    <row r="325" spans="1:1" s="90" customFormat="1" x14ac:dyDescent="0.2">
      <c r="A325" s="86"/>
    </row>
    <row r="326" spans="1:1" s="90" customFormat="1" x14ac:dyDescent="0.2">
      <c r="A326" s="86"/>
    </row>
    <row r="327" spans="1:1" s="90" customFormat="1" x14ac:dyDescent="0.2">
      <c r="A327" s="86"/>
    </row>
    <row r="328" spans="1:1" s="90" customFormat="1" x14ac:dyDescent="0.2">
      <c r="A328" s="86"/>
    </row>
    <row r="329" spans="1:1" s="90" customFormat="1" x14ac:dyDescent="0.2">
      <c r="A329" s="86"/>
    </row>
    <row r="330" spans="1:1" s="90" customFormat="1" x14ac:dyDescent="0.2">
      <c r="A330" s="86"/>
    </row>
    <row r="331" spans="1:1" s="90" customFormat="1" x14ac:dyDescent="0.2">
      <c r="A331" s="86"/>
    </row>
    <row r="332" spans="1:1" s="90" customFormat="1" x14ac:dyDescent="0.2">
      <c r="A332" s="86"/>
    </row>
    <row r="333" spans="1:1" s="90" customFormat="1" x14ac:dyDescent="0.2">
      <c r="A333" s="86"/>
    </row>
    <row r="334" spans="1:1" s="90" customFormat="1" x14ac:dyDescent="0.2">
      <c r="A334" s="86"/>
    </row>
    <row r="335" spans="1:1" s="90" customFormat="1" x14ac:dyDescent="0.2">
      <c r="A335" s="86"/>
    </row>
    <row r="336" spans="1:1" s="90" customFormat="1" x14ac:dyDescent="0.2">
      <c r="A336" s="86"/>
    </row>
    <row r="337" spans="1:1" s="90" customFormat="1" x14ac:dyDescent="0.2">
      <c r="A337" s="86"/>
    </row>
    <row r="338" spans="1:1" s="90" customFormat="1" x14ac:dyDescent="0.2">
      <c r="A338" s="86"/>
    </row>
    <row r="339" spans="1:1" s="90" customFormat="1" x14ac:dyDescent="0.2">
      <c r="A339" s="86"/>
    </row>
    <row r="340" spans="1:1" s="90" customFormat="1" x14ac:dyDescent="0.2">
      <c r="A340" s="86"/>
    </row>
    <row r="341" spans="1:1" s="90" customFormat="1" x14ac:dyDescent="0.2">
      <c r="A341" s="86"/>
    </row>
    <row r="342" spans="1:1" s="90" customFormat="1" x14ac:dyDescent="0.2">
      <c r="A342" s="86"/>
    </row>
    <row r="343" spans="1:1" s="90" customFormat="1" x14ac:dyDescent="0.2">
      <c r="A343" s="86"/>
    </row>
    <row r="344" spans="1:1" s="90" customFormat="1" x14ac:dyDescent="0.2">
      <c r="A344" s="86"/>
    </row>
    <row r="345" spans="1:1" s="90" customFormat="1" x14ac:dyDescent="0.2">
      <c r="A345" s="86"/>
    </row>
    <row r="346" spans="1:1" s="90" customFormat="1" x14ac:dyDescent="0.2">
      <c r="A346" s="86"/>
    </row>
    <row r="347" spans="1:1" s="90" customFormat="1" x14ac:dyDescent="0.2">
      <c r="A347" s="86"/>
    </row>
    <row r="348" spans="1:1" s="90" customFormat="1" x14ac:dyDescent="0.2">
      <c r="A348" s="86"/>
    </row>
    <row r="349" spans="1:1" s="90" customFormat="1" x14ac:dyDescent="0.2">
      <c r="A349" s="86"/>
    </row>
    <row r="350" spans="1:1" s="90" customFormat="1" x14ac:dyDescent="0.2">
      <c r="A350" s="86"/>
    </row>
    <row r="351" spans="1:1" s="90" customFormat="1" x14ac:dyDescent="0.2">
      <c r="A351" s="86"/>
    </row>
    <row r="352" spans="1:1" s="90" customFormat="1" x14ac:dyDescent="0.2">
      <c r="A352" s="86"/>
    </row>
    <row r="353" spans="1:1" s="90" customFormat="1" x14ac:dyDescent="0.2">
      <c r="A353" s="86"/>
    </row>
    <row r="354" spans="1:1" s="90" customFormat="1" x14ac:dyDescent="0.2">
      <c r="A354" s="86"/>
    </row>
    <row r="355" spans="1:1" s="90" customFormat="1" x14ac:dyDescent="0.2">
      <c r="A355" s="86"/>
    </row>
    <row r="356" spans="1:1" s="90" customFormat="1" x14ac:dyDescent="0.2">
      <c r="A356" s="86"/>
    </row>
    <row r="357" spans="1:1" s="90" customFormat="1" x14ac:dyDescent="0.2">
      <c r="A357" s="86"/>
    </row>
    <row r="358" spans="1:1" s="90" customFormat="1" x14ac:dyDescent="0.2">
      <c r="A358" s="86"/>
    </row>
    <row r="359" spans="1:1" s="90" customFormat="1" x14ac:dyDescent="0.2">
      <c r="A359" s="86"/>
    </row>
    <row r="360" spans="1:1" s="90" customFormat="1" x14ac:dyDescent="0.2">
      <c r="A360" s="86"/>
    </row>
    <row r="361" spans="1:1" s="90" customFormat="1" x14ac:dyDescent="0.2">
      <c r="A361" s="86"/>
    </row>
    <row r="362" spans="1:1" s="90" customFormat="1" x14ac:dyDescent="0.2">
      <c r="A362" s="86"/>
    </row>
    <row r="363" spans="1:1" s="90" customFormat="1" x14ac:dyDescent="0.2">
      <c r="A363" s="86"/>
    </row>
    <row r="364" spans="1:1" s="90" customFormat="1" x14ac:dyDescent="0.2">
      <c r="A364" s="86"/>
    </row>
    <row r="365" spans="1:1" s="90" customFormat="1" x14ac:dyDescent="0.2">
      <c r="A365" s="86"/>
    </row>
    <row r="366" spans="1:1" s="90" customFormat="1" x14ac:dyDescent="0.2">
      <c r="A366" s="86"/>
    </row>
    <row r="367" spans="1:1" s="90" customFormat="1" x14ac:dyDescent="0.2">
      <c r="A367" s="86"/>
    </row>
    <row r="368" spans="1:1" s="90" customFormat="1" x14ac:dyDescent="0.2">
      <c r="A368" s="86"/>
    </row>
    <row r="369" spans="1:1" s="90" customFormat="1" x14ac:dyDescent="0.2">
      <c r="A369" s="86"/>
    </row>
    <row r="370" spans="1:1" s="90" customFormat="1" x14ac:dyDescent="0.2">
      <c r="A370" s="86"/>
    </row>
    <row r="371" spans="1:1" s="90" customFormat="1" x14ac:dyDescent="0.2">
      <c r="A371" s="86"/>
    </row>
    <row r="372" spans="1:1" s="90" customFormat="1" x14ac:dyDescent="0.2">
      <c r="A372" s="86"/>
    </row>
    <row r="373" spans="1:1" s="90" customFormat="1" x14ac:dyDescent="0.2">
      <c r="A373" s="86"/>
    </row>
    <row r="374" spans="1:1" s="90" customFormat="1" x14ac:dyDescent="0.2">
      <c r="A374" s="86"/>
    </row>
    <row r="375" spans="1:1" s="90" customFormat="1" x14ac:dyDescent="0.2">
      <c r="A375" s="86"/>
    </row>
    <row r="376" spans="1:1" s="90" customFormat="1" x14ac:dyDescent="0.2">
      <c r="A376" s="86"/>
    </row>
    <row r="377" spans="1:1" s="90" customFormat="1" x14ac:dyDescent="0.2">
      <c r="A377" s="86"/>
    </row>
    <row r="378" spans="1:1" s="90" customFormat="1" x14ac:dyDescent="0.2">
      <c r="A378" s="86"/>
    </row>
    <row r="379" spans="1:1" s="90" customFormat="1" x14ac:dyDescent="0.2">
      <c r="A379" s="86"/>
    </row>
    <row r="380" spans="1:1" s="90" customFormat="1" x14ac:dyDescent="0.2">
      <c r="A380" s="86"/>
    </row>
    <row r="381" spans="1:1" s="90" customFormat="1" x14ac:dyDescent="0.2">
      <c r="A381" s="86"/>
    </row>
    <row r="382" spans="1:1" s="90" customFormat="1" x14ac:dyDescent="0.2">
      <c r="A382" s="86"/>
    </row>
    <row r="383" spans="1:1" s="90" customFormat="1" x14ac:dyDescent="0.2">
      <c r="A383" s="86"/>
    </row>
    <row r="384" spans="1:1" s="90" customFormat="1" x14ac:dyDescent="0.2">
      <c r="A384" s="86"/>
    </row>
    <row r="385" spans="1:1" s="90" customFormat="1" x14ac:dyDescent="0.2">
      <c r="A385" s="86"/>
    </row>
    <row r="386" spans="1:1" s="90" customFormat="1" x14ac:dyDescent="0.2">
      <c r="A386" s="86"/>
    </row>
    <row r="387" spans="1:1" s="90" customFormat="1" x14ac:dyDescent="0.2">
      <c r="A387" s="86"/>
    </row>
    <row r="388" spans="1:1" s="90" customFormat="1" x14ac:dyDescent="0.2">
      <c r="A388" s="86"/>
    </row>
    <row r="389" spans="1:1" s="90" customFormat="1" x14ac:dyDescent="0.2">
      <c r="A389" s="86"/>
    </row>
    <row r="390" spans="1:1" s="90" customFormat="1" x14ac:dyDescent="0.2">
      <c r="A390" s="86"/>
    </row>
    <row r="391" spans="1:1" s="90" customFormat="1" x14ac:dyDescent="0.2">
      <c r="A391" s="86"/>
    </row>
    <row r="392" spans="1:1" s="90" customFormat="1" x14ac:dyDescent="0.2">
      <c r="A392" s="86"/>
    </row>
    <row r="393" spans="1:1" s="90" customFormat="1" x14ac:dyDescent="0.2">
      <c r="A393" s="86"/>
    </row>
    <row r="394" spans="1:1" s="90" customFormat="1" x14ac:dyDescent="0.2">
      <c r="A394" s="86"/>
    </row>
    <row r="395" spans="1:1" s="90" customFormat="1" x14ac:dyDescent="0.2">
      <c r="A395" s="86"/>
    </row>
    <row r="396" spans="1:1" s="90" customFormat="1" x14ac:dyDescent="0.2">
      <c r="A396" s="86"/>
    </row>
    <row r="397" spans="1:1" s="90" customFormat="1" x14ac:dyDescent="0.2">
      <c r="A397" s="86"/>
    </row>
    <row r="398" spans="1:1" s="90" customFormat="1" x14ac:dyDescent="0.2">
      <c r="A398" s="86"/>
    </row>
    <row r="399" spans="1:1" s="90" customFormat="1" x14ac:dyDescent="0.2">
      <c r="A399" s="86"/>
    </row>
    <row r="400" spans="1:1" s="90" customFormat="1" x14ac:dyDescent="0.2">
      <c r="A400" s="86"/>
    </row>
    <row r="401" spans="1:1" s="90" customFormat="1" x14ac:dyDescent="0.2">
      <c r="A401" s="86"/>
    </row>
    <row r="402" spans="1:1" s="90" customFormat="1" x14ac:dyDescent="0.2">
      <c r="A402" s="86"/>
    </row>
    <row r="403" spans="1:1" s="90" customFormat="1" x14ac:dyDescent="0.2">
      <c r="A403" s="86"/>
    </row>
    <row r="404" spans="1:1" s="90" customFormat="1" x14ac:dyDescent="0.2">
      <c r="A404" s="86"/>
    </row>
    <row r="405" spans="1:1" s="90" customFormat="1" x14ac:dyDescent="0.2">
      <c r="A405" s="86"/>
    </row>
    <row r="406" spans="1:1" s="90" customFormat="1" x14ac:dyDescent="0.2">
      <c r="A406" s="86"/>
    </row>
    <row r="407" spans="1:1" s="90" customFormat="1" x14ac:dyDescent="0.2">
      <c r="A407" s="86"/>
    </row>
    <row r="408" spans="1:1" s="90" customFormat="1" x14ac:dyDescent="0.2">
      <c r="A408" s="86"/>
    </row>
    <row r="409" spans="1:1" s="90" customFormat="1" x14ac:dyDescent="0.2">
      <c r="A409" s="86"/>
    </row>
    <row r="410" spans="1:1" s="90" customFormat="1" x14ac:dyDescent="0.2">
      <c r="A410" s="86"/>
    </row>
    <row r="411" spans="1:1" s="90" customFormat="1" x14ac:dyDescent="0.2">
      <c r="A411" s="86"/>
    </row>
    <row r="412" spans="1:1" s="90" customFormat="1" x14ac:dyDescent="0.2">
      <c r="A412" s="86"/>
    </row>
    <row r="413" spans="1:1" s="90" customFormat="1" x14ac:dyDescent="0.2">
      <c r="A413" s="86"/>
    </row>
    <row r="414" spans="1:1" s="90" customFormat="1" x14ac:dyDescent="0.2">
      <c r="A414" s="86"/>
    </row>
    <row r="415" spans="1:1" s="90" customFormat="1" x14ac:dyDescent="0.2">
      <c r="A415" s="86"/>
    </row>
    <row r="416" spans="1:1" s="90" customFormat="1" x14ac:dyDescent="0.2">
      <c r="A416" s="86"/>
    </row>
    <row r="417" spans="1:1" s="90" customFormat="1" x14ac:dyDescent="0.2">
      <c r="A417" s="86"/>
    </row>
    <row r="418" spans="1:1" s="90" customFormat="1" x14ac:dyDescent="0.2">
      <c r="A418" s="86"/>
    </row>
    <row r="419" spans="1:1" s="90" customFormat="1" x14ac:dyDescent="0.2">
      <c r="A419" s="86"/>
    </row>
    <row r="420" spans="1:1" s="90" customFormat="1" x14ac:dyDescent="0.2">
      <c r="A420" s="86"/>
    </row>
    <row r="421" spans="1:1" s="90" customFormat="1" x14ac:dyDescent="0.2">
      <c r="A421" s="86"/>
    </row>
    <row r="422" spans="1:1" s="90" customFormat="1" x14ac:dyDescent="0.2">
      <c r="A422" s="86"/>
    </row>
  </sheetData>
  <sheetProtection sheet="1" objects="1" scenarios="1"/>
  <mergeCells count="417">
    <mergeCell ref="I1:Y2"/>
    <mergeCell ref="B4:K4"/>
    <mergeCell ref="L4:Y4"/>
    <mergeCell ref="D41:E41"/>
    <mergeCell ref="D43:E43"/>
    <mergeCell ref="V34:W34"/>
    <mergeCell ref="J34:K34"/>
    <mergeCell ref="F6:G6"/>
    <mergeCell ref="D6:E6"/>
    <mergeCell ref="B6:C6"/>
    <mergeCell ref="D5:E5"/>
    <mergeCell ref="B5:C5"/>
    <mergeCell ref="F5:G5"/>
    <mergeCell ref="V36:W36"/>
    <mergeCell ref="D23:E23"/>
    <mergeCell ref="D24:E24"/>
    <mergeCell ref="D25:E25"/>
    <mergeCell ref="D26:E26"/>
    <mergeCell ref="D34:E34"/>
    <mergeCell ref="D13:E13"/>
    <mergeCell ref="J30:K30"/>
    <mergeCell ref="J28:K28"/>
    <mergeCell ref="H28:I28"/>
    <mergeCell ref="J36:K36"/>
    <mergeCell ref="A48:AB48"/>
    <mergeCell ref="B25:C25"/>
    <mergeCell ref="B15:C15"/>
    <mergeCell ref="B17:C17"/>
    <mergeCell ref="B18:C18"/>
    <mergeCell ref="B19:C19"/>
    <mergeCell ref="B20:C20"/>
    <mergeCell ref="D37:E37"/>
    <mergeCell ref="D38:E38"/>
    <mergeCell ref="D39:E39"/>
    <mergeCell ref="D30:E30"/>
    <mergeCell ref="D31:E31"/>
    <mergeCell ref="D35:E35"/>
    <mergeCell ref="D27:E27"/>
    <mergeCell ref="D28:E28"/>
    <mergeCell ref="D29:E29"/>
    <mergeCell ref="D20:E20"/>
    <mergeCell ref="D36:E36"/>
    <mergeCell ref="V35:W35"/>
    <mergeCell ref="F35:G35"/>
    <mergeCell ref="F36:G36"/>
    <mergeCell ref="F37:G37"/>
    <mergeCell ref="X16:Y16"/>
    <mergeCell ref="H34:I34"/>
    <mergeCell ref="D12:E12"/>
    <mergeCell ref="D14:E14"/>
    <mergeCell ref="J37:K37"/>
    <mergeCell ref="H36:I36"/>
    <mergeCell ref="H37:I37"/>
    <mergeCell ref="N5:O5"/>
    <mergeCell ref="L5:M5"/>
    <mergeCell ref="R5:S5"/>
    <mergeCell ref="X5:Y5"/>
    <mergeCell ref="H5:I5"/>
    <mergeCell ref="R6:S6"/>
    <mergeCell ref="T5:U5"/>
    <mergeCell ref="T6:U6"/>
    <mergeCell ref="X6:Y6"/>
    <mergeCell ref="P5:Q5"/>
    <mergeCell ref="L6:M6"/>
    <mergeCell ref="N6:O6"/>
    <mergeCell ref="P6:Q6"/>
    <mergeCell ref="V5:W5"/>
    <mergeCell ref="V6:W6"/>
    <mergeCell ref="J5:K5"/>
    <mergeCell ref="J6:K6"/>
    <mergeCell ref="H6:I6"/>
    <mergeCell ref="V37:W37"/>
    <mergeCell ref="B9:C9"/>
    <mergeCell ref="B11:C11"/>
    <mergeCell ref="B12:C12"/>
    <mergeCell ref="B36:C36"/>
    <mergeCell ref="B37:C37"/>
    <mergeCell ref="B26:C26"/>
    <mergeCell ref="B27:C27"/>
    <mergeCell ref="B28:C28"/>
    <mergeCell ref="B29:C29"/>
    <mergeCell ref="B30:C30"/>
    <mergeCell ref="B23:C23"/>
    <mergeCell ref="B24:C24"/>
    <mergeCell ref="B14:C14"/>
    <mergeCell ref="B34:C34"/>
    <mergeCell ref="B10:C10"/>
    <mergeCell ref="B13:C13"/>
    <mergeCell ref="B31:C31"/>
    <mergeCell ref="B21:C21"/>
    <mergeCell ref="B22:C22"/>
    <mergeCell ref="B35:C35"/>
    <mergeCell ref="F34:G34"/>
    <mergeCell ref="J35:K35"/>
    <mergeCell ref="H35:I35"/>
    <mergeCell ref="H24:I24"/>
    <mergeCell ref="F24:G24"/>
    <mergeCell ref="F21:G21"/>
    <mergeCell ref="F22:G22"/>
    <mergeCell ref="F23:G23"/>
    <mergeCell ref="H21:I21"/>
    <mergeCell ref="H22:I22"/>
    <mergeCell ref="H23:I23"/>
    <mergeCell ref="J22:K22"/>
    <mergeCell ref="J23:K23"/>
    <mergeCell ref="J24:K24"/>
    <mergeCell ref="F31:G31"/>
    <mergeCell ref="H31:I31"/>
    <mergeCell ref="J31:K31"/>
    <mergeCell ref="F28:G28"/>
    <mergeCell ref="H30:I30"/>
    <mergeCell ref="H29:I29"/>
    <mergeCell ref="F29:G29"/>
    <mergeCell ref="F30:G30"/>
    <mergeCell ref="F25:G25"/>
    <mergeCell ref="H25:I25"/>
    <mergeCell ref="D15:E15"/>
    <mergeCell ref="D17:E17"/>
    <mergeCell ref="D18:E18"/>
    <mergeCell ref="D19:E19"/>
    <mergeCell ref="D21:E21"/>
    <mergeCell ref="D22:E22"/>
    <mergeCell ref="J18:K18"/>
    <mergeCell ref="H15:I15"/>
    <mergeCell ref="J15:K15"/>
    <mergeCell ref="J21:K21"/>
    <mergeCell ref="J20:K20"/>
    <mergeCell ref="F20:G20"/>
    <mergeCell ref="H20:I20"/>
    <mergeCell ref="R12:S12"/>
    <mergeCell ref="P12:Q12"/>
    <mergeCell ref="J19:K19"/>
    <mergeCell ref="H19:I19"/>
    <mergeCell ref="F19:G19"/>
    <mergeCell ref="V12:W12"/>
    <mergeCell ref="J12:K12"/>
    <mergeCell ref="H12:I12"/>
    <mergeCell ref="F12:G12"/>
    <mergeCell ref="F13:G13"/>
    <mergeCell ref="H13:I13"/>
    <mergeCell ref="J13:K13"/>
    <mergeCell ref="V13:W13"/>
    <mergeCell ref="V14:W14"/>
    <mergeCell ref="J14:K14"/>
    <mergeCell ref="H14:I14"/>
    <mergeCell ref="F14:G14"/>
    <mergeCell ref="J17:K17"/>
    <mergeCell ref="H17:I17"/>
    <mergeCell ref="F17:G17"/>
    <mergeCell ref="F18:G18"/>
    <mergeCell ref="H18:I18"/>
    <mergeCell ref="F15:G15"/>
    <mergeCell ref="N19:O19"/>
    <mergeCell ref="J25:K25"/>
    <mergeCell ref="J29:K29"/>
    <mergeCell ref="J26:K26"/>
    <mergeCell ref="H26:I26"/>
    <mergeCell ref="F26:G26"/>
    <mergeCell ref="F27:G27"/>
    <mergeCell ref="H27:I27"/>
    <mergeCell ref="J27:K27"/>
    <mergeCell ref="R20:S20"/>
    <mergeCell ref="R25:S25"/>
    <mergeCell ref="R23:S23"/>
    <mergeCell ref="R24:S24"/>
    <mergeCell ref="V31:W31"/>
    <mergeCell ref="V29:W29"/>
    <mergeCell ref="V30:W30"/>
    <mergeCell ref="L31:M31"/>
    <mergeCell ref="R22:S22"/>
    <mergeCell ref="V28:W28"/>
    <mergeCell ref="L28:M28"/>
    <mergeCell ref="L24:M24"/>
    <mergeCell ref="L25:M25"/>
    <mergeCell ref="V24:W24"/>
    <mergeCell ref="N27:O27"/>
    <mergeCell ref="L22:M22"/>
    <mergeCell ref="L23:M23"/>
    <mergeCell ref="R26:S26"/>
    <mergeCell ref="V27:W27"/>
    <mergeCell ref="P27:Q27"/>
    <mergeCell ref="N30:O30"/>
    <mergeCell ref="P30:Q30"/>
    <mergeCell ref="P31:Q31"/>
    <mergeCell ref="N22:O22"/>
    <mergeCell ref="V22:W22"/>
    <mergeCell ref="V23:W23"/>
    <mergeCell ref="P22:Q22"/>
    <mergeCell ref="L12:M12"/>
    <mergeCell ref="L13:M13"/>
    <mergeCell ref="P20:Q20"/>
    <mergeCell ref="N20:O20"/>
    <mergeCell ref="N21:O21"/>
    <mergeCell ref="L14:M14"/>
    <mergeCell ref="L15:M15"/>
    <mergeCell ref="L17:M17"/>
    <mergeCell ref="L34:M34"/>
    <mergeCell ref="L30:M30"/>
    <mergeCell ref="P26:Q26"/>
    <mergeCell ref="N26:O26"/>
    <mergeCell ref="N28:O28"/>
    <mergeCell ref="P24:Q24"/>
    <mergeCell ref="P25:Q25"/>
    <mergeCell ref="N24:O24"/>
    <mergeCell ref="N25:O25"/>
    <mergeCell ref="P28:Q28"/>
    <mergeCell ref="L29:M29"/>
    <mergeCell ref="L36:M36"/>
    <mergeCell ref="L26:M26"/>
    <mergeCell ref="L27:M27"/>
    <mergeCell ref="N23:O23"/>
    <mergeCell ref="P23:Q23"/>
    <mergeCell ref="L21:M21"/>
    <mergeCell ref="N29:O29"/>
    <mergeCell ref="P29:Q29"/>
    <mergeCell ref="P36:Q36"/>
    <mergeCell ref="N36:O36"/>
    <mergeCell ref="N31:O31"/>
    <mergeCell ref="L35:M35"/>
    <mergeCell ref="N35:O35"/>
    <mergeCell ref="P35:Q35"/>
    <mergeCell ref="P34:Q34"/>
    <mergeCell ref="N34:O34"/>
    <mergeCell ref="P21:Q21"/>
    <mergeCell ref="R17:S17"/>
    <mergeCell ref="R14:S14"/>
    <mergeCell ref="R19:S19"/>
    <mergeCell ref="T19:U19"/>
    <mergeCell ref="F9:G9"/>
    <mergeCell ref="H9:I9"/>
    <mergeCell ref="J9:K9"/>
    <mergeCell ref="R18:S18"/>
    <mergeCell ref="R21:S21"/>
    <mergeCell ref="T21:U21"/>
    <mergeCell ref="L18:M18"/>
    <mergeCell ref="L19:M19"/>
    <mergeCell ref="P19:Q19"/>
    <mergeCell ref="L20:M20"/>
    <mergeCell ref="P18:Q18"/>
    <mergeCell ref="N18:O18"/>
    <mergeCell ref="P11:Q11"/>
    <mergeCell ref="N13:O13"/>
    <mergeCell ref="P13:Q13"/>
    <mergeCell ref="P14:Q14"/>
    <mergeCell ref="N14:O14"/>
    <mergeCell ref="N15:O15"/>
    <mergeCell ref="P15:Q15"/>
    <mergeCell ref="N12:O12"/>
    <mergeCell ref="V9:W9"/>
    <mergeCell ref="H11:I11"/>
    <mergeCell ref="D9:E9"/>
    <mergeCell ref="D11:E11"/>
    <mergeCell ref="J10:K10"/>
    <mergeCell ref="H10:I10"/>
    <mergeCell ref="F10:G10"/>
    <mergeCell ref="D10:E10"/>
    <mergeCell ref="F11:G11"/>
    <mergeCell ref="R9:S9"/>
    <mergeCell ref="T9:U9"/>
    <mergeCell ref="P9:Q9"/>
    <mergeCell ref="N9:O9"/>
    <mergeCell ref="L9:M9"/>
    <mergeCell ref="P10:Q10"/>
    <mergeCell ref="J11:K11"/>
    <mergeCell ref="V11:W11"/>
    <mergeCell ref="L11:M11"/>
    <mergeCell ref="R11:S11"/>
    <mergeCell ref="T11:U11"/>
    <mergeCell ref="N11:O11"/>
    <mergeCell ref="X10:Y10"/>
    <mergeCell ref="T10:U10"/>
    <mergeCell ref="R10:S10"/>
    <mergeCell ref="L10:M10"/>
    <mergeCell ref="N10:O10"/>
    <mergeCell ref="X11:Y11"/>
    <mergeCell ref="X9:Y9"/>
    <mergeCell ref="X23:Y23"/>
    <mergeCell ref="X24:Y24"/>
    <mergeCell ref="T24:U24"/>
    <mergeCell ref="P17:Q17"/>
    <mergeCell ref="N17:O17"/>
    <mergeCell ref="R13:S13"/>
    <mergeCell ref="X13:Y13"/>
    <mergeCell ref="X21:Y21"/>
    <mergeCell ref="X22:Y22"/>
    <mergeCell ref="X15:Y15"/>
    <mergeCell ref="X17:Y17"/>
    <mergeCell ref="X20:Y20"/>
    <mergeCell ref="V19:W19"/>
    <mergeCell ref="V16:W16"/>
    <mergeCell ref="R16:S16"/>
    <mergeCell ref="R15:S15"/>
    <mergeCell ref="T15:U15"/>
    <mergeCell ref="X26:Y26"/>
    <mergeCell ref="T26:U26"/>
    <mergeCell ref="T23:U23"/>
    <mergeCell ref="X12:Y12"/>
    <mergeCell ref="T18:U18"/>
    <mergeCell ref="X18:Y18"/>
    <mergeCell ref="X19:Y19"/>
    <mergeCell ref="X14:Y14"/>
    <mergeCell ref="T13:U13"/>
    <mergeCell ref="T12:U12"/>
    <mergeCell ref="T14:U14"/>
    <mergeCell ref="V25:W25"/>
    <mergeCell ref="X25:Y25"/>
    <mergeCell ref="T25:U25"/>
    <mergeCell ref="V26:W26"/>
    <mergeCell ref="V15:W15"/>
    <mergeCell ref="T22:U22"/>
    <mergeCell ref="V17:W17"/>
    <mergeCell ref="V18:W18"/>
    <mergeCell ref="V20:W20"/>
    <mergeCell ref="V21:W21"/>
    <mergeCell ref="T16:U16"/>
    <mergeCell ref="T17:U17"/>
    <mergeCell ref="T20:U20"/>
    <mergeCell ref="X36:Y36"/>
    <mergeCell ref="T36:U36"/>
    <mergeCell ref="R36:S36"/>
    <mergeCell ref="X35:Y35"/>
    <mergeCell ref="X34:Y34"/>
    <mergeCell ref="T34:U34"/>
    <mergeCell ref="R34:S34"/>
    <mergeCell ref="X27:Y27"/>
    <mergeCell ref="T27:U27"/>
    <mergeCell ref="T28:U28"/>
    <mergeCell ref="T29:U29"/>
    <mergeCell ref="R27:S27"/>
    <mergeCell ref="R28:S28"/>
    <mergeCell ref="R29:S29"/>
    <mergeCell ref="R35:S35"/>
    <mergeCell ref="R30:S30"/>
    <mergeCell ref="R31:S31"/>
    <mergeCell ref="T30:U30"/>
    <mergeCell ref="T35:U35"/>
    <mergeCell ref="X30:Y30"/>
    <mergeCell ref="X31:Y31"/>
    <mergeCell ref="X29:Y29"/>
    <mergeCell ref="X28:Y28"/>
    <mergeCell ref="T31:U31"/>
    <mergeCell ref="D42:E42"/>
    <mergeCell ref="L41:M41"/>
    <mergeCell ref="J42:K42"/>
    <mergeCell ref="F38:G38"/>
    <mergeCell ref="F39:G39"/>
    <mergeCell ref="H38:I38"/>
    <mergeCell ref="H39:I39"/>
    <mergeCell ref="D40:E40"/>
    <mergeCell ref="X43:Y43"/>
    <mergeCell ref="T43:U43"/>
    <mergeCell ref="N42:O42"/>
    <mergeCell ref="P41:Q41"/>
    <mergeCell ref="P42:Q42"/>
    <mergeCell ref="R41:S41"/>
    <mergeCell ref="R42:S42"/>
    <mergeCell ref="R43:S43"/>
    <mergeCell ref="P43:Q43"/>
    <mergeCell ref="T41:U41"/>
    <mergeCell ref="T42:U42"/>
    <mergeCell ref="X41:Y41"/>
    <mergeCell ref="X42:Y42"/>
    <mergeCell ref="V43:W43"/>
    <mergeCell ref="V42:W42"/>
    <mergeCell ref="V41:W41"/>
    <mergeCell ref="J40:K40"/>
    <mergeCell ref="F40:G40"/>
    <mergeCell ref="F41:G41"/>
    <mergeCell ref="H41:I41"/>
    <mergeCell ref="L40:M40"/>
    <mergeCell ref="J39:K39"/>
    <mergeCell ref="J41:K41"/>
    <mergeCell ref="B38:C38"/>
    <mergeCell ref="B39:C39"/>
    <mergeCell ref="B41:C41"/>
    <mergeCell ref="X37:Y37"/>
    <mergeCell ref="P37:Q37"/>
    <mergeCell ref="P38:Q38"/>
    <mergeCell ref="P39:Q39"/>
    <mergeCell ref="P40:Q40"/>
    <mergeCell ref="R40:S40"/>
    <mergeCell ref="R39:S39"/>
    <mergeCell ref="R38:S38"/>
    <mergeCell ref="R37:S37"/>
    <mergeCell ref="T37:U37"/>
    <mergeCell ref="T38:U38"/>
    <mergeCell ref="T39:U39"/>
    <mergeCell ref="T40:U40"/>
    <mergeCell ref="X40:Y40"/>
    <mergeCell ref="X39:Y39"/>
    <mergeCell ref="X38:Y38"/>
    <mergeCell ref="V38:W38"/>
    <mergeCell ref="V39:W39"/>
    <mergeCell ref="H43:I43"/>
    <mergeCell ref="F43:G43"/>
    <mergeCell ref="D16:E16"/>
    <mergeCell ref="F16:G16"/>
    <mergeCell ref="H16:I16"/>
    <mergeCell ref="C47:E47"/>
    <mergeCell ref="N16:O16"/>
    <mergeCell ref="P16:Q16"/>
    <mergeCell ref="N37:O37"/>
    <mergeCell ref="N38:O38"/>
    <mergeCell ref="N39:O39"/>
    <mergeCell ref="N40:O40"/>
    <mergeCell ref="N41:O41"/>
    <mergeCell ref="N43:O43"/>
    <mergeCell ref="L43:M43"/>
    <mergeCell ref="H42:I42"/>
    <mergeCell ref="F42:G42"/>
    <mergeCell ref="L37:M37"/>
    <mergeCell ref="L38:M38"/>
    <mergeCell ref="L39:M39"/>
    <mergeCell ref="L42:M42"/>
    <mergeCell ref="J38:K38"/>
    <mergeCell ref="H40:I40"/>
    <mergeCell ref="B42:C42"/>
  </mergeCells>
  <phoneticPr fontId="2" type="noConversion"/>
  <conditionalFormatting sqref="B31 D31 F31 H31 J31 L31 N31 P31 R31 T31 V31 X31 B42 D42 F42 H42 J42 L42 N42 P42 R42 T42 X42">
    <cfRule type="cellIs" dxfId="8" priority="4" stopIfTrue="1" operator="lessThan">
      <formula>0</formula>
    </cfRule>
  </conditionalFormatting>
  <conditionalFormatting sqref="V42:W42">
    <cfRule type="cellIs" dxfId="7" priority="1" operator="lessThan">
      <formula>0</formula>
    </cfRule>
    <cfRule type="cellIs" dxfId="6" priority="2" operator="lessThan">
      <formula>0</formula>
    </cfRule>
    <cfRule type="colorScale" priority="3">
      <colorScale>
        <cfvo type="formula" val="&quot;&lt;0&quot;"/>
        <cfvo type="formula" val="&quot;&gt;0&quot;"/>
        <color rgb="FFFF0000"/>
        <color theme="1"/>
      </colorScale>
    </cfRule>
  </conditionalFormatting>
  <printOptions horizontalCentered="1" verticalCentered="1"/>
  <pageMargins left="0.5" right="0.5" top="0.5" bottom="0.5" header="0.25" footer="0.25"/>
  <pageSetup scale="10" orientation="landscape"/>
  <headerFooter>
    <oddFooter>&amp;L&amp;G</oddFooter>
  </headerFooter>
  <ignoredErrors>
    <ignoredError sqref="D9 N9 D44:D45 N44:N45" formula="1"/>
    <ignoredError sqref="N32 D32" formula="1" unlockedFormula="1"/>
    <ignoredError sqref="L8 D34 X12 D12 N34 H17:H18 X17:X18 X21 D27 F17:F18 D30:D31 N30:N31 P21 X8 F12 H12 J12 L21 N21 P8 P17:P18 P12 R8 R17:R18 R12 T8 T21 T17:T18 T12 Y35 C35" unlockedFormula="1"/>
  </ignoredErrors>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84"/>
  <sheetViews>
    <sheetView workbookViewId="0">
      <selection activeCell="C15" sqref="C15"/>
    </sheetView>
  </sheetViews>
  <sheetFormatPr baseColWidth="10" defaultColWidth="8.83203125" defaultRowHeight="13" x14ac:dyDescent="0.15"/>
  <cols>
    <col min="1" max="1" width="11.6640625" bestFit="1" customWidth="1"/>
    <col min="2" max="4" width="7.6640625" style="2" bestFit="1" customWidth="1"/>
    <col min="5" max="5" width="8.6640625" style="2" bestFit="1" customWidth="1"/>
    <col min="6" max="6" width="2.5" customWidth="1"/>
    <col min="7" max="9" width="7.6640625" bestFit="1" customWidth="1"/>
    <col min="10" max="10" width="8.33203125" bestFit="1" customWidth="1"/>
    <col min="11" max="11" width="1.6640625" customWidth="1"/>
    <col min="12" max="14" width="7.6640625" bestFit="1" customWidth="1"/>
    <col min="15" max="15" width="8.33203125" bestFit="1" customWidth="1"/>
    <col min="16" max="16" width="1.83203125" customWidth="1"/>
    <col min="17" max="19" width="7.6640625" bestFit="1" customWidth="1"/>
    <col min="20" max="20" width="8.33203125" bestFit="1" customWidth="1"/>
  </cols>
  <sheetData>
    <row r="1" spans="1:20" x14ac:dyDescent="0.15">
      <c r="A1" s="382" t="s">
        <v>85</v>
      </c>
      <c r="B1" s="382"/>
      <c r="C1" s="382"/>
      <c r="D1" s="382"/>
      <c r="E1" s="382"/>
      <c r="F1" s="382"/>
      <c r="G1" s="382"/>
      <c r="H1" s="382"/>
      <c r="I1" s="382"/>
      <c r="J1" s="382"/>
      <c r="K1" s="382"/>
      <c r="L1" s="382"/>
      <c r="M1" s="382"/>
      <c r="N1" s="382"/>
      <c r="O1" s="382"/>
      <c r="P1" s="382"/>
      <c r="Q1" s="382"/>
      <c r="R1" s="382"/>
      <c r="S1" s="382"/>
      <c r="T1" s="382"/>
    </row>
    <row r="2" spans="1:20" x14ac:dyDescent="0.15">
      <c r="B2" s="2" t="s">
        <v>2</v>
      </c>
      <c r="C2" s="2" t="s">
        <v>68</v>
      </c>
      <c r="D2" s="2" t="s">
        <v>4</v>
      </c>
      <c r="E2" s="2" t="s">
        <v>69</v>
      </c>
    </row>
    <row r="3" spans="1:20" x14ac:dyDescent="0.15">
      <c r="A3" s="1" t="s">
        <v>70</v>
      </c>
      <c r="B3" s="3">
        <f>Conventional!$B$30</f>
        <v>717.57165227272731</v>
      </c>
      <c r="C3" s="3">
        <f>Conventional!$D$30</f>
        <v>814.93106250000017</v>
      </c>
      <c r="D3" s="3">
        <f>Conventional!$F$30</f>
        <v>799.43300000000011</v>
      </c>
      <c r="E3" s="3">
        <f>Conventional!$H$30</f>
        <v>362.09910687500002</v>
      </c>
    </row>
    <row r="4" spans="1:20" x14ac:dyDescent="0.15">
      <c r="A4" s="1" t="s">
        <v>71</v>
      </c>
      <c r="B4" s="4">
        <f>Conventional!$B$7</f>
        <v>1200</v>
      </c>
      <c r="C4" s="4">
        <f>Conventional!$D$7</f>
        <v>4700</v>
      </c>
      <c r="D4" s="4">
        <f>Conventional!$F$7</f>
        <v>200</v>
      </c>
      <c r="E4" s="4">
        <f>Conventional!$H$7</f>
        <v>60</v>
      </c>
    </row>
    <row r="5" spans="1:20" s="5" customFormat="1" x14ac:dyDescent="0.15">
      <c r="B5" s="383" t="s">
        <v>74</v>
      </c>
      <c r="C5" s="383"/>
      <c r="D5" s="383"/>
      <c r="E5" s="383"/>
      <c r="G5" s="384" t="s">
        <v>75</v>
      </c>
      <c r="H5" s="384"/>
      <c r="I5" s="384"/>
      <c r="J5" s="384"/>
      <c r="L5" s="385" t="s">
        <v>76</v>
      </c>
      <c r="M5" s="385"/>
      <c r="N5" s="385"/>
      <c r="O5" s="385"/>
      <c r="Q5" s="386" t="s">
        <v>77</v>
      </c>
      <c r="R5" s="386"/>
      <c r="S5" s="386"/>
      <c r="T5" s="386"/>
    </row>
    <row r="6" spans="1:20" s="7" customFormat="1" ht="28" x14ac:dyDescent="0.15">
      <c r="A6" s="6"/>
      <c r="B6" s="23" t="s">
        <v>50</v>
      </c>
      <c r="C6" s="31" t="s">
        <v>78</v>
      </c>
      <c r="D6" s="31" t="s">
        <v>47</v>
      </c>
      <c r="E6" s="31" t="s">
        <v>79</v>
      </c>
      <c r="F6" s="27"/>
      <c r="G6" s="30" t="s">
        <v>50</v>
      </c>
      <c r="H6" s="24" t="s">
        <v>78</v>
      </c>
      <c r="I6" s="30" t="s">
        <v>47</v>
      </c>
      <c r="J6" s="30" t="s">
        <v>79</v>
      </c>
      <c r="K6" s="27"/>
      <c r="L6" s="29" t="s">
        <v>50</v>
      </c>
      <c r="M6" s="29" t="s">
        <v>78</v>
      </c>
      <c r="N6" s="25" t="s">
        <v>47</v>
      </c>
      <c r="O6" s="29" t="s">
        <v>79</v>
      </c>
      <c r="P6" s="27"/>
      <c r="Q6" s="28" t="s">
        <v>50</v>
      </c>
      <c r="R6" s="28" t="s">
        <v>78</v>
      </c>
      <c r="S6" s="26" t="s">
        <v>47</v>
      </c>
      <c r="T6" s="28" t="s">
        <v>79</v>
      </c>
    </row>
    <row r="7" spans="1:20" x14ac:dyDescent="0.15">
      <c r="B7" s="16">
        <f t="shared" ref="B7:B12" si="0">B8-0.025</f>
        <v>0.58499999999999985</v>
      </c>
      <c r="C7" s="17">
        <f t="shared" ref="C7:C21" si="1">(((B7*$B$4)-$B$3+$C$3)/$C$4)*2000</f>
        <v>340.15294052224363</v>
      </c>
      <c r="D7" s="16">
        <f t="shared" ref="D7:D21" si="2">(((B7*$B$4)-$B$3+$D$3)/$D$4)</f>
        <v>3.9193067386363629</v>
      </c>
      <c r="E7" s="16">
        <f>(((B7*$B$4)-$B$3+$E$3)/$E$4)</f>
        <v>5.7754575767045413</v>
      </c>
      <c r="G7" s="18">
        <f>(((H7*$C$4/2000)-$C$3+$B$3)/$B$4)</f>
        <v>0.78542965814393928</v>
      </c>
      <c r="H7" s="19">
        <f t="shared" ref="H7:H12" si="3">H8-10</f>
        <v>442.5</v>
      </c>
      <c r="I7" s="18">
        <f>(((H7*$C$4/2000)-$C$3+$D$3)/$D$4)</f>
        <v>5.1218846874999997</v>
      </c>
      <c r="J7" s="18">
        <f>(((H7*$C$4/2000)-$C$3+$E$3)/$E$4)</f>
        <v>9.784050739583332</v>
      </c>
      <c r="L7" s="12">
        <f>(((N7*$D$4)-$D$3+$B$3)/$B$4)</f>
        <v>0.65678221022727223</v>
      </c>
      <c r="M7" s="13">
        <f>(((N7*$D$4)-$D$3+$C$3)/$C$4)*2000</f>
        <v>376.80768617021261</v>
      </c>
      <c r="N7" s="12">
        <f t="shared" ref="N7:N12" si="4">N8-0.15</f>
        <v>4.3499999999999979</v>
      </c>
      <c r="O7" s="12">
        <f>(((N7*$D$4)-$D$3+$E$3)/$E$4)</f>
        <v>7.2111017812499911</v>
      </c>
      <c r="Q7" s="8">
        <f>(((T7*$E$4)-$E$3+$B$3)/$B$4)</f>
        <v>0.7487271211647728</v>
      </c>
      <c r="R7" s="9">
        <f>(((T7*$E$4)-$E$3+$C$3)/$C$4)*2000</f>
        <v>423.75827898936188</v>
      </c>
      <c r="S7" s="8">
        <f>(((T7*$E$4)-$E$3+$D$3)/$D$4)</f>
        <v>4.9016694656250017</v>
      </c>
      <c r="T7" s="8">
        <f t="shared" ref="T7:T12" si="5">T8-0.35</f>
        <v>9.0500000000000025</v>
      </c>
    </row>
    <row r="8" spans="1:20" x14ac:dyDescent="0.15">
      <c r="B8" s="16">
        <f t="shared" si="0"/>
        <v>0.60999999999999988</v>
      </c>
      <c r="C8" s="17">
        <f t="shared" si="1"/>
        <v>352.91889796905224</v>
      </c>
      <c r="D8" s="16">
        <f t="shared" si="2"/>
        <v>4.0693067386363637</v>
      </c>
      <c r="E8" s="16">
        <f>(((B8*$B$4)-$B$3+$E$3)/$E$4)</f>
        <v>6.2754575767045431</v>
      </c>
      <c r="G8" s="18">
        <f t="shared" ref="G8:G21" si="6">(((H8*$C$4/2000)-$C$3+$B$3)/$B$4)</f>
        <v>0.80501299147727257</v>
      </c>
      <c r="H8" s="19">
        <f t="shared" si="3"/>
        <v>452.5</v>
      </c>
      <c r="I8" s="18">
        <f t="shared" ref="I8:I21" si="7">(((H8*$C$4/2000)-$C$3+$D$3)/$D$4)</f>
        <v>5.2393846874999994</v>
      </c>
      <c r="J8" s="18">
        <f t="shared" ref="J8:J21" si="8">(((H8*$C$4/2000)-$C$3+$E$3)/$E$4)</f>
        <v>10.175717406249998</v>
      </c>
      <c r="L8" s="12">
        <f t="shared" ref="L8:L21" si="9">(((N8*$D$4)-$D$3+$B$3)/$B$4)</f>
        <v>0.68178221022727237</v>
      </c>
      <c r="M8" s="13">
        <f t="shared" ref="M8:M21" si="10">(((N8*$D$4)-$D$3+$C$3)/$C$4)*2000</f>
        <v>389.57364361702116</v>
      </c>
      <c r="N8" s="12">
        <f t="shared" si="4"/>
        <v>4.4999999999999982</v>
      </c>
      <c r="O8" s="12">
        <f t="shared" ref="O8:O21" si="11">(((N8*$D$4)-$D$3+$E$3)/$E$4)</f>
        <v>7.7111017812499929</v>
      </c>
      <c r="Q8" s="8">
        <f t="shared" ref="Q8:Q21" si="12">(((T8*$E$4)-$E$3+$B$3)/$B$4)</f>
        <v>0.76622712116477276</v>
      </c>
      <c r="R8" s="9">
        <f t="shared" ref="R8:R21" si="13">(((T8*$E$4)-$E$3+$C$3)/$C$4)*2000</f>
        <v>432.69444920212777</v>
      </c>
      <c r="S8" s="8">
        <f t="shared" ref="S8:S21" si="14">(((T8*$E$4)-$E$3+$D$3)/$D$4)</f>
        <v>5.0066694656250013</v>
      </c>
      <c r="T8" s="8">
        <f t="shared" si="5"/>
        <v>9.4000000000000021</v>
      </c>
    </row>
    <row r="9" spans="1:20" x14ac:dyDescent="0.15">
      <c r="B9" s="16">
        <f t="shared" si="0"/>
        <v>0.6349999999999999</v>
      </c>
      <c r="C9" s="17">
        <f t="shared" si="1"/>
        <v>365.68485541586074</v>
      </c>
      <c r="D9" s="16">
        <f t="shared" si="2"/>
        <v>4.2193067386363632</v>
      </c>
      <c r="E9" s="16">
        <f t="shared" ref="E9:E21" si="15">(((B9*$B$4)-$B$3+$E$3)/$E$4)</f>
        <v>6.7754575767045431</v>
      </c>
      <c r="G9" s="18">
        <f t="shared" si="6"/>
        <v>0.82459632481060596</v>
      </c>
      <c r="H9" s="19">
        <f t="shared" si="3"/>
        <v>462.5</v>
      </c>
      <c r="I9" s="18">
        <f t="shared" si="7"/>
        <v>5.3568846875</v>
      </c>
      <c r="J9" s="18">
        <f t="shared" si="8"/>
        <v>10.567384072916665</v>
      </c>
      <c r="L9" s="12">
        <f t="shared" si="9"/>
        <v>0.7067822102272725</v>
      </c>
      <c r="M9" s="13">
        <f t="shared" si="10"/>
        <v>402.33960106382972</v>
      </c>
      <c r="N9" s="12">
        <f t="shared" si="4"/>
        <v>4.6499999999999986</v>
      </c>
      <c r="O9" s="12">
        <f t="shared" si="11"/>
        <v>8.2111017812499956</v>
      </c>
      <c r="Q9" s="8">
        <f t="shared" si="12"/>
        <v>0.78372712116477283</v>
      </c>
      <c r="R9" s="9">
        <f t="shared" si="13"/>
        <v>441.63061941489372</v>
      </c>
      <c r="S9" s="8">
        <f t="shared" si="14"/>
        <v>5.1116694656250017</v>
      </c>
      <c r="T9" s="8">
        <f t="shared" si="5"/>
        <v>9.7500000000000018</v>
      </c>
    </row>
    <row r="10" spans="1:20" x14ac:dyDescent="0.15">
      <c r="B10" s="16">
        <f t="shared" si="0"/>
        <v>0.65999999999999992</v>
      </c>
      <c r="C10" s="17">
        <f t="shared" si="1"/>
        <v>378.45081286266924</v>
      </c>
      <c r="D10" s="16">
        <f t="shared" si="2"/>
        <v>4.3693067386363635</v>
      </c>
      <c r="E10" s="16">
        <f t="shared" si="15"/>
        <v>7.2754575767045431</v>
      </c>
      <c r="G10" s="18">
        <f t="shared" si="6"/>
        <v>0.84417965814393925</v>
      </c>
      <c r="H10" s="19">
        <f t="shared" si="3"/>
        <v>472.5</v>
      </c>
      <c r="I10" s="18">
        <f t="shared" si="7"/>
        <v>5.4743846874999997</v>
      </c>
      <c r="J10" s="18">
        <f t="shared" si="8"/>
        <v>10.959050739583331</v>
      </c>
      <c r="L10" s="12">
        <f t="shared" si="9"/>
        <v>0.73178221022727252</v>
      </c>
      <c r="M10" s="13">
        <f t="shared" si="10"/>
        <v>415.10555851063822</v>
      </c>
      <c r="N10" s="12">
        <f t="shared" si="4"/>
        <v>4.7999999999999989</v>
      </c>
      <c r="O10" s="12">
        <f t="shared" si="11"/>
        <v>8.7111017812499956</v>
      </c>
      <c r="Q10" s="8">
        <f t="shared" si="12"/>
        <v>0.80122712116477279</v>
      </c>
      <c r="R10" s="9">
        <f t="shared" si="13"/>
        <v>450.56678962765972</v>
      </c>
      <c r="S10" s="8">
        <f t="shared" si="14"/>
        <v>5.2166694656250012</v>
      </c>
      <c r="T10" s="8">
        <f t="shared" si="5"/>
        <v>10.100000000000001</v>
      </c>
    </row>
    <row r="11" spans="1:20" x14ac:dyDescent="0.15">
      <c r="B11" s="16">
        <f t="shared" si="0"/>
        <v>0.68499999999999994</v>
      </c>
      <c r="C11" s="17">
        <f t="shared" si="1"/>
        <v>391.21677030947779</v>
      </c>
      <c r="D11" s="16">
        <f t="shared" si="2"/>
        <v>4.519306738636363</v>
      </c>
      <c r="E11" s="16">
        <f t="shared" si="15"/>
        <v>7.7754575767045431</v>
      </c>
      <c r="G11" s="18">
        <f t="shared" si="6"/>
        <v>0.86376299147727276</v>
      </c>
      <c r="H11" s="19">
        <f t="shared" si="3"/>
        <v>482.5</v>
      </c>
      <c r="I11" s="18">
        <f t="shared" si="7"/>
        <v>5.5918846874999995</v>
      </c>
      <c r="J11" s="18">
        <f t="shared" si="8"/>
        <v>11.350717406249998</v>
      </c>
      <c r="L11" s="12">
        <f t="shared" si="9"/>
        <v>0.75678221022727254</v>
      </c>
      <c r="M11" s="13">
        <f t="shared" si="10"/>
        <v>427.87151595744677</v>
      </c>
      <c r="N11" s="12">
        <f t="shared" si="4"/>
        <v>4.9499999999999993</v>
      </c>
      <c r="O11" s="12">
        <f t="shared" si="11"/>
        <v>9.2111017812499956</v>
      </c>
      <c r="Q11" s="8">
        <f t="shared" si="12"/>
        <v>0.81872712116477275</v>
      </c>
      <c r="R11" s="9">
        <f t="shared" si="13"/>
        <v>459.50295984042566</v>
      </c>
      <c r="S11" s="8">
        <f t="shared" si="14"/>
        <v>5.3216694656250016</v>
      </c>
      <c r="T11" s="8">
        <f t="shared" si="5"/>
        <v>10.450000000000001</v>
      </c>
    </row>
    <row r="12" spans="1:20" x14ac:dyDescent="0.15">
      <c r="B12" s="16">
        <f t="shared" si="0"/>
        <v>0.71</v>
      </c>
      <c r="C12" s="17">
        <f t="shared" si="1"/>
        <v>403.98272775628629</v>
      </c>
      <c r="D12" s="16">
        <f t="shared" si="2"/>
        <v>4.6693067386363643</v>
      </c>
      <c r="E12" s="16">
        <f t="shared" si="15"/>
        <v>8.2754575767045448</v>
      </c>
      <c r="G12" s="18">
        <f t="shared" si="6"/>
        <v>0.88334632481060604</v>
      </c>
      <c r="H12" s="19">
        <f t="shared" si="3"/>
        <v>492.5</v>
      </c>
      <c r="I12" s="18">
        <f t="shared" si="7"/>
        <v>5.7093846875000001</v>
      </c>
      <c r="J12" s="18">
        <f t="shared" si="8"/>
        <v>11.742384072916666</v>
      </c>
      <c r="L12" s="12">
        <f t="shared" si="9"/>
        <v>0.78178221022727257</v>
      </c>
      <c r="M12" s="13">
        <f t="shared" si="10"/>
        <v>440.63747340425522</v>
      </c>
      <c r="N12" s="12">
        <f t="shared" si="4"/>
        <v>5.0999999999999996</v>
      </c>
      <c r="O12" s="12">
        <f t="shared" si="11"/>
        <v>9.7111017812499956</v>
      </c>
      <c r="Q12" s="8">
        <f t="shared" si="12"/>
        <v>0.83622712116477282</v>
      </c>
      <c r="R12" s="9">
        <f t="shared" si="13"/>
        <v>468.43913005319155</v>
      </c>
      <c r="S12" s="8">
        <f t="shared" si="14"/>
        <v>5.4266694656250003</v>
      </c>
      <c r="T12" s="8">
        <f t="shared" si="5"/>
        <v>10.8</v>
      </c>
    </row>
    <row r="13" spans="1:20" ht="14" thickBot="1" x14ac:dyDescent="0.2">
      <c r="B13" s="16">
        <f>B14-0.025</f>
        <v>0.73499999999999999</v>
      </c>
      <c r="C13" s="17">
        <f t="shared" si="1"/>
        <v>416.74868520309485</v>
      </c>
      <c r="D13" s="16">
        <f t="shared" si="2"/>
        <v>4.8193067386363637</v>
      </c>
      <c r="E13" s="16">
        <f t="shared" si="15"/>
        <v>8.7754575767045448</v>
      </c>
      <c r="G13" s="18">
        <f t="shared" si="6"/>
        <v>0.90292965814393933</v>
      </c>
      <c r="H13" s="19">
        <f>H14-10</f>
        <v>502.5</v>
      </c>
      <c r="I13" s="18">
        <f t="shared" si="7"/>
        <v>5.8268846874999998</v>
      </c>
      <c r="J13" s="18">
        <f t="shared" si="8"/>
        <v>12.134050739583332</v>
      </c>
      <c r="L13" s="12">
        <f t="shared" si="9"/>
        <v>0.8067822102272727</v>
      </c>
      <c r="M13" s="13">
        <f t="shared" si="10"/>
        <v>453.40343085106389</v>
      </c>
      <c r="N13" s="12">
        <f>N14-0.15</f>
        <v>5.25</v>
      </c>
      <c r="O13" s="12">
        <f t="shared" si="11"/>
        <v>10.211101781249999</v>
      </c>
      <c r="Q13" s="8">
        <f t="shared" si="12"/>
        <v>0.85372712116477278</v>
      </c>
      <c r="R13" s="9">
        <f t="shared" si="13"/>
        <v>477.37530026595749</v>
      </c>
      <c r="S13" s="8">
        <f t="shared" si="14"/>
        <v>5.5316694656249998</v>
      </c>
      <c r="T13" s="8">
        <f>T14-0.35</f>
        <v>11.15</v>
      </c>
    </row>
    <row r="14" spans="1:20" ht="14" thickBot="1" x14ac:dyDescent="0.2">
      <c r="B14" s="22">
        <f>Conventional!$B$8</f>
        <v>0.76</v>
      </c>
      <c r="C14" s="17">
        <f>(((B14*$B$4)-$B$3+$C$3)/$C$4)*2000</f>
        <v>429.51464264990335</v>
      </c>
      <c r="D14" s="16">
        <f t="shared" si="2"/>
        <v>4.9693067386363641</v>
      </c>
      <c r="E14" s="16">
        <f t="shared" si="15"/>
        <v>9.2754575767045448</v>
      </c>
      <c r="G14" s="18">
        <f t="shared" si="6"/>
        <v>0.92251299147727273</v>
      </c>
      <c r="H14" s="20">
        <f>Conventional!$D$8</f>
        <v>512.5</v>
      </c>
      <c r="I14" s="18">
        <f t="shared" si="7"/>
        <v>5.9443846874999995</v>
      </c>
      <c r="J14" s="18">
        <f t="shared" si="8"/>
        <v>12.525717406249999</v>
      </c>
      <c r="L14" s="12">
        <f t="shared" si="9"/>
        <v>0.83178221022727261</v>
      </c>
      <c r="M14" s="13">
        <f t="shared" si="10"/>
        <v>466.16938829787233</v>
      </c>
      <c r="N14" s="14">
        <f>Conventional!$F$8</f>
        <v>5.4</v>
      </c>
      <c r="O14" s="12">
        <f t="shared" si="11"/>
        <v>10.711101781249999</v>
      </c>
      <c r="Q14" s="8">
        <f t="shared" si="12"/>
        <v>0.87122712116477274</v>
      </c>
      <c r="R14" s="9">
        <f t="shared" si="13"/>
        <v>486.31147047872344</v>
      </c>
      <c r="S14" s="8">
        <f t="shared" si="14"/>
        <v>5.6366694656250003</v>
      </c>
      <c r="T14" s="10">
        <f>Conventional!$H$8</f>
        <v>11.5</v>
      </c>
    </row>
    <row r="15" spans="1:20" x14ac:dyDescent="0.15">
      <c r="B15" s="16">
        <f>B14+0.025</f>
        <v>0.78500000000000003</v>
      </c>
      <c r="C15" s="17">
        <f t="shared" si="1"/>
        <v>442.28060009671185</v>
      </c>
      <c r="D15" s="16">
        <f t="shared" si="2"/>
        <v>5.1193067386363644</v>
      </c>
      <c r="E15" s="16">
        <f t="shared" si="15"/>
        <v>9.7754575767045448</v>
      </c>
      <c r="G15" s="18">
        <f t="shared" si="6"/>
        <v>0.94209632481060601</v>
      </c>
      <c r="H15" s="19">
        <f>H14+10</f>
        <v>522.5</v>
      </c>
      <c r="I15" s="18">
        <f t="shared" si="7"/>
        <v>6.0618846875000001</v>
      </c>
      <c r="J15" s="18">
        <f t="shared" si="8"/>
        <v>12.917384072916665</v>
      </c>
      <c r="L15" s="12">
        <f t="shared" si="9"/>
        <v>0.85678221022727297</v>
      </c>
      <c r="M15" s="13">
        <f t="shared" si="10"/>
        <v>478.935345744681</v>
      </c>
      <c r="N15" s="12">
        <f>N14+0.15</f>
        <v>5.5500000000000007</v>
      </c>
      <c r="O15" s="12">
        <f t="shared" si="11"/>
        <v>11.211101781250003</v>
      </c>
      <c r="Q15" s="8">
        <f t="shared" si="12"/>
        <v>0.88872712116477282</v>
      </c>
      <c r="R15" s="9">
        <f t="shared" si="13"/>
        <v>495.24764069148944</v>
      </c>
      <c r="S15" s="8">
        <f t="shared" si="14"/>
        <v>5.7416694656249998</v>
      </c>
      <c r="T15" s="8">
        <f>T14+0.35</f>
        <v>11.85</v>
      </c>
    </row>
    <row r="16" spans="1:20" x14ac:dyDescent="0.15">
      <c r="B16" s="16">
        <f t="shared" ref="B16:B21" si="16">B15+0.025</f>
        <v>0.81</v>
      </c>
      <c r="C16" s="17">
        <f t="shared" si="1"/>
        <v>455.04655754352041</v>
      </c>
      <c r="D16" s="16">
        <f t="shared" si="2"/>
        <v>5.2693067386363648</v>
      </c>
      <c r="E16" s="16">
        <f t="shared" si="15"/>
        <v>10.275457576704548</v>
      </c>
      <c r="G16" s="18">
        <f t="shared" si="6"/>
        <v>0.96167965814393941</v>
      </c>
      <c r="H16" s="19">
        <f t="shared" ref="H16:H21" si="17">H15+10</f>
        <v>532.5</v>
      </c>
      <c r="I16" s="18">
        <f t="shared" si="7"/>
        <v>6.1793846874999998</v>
      </c>
      <c r="J16" s="18">
        <f t="shared" si="8"/>
        <v>13.309050739583332</v>
      </c>
      <c r="L16" s="12">
        <f t="shared" si="9"/>
        <v>0.88178221022727299</v>
      </c>
      <c r="M16" s="13">
        <f t="shared" si="10"/>
        <v>491.70130319148944</v>
      </c>
      <c r="N16" s="12">
        <f t="shared" ref="N16:N21" si="18">N15+0.15</f>
        <v>5.7000000000000011</v>
      </c>
      <c r="O16" s="12">
        <f t="shared" si="11"/>
        <v>11.711101781250003</v>
      </c>
      <c r="Q16" s="8">
        <f t="shared" si="12"/>
        <v>0.90622712116477278</v>
      </c>
      <c r="R16" s="9">
        <f t="shared" si="13"/>
        <v>504.18381090425532</v>
      </c>
      <c r="S16" s="8">
        <f t="shared" si="14"/>
        <v>5.8466694656250002</v>
      </c>
      <c r="T16" s="8">
        <f t="shared" ref="T16:T21" si="19">T15+0.35</f>
        <v>12.2</v>
      </c>
    </row>
    <row r="17" spans="1:20" x14ac:dyDescent="0.15">
      <c r="B17" s="16">
        <f t="shared" si="16"/>
        <v>0.83500000000000008</v>
      </c>
      <c r="C17" s="17">
        <f t="shared" si="1"/>
        <v>467.81251499032896</v>
      </c>
      <c r="D17" s="16">
        <f t="shared" si="2"/>
        <v>5.4193067386363643</v>
      </c>
      <c r="E17" s="16">
        <f t="shared" si="15"/>
        <v>10.775457576704548</v>
      </c>
      <c r="G17" s="18">
        <f t="shared" si="6"/>
        <v>0.98126299147727269</v>
      </c>
      <c r="H17" s="19">
        <f t="shared" si="17"/>
        <v>542.5</v>
      </c>
      <c r="I17" s="18">
        <f t="shared" si="7"/>
        <v>6.2968846874999995</v>
      </c>
      <c r="J17" s="18">
        <f t="shared" si="8"/>
        <v>13.700717406249998</v>
      </c>
      <c r="L17" s="12">
        <f t="shared" si="9"/>
        <v>0.9067822102272729</v>
      </c>
      <c r="M17" s="13">
        <f t="shared" si="10"/>
        <v>504.46726063829794</v>
      </c>
      <c r="N17" s="12">
        <f t="shared" si="18"/>
        <v>5.8500000000000014</v>
      </c>
      <c r="O17" s="12">
        <f t="shared" si="11"/>
        <v>12.211101781250003</v>
      </c>
      <c r="Q17" s="8">
        <f t="shared" si="12"/>
        <v>0.92372712116477262</v>
      </c>
      <c r="R17" s="9">
        <f t="shared" si="13"/>
        <v>513.11998111702133</v>
      </c>
      <c r="S17" s="8">
        <f t="shared" si="14"/>
        <v>5.9516694656249998</v>
      </c>
      <c r="T17" s="8">
        <f t="shared" si="19"/>
        <v>12.549999999999999</v>
      </c>
    </row>
    <row r="18" spans="1:20" x14ac:dyDescent="0.15">
      <c r="B18" s="16">
        <f t="shared" si="16"/>
        <v>0.8600000000000001</v>
      </c>
      <c r="C18" s="17">
        <f t="shared" si="1"/>
        <v>480.57847243713752</v>
      </c>
      <c r="D18" s="16">
        <f t="shared" si="2"/>
        <v>5.5693067386363646</v>
      </c>
      <c r="E18" s="16">
        <f t="shared" si="15"/>
        <v>11.275457576704548</v>
      </c>
      <c r="G18" s="18">
        <f t="shared" si="6"/>
        <v>1.0008463248106061</v>
      </c>
      <c r="H18" s="19">
        <f t="shared" si="17"/>
        <v>552.5</v>
      </c>
      <c r="I18" s="18">
        <f t="shared" si="7"/>
        <v>6.4143846875000001</v>
      </c>
      <c r="J18" s="18">
        <f t="shared" si="8"/>
        <v>14.092384072916666</v>
      </c>
      <c r="L18" s="12">
        <f t="shared" si="9"/>
        <v>0.93178221022727292</v>
      </c>
      <c r="M18" s="13">
        <f t="shared" si="10"/>
        <v>517.23321808510661</v>
      </c>
      <c r="N18" s="12">
        <f t="shared" si="18"/>
        <v>6.0000000000000018</v>
      </c>
      <c r="O18" s="12">
        <f t="shared" si="11"/>
        <v>12.711101781250006</v>
      </c>
      <c r="Q18" s="8">
        <f t="shared" si="12"/>
        <v>0.94122712116477258</v>
      </c>
      <c r="R18" s="9">
        <f t="shared" si="13"/>
        <v>522.05615132978721</v>
      </c>
      <c r="S18" s="8">
        <f t="shared" si="14"/>
        <v>6.0566694656250002</v>
      </c>
      <c r="T18" s="8">
        <f t="shared" si="19"/>
        <v>12.899999999999999</v>
      </c>
    </row>
    <row r="19" spans="1:20" x14ac:dyDescent="0.15">
      <c r="B19" s="16">
        <f t="shared" si="16"/>
        <v>0.88500000000000012</v>
      </c>
      <c r="C19" s="17">
        <f t="shared" si="1"/>
        <v>493.34442988394608</v>
      </c>
      <c r="D19" s="16">
        <f t="shared" si="2"/>
        <v>5.719306738636365</v>
      </c>
      <c r="E19" s="16">
        <f t="shared" si="15"/>
        <v>11.775457576704548</v>
      </c>
      <c r="G19" s="18">
        <f t="shared" si="6"/>
        <v>1.0204296581439394</v>
      </c>
      <c r="H19" s="19">
        <f t="shared" si="17"/>
        <v>562.5</v>
      </c>
      <c r="I19" s="18">
        <f t="shared" si="7"/>
        <v>6.5318846874999998</v>
      </c>
      <c r="J19" s="18">
        <f t="shared" si="8"/>
        <v>14.484050739583331</v>
      </c>
      <c r="L19" s="12">
        <f t="shared" si="9"/>
        <v>0.95678221022727294</v>
      </c>
      <c r="M19" s="13">
        <f t="shared" si="10"/>
        <v>529.99917553191506</v>
      </c>
      <c r="N19" s="12">
        <f t="shared" si="18"/>
        <v>6.1500000000000021</v>
      </c>
      <c r="O19" s="12">
        <f t="shared" si="11"/>
        <v>13.211101781250006</v>
      </c>
      <c r="Q19" s="8">
        <f t="shared" si="12"/>
        <v>0.95872712116477254</v>
      </c>
      <c r="R19" s="9">
        <f t="shared" si="13"/>
        <v>530.99232154255321</v>
      </c>
      <c r="S19" s="8">
        <f t="shared" si="14"/>
        <v>6.1616694656249997</v>
      </c>
      <c r="T19" s="8">
        <f t="shared" si="19"/>
        <v>13.249999999999998</v>
      </c>
    </row>
    <row r="20" spans="1:20" x14ac:dyDescent="0.15">
      <c r="B20" s="16">
        <f t="shared" si="16"/>
        <v>0.91000000000000014</v>
      </c>
      <c r="C20" s="17">
        <f t="shared" si="1"/>
        <v>506.11038733075452</v>
      </c>
      <c r="D20" s="16">
        <f t="shared" si="2"/>
        <v>5.8693067386363644</v>
      </c>
      <c r="E20" s="16">
        <f t="shared" si="15"/>
        <v>12.275457576704548</v>
      </c>
      <c r="G20" s="18">
        <f t="shared" si="6"/>
        <v>1.0400129914772727</v>
      </c>
      <c r="H20" s="19">
        <f t="shared" si="17"/>
        <v>572.5</v>
      </c>
      <c r="I20" s="18">
        <f t="shared" si="7"/>
        <v>6.6493846874999996</v>
      </c>
      <c r="J20" s="18">
        <f t="shared" si="8"/>
        <v>14.875717406249999</v>
      </c>
      <c r="L20" s="12">
        <f t="shared" si="9"/>
        <v>0.98178221022727297</v>
      </c>
      <c r="M20" s="13">
        <f t="shared" si="10"/>
        <v>542.76513297872361</v>
      </c>
      <c r="N20" s="12">
        <f t="shared" si="18"/>
        <v>6.3000000000000025</v>
      </c>
      <c r="O20" s="12">
        <f t="shared" si="11"/>
        <v>13.711101781250006</v>
      </c>
      <c r="Q20" s="8">
        <f t="shared" si="12"/>
        <v>0.97622712116477262</v>
      </c>
      <c r="R20" s="9">
        <f t="shared" si="13"/>
        <v>539.92849175531921</v>
      </c>
      <c r="S20" s="8">
        <f t="shared" si="14"/>
        <v>6.2666694656250002</v>
      </c>
      <c r="T20" s="8">
        <f t="shared" si="19"/>
        <v>13.599999999999998</v>
      </c>
    </row>
    <row r="21" spans="1:20" x14ac:dyDescent="0.15">
      <c r="B21" s="16">
        <f t="shared" si="16"/>
        <v>0.93500000000000016</v>
      </c>
      <c r="C21" s="17">
        <f t="shared" si="1"/>
        <v>518.87634477756308</v>
      </c>
      <c r="D21" s="16">
        <f t="shared" si="2"/>
        <v>6.0193067386363648</v>
      </c>
      <c r="E21" s="16">
        <f t="shared" si="15"/>
        <v>12.775457576704548</v>
      </c>
      <c r="G21" s="18">
        <f t="shared" si="6"/>
        <v>1.0595963248106059</v>
      </c>
      <c r="H21" s="19">
        <f t="shared" si="17"/>
        <v>582.5</v>
      </c>
      <c r="I21" s="18">
        <f t="shared" si="7"/>
        <v>6.7668846874999993</v>
      </c>
      <c r="J21" s="18">
        <f t="shared" si="8"/>
        <v>15.267384072916665</v>
      </c>
      <c r="L21" s="12">
        <f t="shared" si="9"/>
        <v>1.006782210227273</v>
      </c>
      <c r="M21" s="13">
        <f t="shared" si="10"/>
        <v>555.53109042553217</v>
      </c>
      <c r="N21" s="12">
        <f t="shared" si="18"/>
        <v>6.4500000000000028</v>
      </c>
      <c r="O21" s="12">
        <f t="shared" si="11"/>
        <v>14.211101781250006</v>
      </c>
      <c r="Q21" s="8">
        <f t="shared" si="12"/>
        <v>0.99372712116477258</v>
      </c>
      <c r="R21" s="9">
        <f t="shared" si="13"/>
        <v>548.8646619680851</v>
      </c>
      <c r="S21" s="8">
        <f t="shared" si="14"/>
        <v>6.3716694656250006</v>
      </c>
      <c r="T21" s="8">
        <f t="shared" si="19"/>
        <v>13.949999999999998</v>
      </c>
    </row>
    <row r="22" spans="1:20" x14ac:dyDescent="0.15">
      <c r="B22" s="16"/>
      <c r="C22" s="17"/>
      <c r="D22" s="16"/>
      <c r="E22" s="16"/>
      <c r="G22" s="21"/>
      <c r="H22" s="21"/>
      <c r="I22" s="21"/>
      <c r="J22" s="21"/>
      <c r="L22" s="15"/>
      <c r="M22" s="15"/>
      <c r="N22" s="15"/>
      <c r="O22" s="15"/>
      <c r="Q22" s="11"/>
      <c r="R22" s="11"/>
      <c r="S22" s="11"/>
      <c r="T22" s="11"/>
    </row>
    <row r="23" spans="1:20" x14ac:dyDescent="0.15">
      <c r="B23" s="2" t="s">
        <v>2</v>
      </c>
      <c r="C23" s="2" t="s">
        <v>68</v>
      </c>
      <c r="D23" s="2" t="s">
        <v>4</v>
      </c>
      <c r="E23" s="2" t="s">
        <v>69</v>
      </c>
      <c r="G23" s="21"/>
      <c r="H23" s="21"/>
      <c r="I23" s="21"/>
      <c r="J23" s="21"/>
      <c r="L23" s="15"/>
      <c r="M23" s="15"/>
      <c r="N23" s="15"/>
      <c r="O23" s="15"/>
      <c r="Q23" s="11"/>
      <c r="R23" s="11"/>
      <c r="S23" s="11"/>
      <c r="T23" s="11"/>
    </row>
    <row r="24" spans="1:20" x14ac:dyDescent="0.15">
      <c r="A24" s="1" t="s">
        <v>72</v>
      </c>
      <c r="B24" s="49">
        <f>Conventional!$L$30</f>
        <v>581.38427485795467</v>
      </c>
      <c r="C24" s="49">
        <f>Conventional!$N$30</f>
        <v>664.96862500000009</v>
      </c>
      <c r="D24" s="49">
        <f>Conventional!$P$30</f>
        <v>406.05922531249996</v>
      </c>
      <c r="E24" s="49">
        <f>Conventional!$R$30</f>
        <v>295.26628093749997</v>
      </c>
      <c r="G24" s="21"/>
      <c r="H24" s="21"/>
      <c r="I24" s="21"/>
      <c r="J24" s="21"/>
      <c r="L24" s="15"/>
      <c r="M24" s="15"/>
      <c r="N24" s="15"/>
      <c r="O24" s="15"/>
      <c r="Q24" s="11"/>
      <c r="R24" s="11"/>
      <c r="S24" s="11"/>
      <c r="T24" s="11"/>
    </row>
    <row r="25" spans="1:20" x14ac:dyDescent="0.15">
      <c r="A25" s="1" t="s">
        <v>73</v>
      </c>
      <c r="B25" s="4">
        <f>Conventional!$L$7</f>
        <v>750</v>
      </c>
      <c r="C25" s="4">
        <f>Conventional!$N$7</f>
        <v>3400</v>
      </c>
      <c r="D25" s="4">
        <f>Conventional!$P$7</f>
        <v>85</v>
      </c>
      <c r="E25" s="4">
        <f>Conventional!$R$7</f>
        <v>30</v>
      </c>
      <c r="G25" s="21"/>
      <c r="H25" s="21"/>
      <c r="I25" s="21"/>
      <c r="J25" s="21"/>
      <c r="L25" s="15"/>
      <c r="M25" s="15"/>
      <c r="N25" s="15"/>
      <c r="O25" s="15"/>
      <c r="Q25" s="11"/>
      <c r="R25" s="11"/>
      <c r="S25" s="11"/>
      <c r="T25" s="11"/>
    </row>
    <row r="26" spans="1:20" s="5" customFormat="1" x14ac:dyDescent="0.15">
      <c r="B26" s="383" t="s">
        <v>74</v>
      </c>
      <c r="C26" s="383"/>
      <c r="D26" s="383"/>
      <c r="E26" s="383"/>
      <c r="G26" s="384" t="s">
        <v>75</v>
      </c>
      <c r="H26" s="384"/>
      <c r="I26" s="384"/>
      <c r="J26" s="384"/>
      <c r="L26" s="385" t="s">
        <v>76</v>
      </c>
      <c r="M26" s="385"/>
      <c r="N26" s="385"/>
      <c r="O26" s="385"/>
      <c r="Q26" s="386" t="s">
        <v>77</v>
      </c>
      <c r="R26" s="386"/>
      <c r="S26" s="386"/>
      <c r="T26" s="386"/>
    </row>
    <row r="27" spans="1:20" s="7" customFormat="1" ht="42" x14ac:dyDescent="0.15">
      <c r="B27" s="23" t="s">
        <v>83</v>
      </c>
      <c r="C27" s="23" t="s">
        <v>80</v>
      </c>
      <c r="D27" s="23" t="s">
        <v>81</v>
      </c>
      <c r="E27" s="23" t="s">
        <v>82</v>
      </c>
      <c r="G27" s="24" t="s">
        <v>83</v>
      </c>
      <c r="H27" s="24" t="s">
        <v>80</v>
      </c>
      <c r="I27" s="24" t="s">
        <v>81</v>
      </c>
      <c r="J27" s="24" t="s">
        <v>82</v>
      </c>
      <c r="L27" s="25" t="s">
        <v>83</v>
      </c>
      <c r="M27" s="25" t="s">
        <v>80</v>
      </c>
      <c r="N27" s="25" t="s">
        <v>81</v>
      </c>
      <c r="O27" s="25" t="s">
        <v>82</v>
      </c>
      <c r="Q27" s="26" t="s">
        <v>83</v>
      </c>
      <c r="R27" s="26" t="s">
        <v>80</v>
      </c>
      <c r="S27" s="26" t="s">
        <v>81</v>
      </c>
      <c r="T27" s="26" t="s">
        <v>82</v>
      </c>
    </row>
    <row r="28" spans="1:20" x14ac:dyDescent="0.15">
      <c r="B28" s="16">
        <f t="shared" ref="B28:B33" si="20">B29-0.025</f>
        <v>0.58499999999999985</v>
      </c>
      <c r="C28" s="17">
        <f t="shared" ref="C28:C42" si="21">(((B28*$B$25)-$B$24+$C$24)/$C$25)*2000</f>
        <v>307.25550008355606</v>
      </c>
      <c r="D28" s="16">
        <f t="shared" ref="D28:D42" si="22">(((B28*$B$25)-$B$24+$D$24)/$D$25)</f>
        <v>3.0991170641711197</v>
      </c>
      <c r="E28" s="16">
        <f t="shared" ref="E28:E42" si="23">(((B28*$B$25)-$B$24+$E$24)/$E$25)</f>
        <v>5.0877335359848397</v>
      </c>
      <c r="G28" s="18">
        <f>(((H28*$C$25/2000)-$C$24+$B$24)/$B$25)</f>
        <v>0.89155419981060613</v>
      </c>
      <c r="H28" s="19">
        <f t="shared" ref="H28:H33" si="24">H29-10</f>
        <v>442.5</v>
      </c>
      <c r="I28" s="18">
        <f>(((H28*$C$25/2000)-$C$24+$D$24)/$D$25)</f>
        <v>5.8040070624999984</v>
      </c>
      <c r="J28" s="18">
        <f>(((H28*$C$25/2000)-$C$24+$E$24)/$E$25)</f>
        <v>12.751588531249997</v>
      </c>
      <c r="L28" s="12">
        <f>(((N28*$D$25)-$D$24+$B$24)/$B$25)</f>
        <v>0.72676673272727266</v>
      </c>
      <c r="M28" s="13">
        <f>(((N28*$D$25)-$D$24+$C$24)/$C$25)*2000</f>
        <v>369.79964687499995</v>
      </c>
      <c r="N28" s="12">
        <f t="shared" ref="N28:N33" si="25">N29-0.15</f>
        <v>4.3499999999999979</v>
      </c>
      <c r="O28" s="12">
        <f>(((N28*$D$25)-$D$24+$E$24)/$E$25)</f>
        <v>8.6319018541666619</v>
      </c>
      <c r="Q28" s="8">
        <f>(((T28*$E$25)-$E$24+$B$24)/$B$25)</f>
        <v>0.74349065856060637</v>
      </c>
      <c r="R28" s="9">
        <f>(((T28*$E$25)-$E$24+$C$24)/$C$25)*2000</f>
        <v>377.17784944852951</v>
      </c>
      <c r="S28" s="8">
        <f>(((T28*$E$25)-$E$24+$D$24)/$D$25)</f>
        <v>4.4975640514705884</v>
      </c>
      <c r="T28" s="8">
        <f t="shared" ref="T28:T33" si="26">T29-0.35</f>
        <v>9.0500000000000025</v>
      </c>
    </row>
    <row r="29" spans="1:20" x14ac:dyDescent="0.15">
      <c r="B29" s="16">
        <f t="shared" si="20"/>
        <v>0.60999999999999988</v>
      </c>
      <c r="C29" s="17">
        <f t="shared" si="21"/>
        <v>318.28491184826197</v>
      </c>
      <c r="D29" s="16">
        <f t="shared" si="22"/>
        <v>3.3197052994652374</v>
      </c>
      <c r="E29" s="16">
        <f t="shared" si="23"/>
        <v>5.7127335359848397</v>
      </c>
      <c r="G29" s="18">
        <f t="shared" ref="G29:G42" si="27">(((H29*$C$25/2000)-$C$24+$B$24)/$B$25)</f>
        <v>0.91422086647727274</v>
      </c>
      <c r="H29" s="19">
        <f t="shared" si="24"/>
        <v>452.5</v>
      </c>
      <c r="I29" s="18">
        <f t="shared" ref="I29:I42" si="28">(((H29*$C$25/2000)-$C$24+$D$24)/$D$25)</f>
        <v>6.0040070624999986</v>
      </c>
      <c r="J29" s="18">
        <f t="shared" ref="J29:J42" si="29">(((H29*$C$25/2000)-$C$24+$E$24)/$E$25)</f>
        <v>13.318255197916663</v>
      </c>
      <c r="L29" s="12">
        <f t="shared" ref="L29:L42" si="30">(((N29*$D$25)-$D$24+$B$24)/$B$25)</f>
        <v>0.74376673272727267</v>
      </c>
      <c r="M29" s="13">
        <f t="shared" ref="M29:M42" si="31">(((N29*$D$25)-$D$24+$C$24)/$C$25)*2000</f>
        <v>377.29964687499995</v>
      </c>
      <c r="N29" s="12">
        <f t="shared" si="25"/>
        <v>4.4999999999999982</v>
      </c>
      <c r="O29" s="12">
        <f t="shared" ref="O29:O42" si="32">(((N29*$D$25)-$D$24+$E$24)/$E$25)</f>
        <v>9.0569018541666608</v>
      </c>
      <c r="Q29" s="8">
        <f t="shared" ref="Q29:Q42" si="33">(((T29*$E$25)-$E$24+$B$24)/$B$25)</f>
        <v>0.75749065856060638</v>
      </c>
      <c r="R29" s="9">
        <f t="shared" ref="R29:R42" si="34">(((T29*$E$25)-$E$24+$C$24)/$C$25)*2000</f>
        <v>383.35432003676476</v>
      </c>
      <c r="S29" s="8">
        <f t="shared" ref="S29:S42" si="35">(((T29*$E$25)-$E$24+$D$24)/$D$25)</f>
        <v>4.6210934632352947</v>
      </c>
      <c r="T29" s="8">
        <f t="shared" si="26"/>
        <v>9.4000000000000021</v>
      </c>
    </row>
    <row r="30" spans="1:20" x14ac:dyDescent="0.15">
      <c r="B30" s="16">
        <f t="shared" si="20"/>
        <v>0.6349999999999999</v>
      </c>
      <c r="C30" s="17">
        <f t="shared" si="21"/>
        <v>329.31432361296794</v>
      </c>
      <c r="D30" s="16">
        <f t="shared" si="22"/>
        <v>3.5402935347593556</v>
      </c>
      <c r="E30" s="16">
        <f t="shared" si="23"/>
        <v>6.3377335359848415</v>
      </c>
      <c r="G30" s="18">
        <f t="shared" si="27"/>
        <v>0.93688753314393947</v>
      </c>
      <c r="H30" s="19">
        <f t="shared" si="24"/>
        <v>462.5</v>
      </c>
      <c r="I30" s="18">
        <f t="shared" si="28"/>
        <v>6.2040070624999988</v>
      </c>
      <c r="J30" s="18">
        <f t="shared" si="29"/>
        <v>13.88492186458333</v>
      </c>
      <c r="L30" s="12">
        <f t="shared" si="30"/>
        <v>0.7607667327272728</v>
      </c>
      <c r="M30" s="13">
        <f t="shared" si="31"/>
        <v>384.79964687500001</v>
      </c>
      <c r="N30" s="12">
        <f t="shared" si="25"/>
        <v>4.6499999999999986</v>
      </c>
      <c r="O30" s="12">
        <f t="shared" si="32"/>
        <v>9.4819018541666633</v>
      </c>
      <c r="Q30" s="8">
        <f t="shared" si="33"/>
        <v>0.77149065856060628</v>
      </c>
      <c r="R30" s="9">
        <f t="shared" si="34"/>
        <v>389.53079062500012</v>
      </c>
      <c r="S30" s="8">
        <f t="shared" si="35"/>
        <v>4.7446228750000001</v>
      </c>
      <c r="T30" s="8">
        <f t="shared" si="26"/>
        <v>9.7500000000000018</v>
      </c>
    </row>
    <row r="31" spans="1:20" x14ac:dyDescent="0.15">
      <c r="B31" s="16">
        <f t="shared" si="20"/>
        <v>0.65999999999999992</v>
      </c>
      <c r="C31" s="17">
        <f t="shared" si="21"/>
        <v>340.34373537767374</v>
      </c>
      <c r="D31" s="16">
        <f t="shared" si="22"/>
        <v>3.7608817700534733</v>
      </c>
      <c r="E31" s="16">
        <f t="shared" si="23"/>
        <v>6.9627335359848415</v>
      </c>
      <c r="G31" s="18">
        <f t="shared" si="27"/>
        <v>0.95955419981060608</v>
      </c>
      <c r="H31" s="19">
        <f t="shared" si="24"/>
        <v>472.5</v>
      </c>
      <c r="I31" s="18">
        <f t="shared" si="28"/>
        <v>6.4040070624999981</v>
      </c>
      <c r="J31" s="18">
        <f t="shared" si="29"/>
        <v>14.451588531249996</v>
      </c>
      <c r="L31" s="12">
        <f t="shared" si="30"/>
        <v>0.77776673272727281</v>
      </c>
      <c r="M31" s="13">
        <f t="shared" si="31"/>
        <v>392.29964687500001</v>
      </c>
      <c r="N31" s="12">
        <f t="shared" si="25"/>
        <v>4.7999999999999989</v>
      </c>
      <c r="O31" s="12">
        <f t="shared" si="32"/>
        <v>9.906901854166664</v>
      </c>
      <c r="Q31" s="8">
        <f t="shared" si="33"/>
        <v>0.78549065856060629</v>
      </c>
      <c r="R31" s="9">
        <f t="shared" si="34"/>
        <v>395.70726121323543</v>
      </c>
      <c r="S31" s="8">
        <f t="shared" si="35"/>
        <v>4.8681522867647065</v>
      </c>
      <c r="T31" s="8">
        <f t="shared" si="26"/>
        <v>10.100000000000001</v>
      </c>
    </row>
    <row r="32" spans="1:20" x14ac:dyDescent="0.15">
      <c r="B32" s="16">
        <f t="shared" si="20"/>
        <v>0.68499999999999994</v>
      </c>
      <c r="C32" s="17">
        <f t="shared" si="21"/>
        <v>351.37314714237965</v>
      </c>
      <c r="D32" s="16">
        <f t="shared" si="22"/>
        <v>3.9814700053475915</v>
      </c>
      <c r="E32" s="16">
        <f t="shared" si="23"/>
        <v>7.5877335359848432</v>
      </c>
      <c r="G32" s="18">
        <f t="shared" si="27"/>
        <v>0.9822208664772728</v>
      </c>
      <c r="H32" s="19">
        <f t="shared" si="24"/>
        <v>482.5</v>
      </c>
      <c r="I32" s="18">
        <f t="shared" si="28"/>
        <v>6.6040070624999982</v>
      </c>
      <c r="J32" s="18">
        <f t="shared" si="29"/>
        <v>15.018255197916663</v>
      </c>
      <c r="L32" s="12">
        <f t="shared" si="30"/>
        <v>0.79476673272727294</v>
      </c>
      <c r="M32" s="13">
        <f t="shared" si="31"/>
        <v>399.79964687500006</v>
      </c>
      <c r="N32" s="12">
        <f t="shared" si="25"/>
        <v>4.9499999999999993</v>
      </c>
      <c r="O32" s="12">
        <f t="shared" si="32"/>
        <v>10.331901854166665</v>
      </c>
      <c r="Q32" s="8">
        <f t="shared" si="33"/>
        <v>0.7994906585606063</v>
      </c>
      <c r="R32" s="9">
        <f t="shared" si="34"/>
        <v>401.88373180147067</v>
      </c>
      <c r="S32" s="8">
        <f t="shared" si="35"/>
        <v>4.9916816985294119</v>
      </c>
      <c r="T32" s="8">
        <f t="shared" si="26"/>
        <v>10.450000000000001</v>
      </c>
    </row>
    <row r="33" spans="1:20" x14ac:dyDescent="0.15">
      <c r="B33" s="16">
        <f t="shared" si="20"/>
        <v>0.71</v>
      </c>
      <c r="C33" s="17">
        <f t="shared" si="21"/>
        <v>362.40255890708556</v>
      </c>
      <c r="D33" s="16">
        <f t="shared" si="22"/>
        <v>4.2020582406417093</v>
      </c>
      <c r="E33" s="16">
        <f t="shared" si="23"/>
        <v>8.2127335359848441</v>
      </c>
      <c r="G33" s="18">
        <f t="shared" si="27"/>
        <v>1.0048875331439395</v>
      </c>
      <c r="H33" s="19">
        <f t="shared" si="24"/>
        <v>492.5</v>
      </c>
      <c r="I33" s="18">
        <f t="shared" si="28"/>
        <v>6.8040070624999984</v>
      </c>
      <c r="J33" s="18">
        <f t="shared" si="29"/>
        <v>15.584921864583329</v>
      </c>
      <c r="L33" s="12">
        <f t="shared" si="30"/>
        <v>0.81176673272727295</v>
      </c>
      <c r="M33" s="13">
        <f t="shared" si="31"/>
        <v>407.29964687500006</v>
      </c>
      <c r="N33" s="12">
        <f t="shared" si="25"/>
        <v>5.0999999999999996</v>
      </c>
      <c r="O33" s="12">
        <f t="shared" si="32"/>
        <v>10.756901854166665</v>
      </c>
      <c r="Q33" s="8">
        <f t="shared" si="33"/>
        <v>0.81349065856060621</v>
      </c>
      <c r="R33" s="9">
        <f t="shared" si="34"/>
        <v>408.06020238970592</v>
      </c>
      <c r="S33" s="8">
        <f t="shared" si="35"/>
        <v>5.1152111102941173</v>
      </c>
      <c r="T33" s="8">
        <f t="shared" si="26"/>
        <v>10.8</v>
      </c>
    </row>
    <row r="34" spans="1:20" ht="14" thickBot="1" x14ac:dyDescent="0.2">
      <c r="B34" s="16">
        <f>B35-0.025</f>
        <v>0.73499999999999999</v>
      </c>
      <c r="C34" s="17">
        <f t="shared" si="21"/>
        <v>373.43197067179142</v>
      </c>
      <c r="D34" s="16">
        <f t="shared" si="22"/>
        <v>4.422646475935827</v>
      </c>
      <c r="E34" s="16">
        <f t="shared" si="23"/>
        <v>8.8377335359848441</v>
      </c>
      <c r="G34" s="18">
        <f t="shared" si="27"/>
        <v>1.0275541998106061</v>
      </c>
      <c r="H34" s="19">
        <f>H35-10</f>
        <v>502.5</v>
      </c>
      <c r="I34" s="18">
        <f t="shared" si="28"/>
        <v>7.0040070624999986</v>
      </c>
      <c r="J34" s="18">
        <f t="shared" si="29"/>
        <v>16.151588531249995</v>
      </c>
      <c r="L34" s="12">
        <f t="shared" si="30"/>
        <v>0.82876673272727297</v>
      </c>
      <c r="M34" s="13">
        <f t="shared" si="31"/>
        <v>414.79964687500012</v>
      </c>
      <c r="N34" s="12">
        <f>N35-0.15</f>
        <v>5.25</v>
      </c>
      <c r="O34" s="12">
        <f t="shared" si="32"/>
        <v>11.181901854166666</v>
      </c>
      <c r="Q34" s="8">
        <f t="shared" si="33"/>
        <v>0.82749065856060622</v>
      </c>
      <c r="R34" s="9">
        <f t="shared" si="34"/>
        <v>414.23667297794123</v>
      </c>
      <c r="S34" s="8">
        <f t="shared" si="35"/>
        <v>5.2387405220588237</v>
      </c>
      <c r="T34" s="8">
        <f>T35-0.35</f>
        <v>11.15</v>
      </c>
    </row>
    <row r="35" spans="1:20" ht="14" thickBot="1" x14ac:dyDescent="0.2">
      <c r="B35" s="22">
        <f>Conventional!$B$8</f>
        <v>0.76</v>
      </c>
      <c r="C35" s="17">
        <f t="shared" si="21"/>
        <v>384.46138243649727</v>
      </c>
      <c r="D35" s="16">
        <f t="shared" si="22"/>
        <v>4.6432347112299448</v>
      </c>
      <c r="E35" s="16">
        <f t="shared" si="23"/>
        <v>9.4627335359848441</v>
      </c>
      <c r="G35" s="18">
        <f t="shared" si="27"/>
        <v>1.0502208664772728</v>
      </c>
      <c r="H35" s="20">
        <f>Conventional!$D$8</f>
        <v>512.5</v>
      </c>
      <c r="I35" s="18">
        <f t="shared" si="28"/>
        <v>7.2040070624999988</v>
      </c>
      <c r="J35" s="18">
        <f t="shared" si="29"/>
        <v>16.718255197916662</v>
      </c>
      <c r="L35" s="12">
        <f t="shared" si="30"/>
        <v>0.84576673272727299</v>
      </c>
      <c r="M35" s="13">
        <f t="shared" si="31"/>
        <v>422.29964687500012</v>
      </c>
      <c r="N35" s="14">
        <f>Conventional!$F$8</f>
        <v>5.4</v>
      </c>
      <c r="O35" s="12">
        <f t="shared" si="32"/>
        <v>11.606901854166669</v>
      </c>
      <c r="Q35" s="8">
        <f t="shared" si="33"/>
        <v>0.84149065856060623</v>
      </c>
      <c r="R35" s="9">
        <f t="shared" si="34"/>
        <v>420.41314356617647</v>
      </c>
      <c r="S35" s="8">
        <f t="shared" si="35"/>
        <v>5.3622699338235291</v>
      </c>
      <c r="T35" s="10">
        <f>Conventional!$H$8</f>
        <v>11.5</v>
      </c>
    </row>
    <row r="36" spans="1:20" x14ac:dyDescent="0.15">
      <c r="B36" s="16">
        <f>B35+0.025</f>
        <v>0.78500000000000003</v>
      </c>
      <c r="C36" s="17">
        <f t="shared" si="21"/>
        <v>395.49079420120319</v>
      </c>
      <c r="D36" s="16">
        <f t="shared" si="22"/>
        <v>4.8638229465240626</v>
      </c>
      <c r="E36" s="16">
        <f t="shared" si="23"/>
        <v>10.087733535984844</v>
      </c>
      <c r="G36" s="18">
        <f t="shared" si="27"/>
        <v>1.0728875331439394</v>
      </c>
      <c r="H36" s="19">
        <f>H35+10</f>
        <v>522.5</v>
      </c>
      <c r="I36" s="18">
        <f t="shared" si="28"/>
        <v>7.4040070624999981</v>
      </c>
      <c r="J36" s="18">
        <f t="shared" si="29"/>
        <v>17.284921864583332</v>
      </c>
      <c r="L36" s="12">
        <f t="shared" si="30"/>
        <v>0.86276673272727289</v>
      </c>
      <c r="M36" s="13">
        <f t="shared" si="31"/>
        <v>429.79964687500006</v>
      </c>
      <c r="N36" s="12">
        <f>N35+0.15</f>
        <v>5.5500000000000007</v>
      </c>
      <c r="O36" s="12">
        <f t="shared" si="32"/>
        <v>12.031901854166669</v>
      </c>
      <c r="Q36" s="8">
        <f t="shared" si="33"/>
        <v>0.85549065856060613</v>
      </c>
      <c r="R36" s="9">
        <f t="shared" si="34"/>
        <v>426.58961415441183</v>
      </c>
      <c r="S36" s="8">
        <f t="shared" si="35"/>
        <v>5.4857993455882355</v>
      </c>
      <c r="T36" s="8">
        <f>T35+0.35</f>
        <v>11.85</v>
      </c>
    </row>
    <row r="37" spans="1:20" x14ac:dyDescent="0.15">
      <c r="B37" s="16">
        <f t="shared" ref="B37:B42" si="36">B36+0.025</f>
        <v>0.81</v>
      </c>
      <c r="C37" s="17">
        <f t="shared" si="21"/>
        <v>406.5202059659091</v>
      </c>
      <c r="D37" s="16">
        <f t="shared" si="22"/>
        <v>5.0844111818181803</v>
      </c>
      <c r="E37" s="16">
        <f t="shared" si="23"/>
        <v>10.712733535984844</v>
      </c>
      <c r="G37" s="18">
        <f t="shared" si="27"/>
        <v>1.0955541998106062</v>
      </c>
      <c r="H37" s="19">
        <f t="shared" ref="H37:H42" si="37">H36+10</f>
        <v>532.5</v>
      </c>
      <c r="I37" s="18">
        <f t="shared" si="28"/>
        <v>7.6040070624999982</v>
      </c>
      <c r="J37" s="18">
        <f t="shared" si="29"/>
        <v>17.851588531249998</v>
      </c>
      <c r="L37" s="12">
        <f t="shared" si="30"/>
        <v>0.87976673272727313</v>
      </c>
      <c r="M37" s="13">
        <f t="shared" si="31"/>
        <v>437.29964687500012</v>
      </c>
      <c r="N37" s="12">
        <f t="shared" ref="N37:N42" si="38">N36+0.15</f>
        <v>5.7000000000000011</v>
      </c>
      <c r="O37" s="12">
        <f t="shared" si="32"/>
        <v>12.45690185416667</v>
      </c>
      <c r="Q37" s="8">
        <f t="shared" si="33"/>
        <v>0.86949065856060614</v>
      </c>
      <c r="R37" s="9">
        <f t="shared" si="34"/>
        <v>432.76608474264708</v>
      </c>
      <c r="S37" s="8">
        <f t="shared" si="35"/>
        <v>5.6093287573529409</v>
      </c>
      <c r="T37" s="8">
        <f t="shared" ref="T37:T42" si="39">T36+0.35</f>
        <v>12.2</v>
      </c>
    </row>
    <row r="38" spans="1:20" x14ac:dyDescent="0.15">
      <c r="B38" s="16">
        <f t="shared" si="36"/>
        <v>0.83500000000000008</v>
      </c>
      <c r="C38" s="17">
        <f t="shared" si="21"/>
        <v>417.54961773061495</v>
      </c>
      <c r="D38" s="16">
        <f t="shared" si="22"/>
        <v>5.3049994171122972</v>
      </c>
      <c r="E38" s="16">
        <f t="shared" si="23"/>
        <v>11.337733535984844</v>
      </c>
      <c r="G38" s="18">
        <f t="shared" si="27"/>
        <v>1.1182208664772728</v>
      </c>
      <c r="H38" s="19">
        <f t="shared" si="37"/>
        <v>542.5</v>
      </c>
      <c r="I38" s="18">
        <f t="shared" si="28"/>
        <v>7.8040070624999984</v>
      </c>
      <c r="J38" s="18">
        <f t="shared" si="29"/>
        <v>18.418255197916665</v>
      </c>
      <c r="L38" s="12">
        <f t="shared" si="30"/>
        <v>0.89676673272727314</v>
      </c>
      <c r="M38" s="13">
        <f t="shared" si="31"/>
        <v>444.79964687500012</v>
      </c>
      <c r="N38" s="12">
        <f t="shared" si="38"/>
        <v>5.8500000000000014</v>
      </c>
      <c r="O38" s="12">
        <f t="shared" si="32"/>
        <v>12.881901854166671</v>
      </c>
      <c r="Q38" s="8">
        <f t="shared" si="33"/>
        <v>0.88349065856060616</v>
      </c>
      <c r="R38" s="9">
        <f t="shared" si="34"/>
        <v>438.94255533088239</v>
      </c>
      <c r="S38" s="8">
        <f t="shared" si="35"/>
        <v>5.7328581691176463</v>
      </c>
      <c r="T38" s="8">
        <f t="shared" si="39"/>
        <v>12.549999999999999</v>
      </c>
    </row>
    <row r="39" spans="1:20" x14ac:dyDescent="0.15">
      <c r="B39" s="16">
        <f t="shared" si="36"/>
        <v>0.8600000000000001</v>
      </c>
      <c r="C39" s="17">
        <f t="shared" si="21"/>
        <v>428.57902949532092</v>
      </c>
      <c r="D39" s="16">
        <f t="shared" si="22"/>
        <v>5.5255876524064167</v>
      </c>
      <c r="E39" s="16">
        <f t="shared" si="23"/>
        <v>11.962733535984848</v>
      </c>
      <c r="G39" s="18">
        <f t="shared" si="27"/>
        <v>1.1408875331439394</v>
      </c>
      <c r="H39" s="19">
        <f t="shared" si="37"/>
        <v>552.5</v>
      </c>
      <c r="I39" s="18">
        <f t="shared" si="28"/>
        <v>8.0040070624999977</v>
      </c>
      <c r="J39" s="18">
        <f t="shared" si="29"/>
        <v>18.984921864583331</v>
      </c>
      <c r="L39" s="12">
        <f t="shared" si="30"/>
        <v>0.91376673272727327</v>
      </c>
      <c r="M39" s="13">
        <f t="shared" si="31"/>
        <v>452.29964687500018</v>
      </c>
      <c r="N39" s="12">
        <f t="shared" si="38"/>
        <v>6.0000000000000018</v>
      </c>
      <c r="O39" s="12">
        <f t="shared" si="32"/>
        <v>13.306901854166673</v>
      </c>
      <c r="Q39" s="8">
        <f t="shared" si="33"/>
        <v>0.89749065856060617</v>
      </c>
      <c r="R39" s="9">
        <f t="shared" si="34"/>
        <v>445.11902591911769</v>
      </c>
      <c r="S39" s="8">
        <f t="shared" si="35"/>
        <v>5.8563875808823518</v>
      </c>
      <c r="T39" s="8">
        <f t="shared" si="39"/>
        <v>12.899999999999999</v>
      </c>
    </row>
    <row r="40" spans="1:20" x14ac:dyDescent="0.15">
      <c r="B40" s="16">
        <f t="shared" si="36"/>
        <v>0.88500000000000012</v>
      </c>
      <c r="C40" s="17">
        <f t="shared" si="21"/>
        <v>439.60844126002678</v>
      </c>
      <c r="D40" s="16">
        <f t="shared" si="22"/>
        <v>5.7461758877005344</v>
      </c>
      <c r="E40" s="16">
        <f t="shared" si="23"/>
        <v>12.587733535984848</v>
      </c>
      <c r="G40" s="18">
        <f t="shared" si="27"/>
        <v>1.163554199810606</v>
      </c>
      <c r="H40" s="19">
        <f t="shared" si="37"/>
        <v>562.5</v>
      </c>
      <c r="I40" s="18">
        <f t="shared" si="28"/>
        <v>8.2040070624999988</v>
      </c>
      <c r="J40" s="18">
        <f t="shared" si="29"/>
        <v>19.551588531249998</v>
      </c>
      <c r="L40" s="12">
        <f t="shared" si="30"/>
        <v>0.93076673272727328</v>
      </c>
      <c r="M40" s="13">
        <f t="shared" si="31"/>
        <v>459.79964687500018</v>
      </c>
      <c r="N40" s="12">
        <f t="shared" si="38"/>
        <v>6.1500000000000021</v>
      </c>
      <c r="O40" s="12">
        <f t="shared" si="32"/>
        <v>13.731901854166674</v>
      </c>
      <c r="Q40" s="8">
        <f t="shared" si="33"/>
        <v>0.91149065856060618</v>
      </c>
      <c r="R40" s="9">
        <f t="shared" si="34"/>
        <v>451.29549650735294</v>
      </c>
      <c r="S40" s="8">
        <f t="shared" si="35"/>
        <v>5.9799169926470581</v>
      </c>
      <c r="T40" s="8">
        <f t="shared" si="39"/>
        <v>13.249999999999998</v>
      </c>
    </row>
    <row r="41" spans="1:20" x14ac:dyDescent="0.15">
      <c r="B41" s="32">
        <f t="shared" si="36"/>
        <v>0.91000000000000014</v>
      </c>
      <c r="C41" s="33">
        <f t="shared" si="21"/>
        <v>450.63785302473269</v>
      </c>
      <c r="D41" s="32">
        <f t="shared" si="22"/>
        <v>5.9667641229946522</v>
      </c>
      <c r="E41" s="32">
        <f t="shared" si="23"/>
        <v>13.212733535984848</v>
      </c>
      <c r="G41" s="34">
        <f t="shared" si="27"/>
        <v>1.1862208664772729</v>
      </c>
      <c r="H41" s="35">
        <f t="shared" si="37"/>
        <v>572.5</v>
      </c>
      <c r="I41" s="34">
        <f t="shared" si="28"/>
        <v>8.4040070624999981</v>
      </c>
      <c r="J41" s="34">
        <f t="shared" si="29"/>
        <v>20.118255197916664</v>
      </c>
      <c r="L41" s="36">
        <f t="shared" si="30"/>
        <v>0.94776673272727319</v>
      </c>
      <c r="M41" s="37">
        <f t="shared" si="31"/>
        <v>467.29964687500018</v>
      </c>
      <c r="N41" s="36">
        <f t="shared" si="38"/>
        <v>6.3000000000000025</v>
      </c>
      <c r="O41" s="36">
        <f t="shared" si="32"/>
        <v>14.156901854166675</v>
      </c>
      <c r="Q41" s="38">
        <f t="shared" si="33"/>
        <v>0.92549065856060619</v>
      </c>
      <c r="R41" s="39">
        <f t="shared" si="34"/>
        <v>457.4719670955883</v>
      </c>
      <c r="S41" s="38">
        <f t="shared" si="35"/>
        <v>6.1034464044117636</v>
      </c>
      <c r="T41" s="38">
        <f t="shared" si="39"/>
        <v>13.599999999999998</v>
      </c>
    </row>
    <row r="42" spans="1:20" x14ac:dyDescent="0.15">
      <c r="A42" s="40"/>
      <c r="B42" s="41">
        <f t="shared" si="36"/>
        <v>0.93500000000000016</v>
      </c>
      <c r="C42" s="42">
        <f t="shared" si="21"/>
        <v>461.66726478943855</v>
      </c>
      <c r="D42" s="41">
        <f t="shared" si="22"/>
        <v>6.1873523582887699</v>
      </c>
      <c r="E42" s="41">
        <f t="shared" si="23"/>
        <v>13.837733535984848</v>
      </c>
      <c r="F42" s="40"/>
      <c r="G42" s="43">
        <f t="shared" si="27"/>
        <v>1.2088875331439395</v>
      </c>
      <c r="H42" s="44">
        <f t="shared" si="37"/>
        <v>582.5</v>
      </c>
      <c r="I42" s="43">
        <f t="shared" si="28"/>
        <v>8.6040070624999991</v>
      </c>
      <c r="J42" s="43">
        <f t="shared" si="29"/>
        <v>20.68492186458333</v>
      </c>
      <c r="K42" s="40"/>
      <c r="L42" s="45">
        <f t="shared" si="30"/>
        <v>0.9647667327272732</v>
      </c>
      <c r="M42" s="46">
        <f t="shared" si="31"/>
        <v>474.79964687500018</v>
      </c>
      <c r="N42" s="45">
        <f t="shared" si="38"/>
        <v>6.4500000000000028</v>
      </c>
      <c r="O42" s="45">
        <f t="shared" si="32"/>
        <v>14.581901854166675</v>
      </c>
      <c r="P42" s="40"/>
      <c r="Q42" s="47">
        <f t="shared" si="33"/>
        <v>0.93949065856060621</v>
      </c>
      <c r="R42" s="48">
        <f t="shared" si="34"/>
        <v>463.6484376838236</v>
      </c>
      <c r="S42" s="47">
        <f t="shared" si="35"/>
        <v>6.2269758161764699</v>
      </c>
      <c r="T42" s="47">
        <f t="shared" si="39"/>
        <v>13.949999999999998</v>
      </c>
    </row>
    <row r="43" spans="1:20" x14ac:dyDescent="0.15">
      <c r="A43" s="382" t="s">
        <v>84</v>
      </c>
      <c r="B43" s="382"/>
      <c r="C43" s="382"/>
      <c r="D43" s="382"/>
      <c r="E43" s="382"/>
      <c r="F43" s="382"/>
      <c r="G43" s="382"/>
      <c r="H43" s="382"/>
      <c r="I43" s="382"/>
      <c r="J43" s="382"/>
      <c r="K43" s="382"/>
      <c r="L43" s="382"/>
      <c r="M43" s="382"/>
      <c r="N43" s="382"/>
      <c r="O43" s="382"/>
      <c r="P43" s="382"/>
      <c r="Q43" s="382"/>
      <c r="R43" s="382"/>
      <c r="S43" s="382"/>
      <c r="T43" s="382"/>
    </row>
    <row r="44" spans="1:20" x14ac:dyDescent="0.15">
      <c r="B44" s="2" t="s">
        <v>2</v>
      </c>
      <c r="C44" s="2" t="s">
        <v>68</v>
      </c>
      <c r="D44" s="2" t="s">
        <v>4</v>
      </c>
      <c r="E44" s="2" t="s">
        <v>69</v>
      </c>
    </row>
    <row r="45" spans="1:20" x14ac:dyDescent="0.15">
      <c r="A45" s="1" t="s">
        <v>70</v>
      </c>
      <c r="B45" s="3">
        <f>'Strip-Till'!B$31</f>
        <v>731.75099602272735</v>
      </c>
      <c r="C45" s="3">
        <f>'Strip-Till'!D$31</f>
        <v>774.61099999999999</v>
      </c>
      <c r="D45" s="3">
        <f>'Strip-Till'!F$31</f>
        <v>775.05099999999993</v>
      </c>
      <c r="E45" s="3">
        <f>'Strip-Till'!H$31</f>
        <v>337.39354437500003</v>
      </c>
    </row>
    <row r="46" spans="1:20" x14ac:dyDescent="0.15">
      <c r="A46" s="1" t="s">
        <v>71</v>
      </c>
      <c r="B46" s="4">
        <f>'Strip-Till'!B$7</f>
        <v>1200</v>
      </c>
      <c r="C46" s="4">
        <f>'Strip-Till'!D$7</f>
        <v>4700</v>
      </c>
      <c r="D46" s="4">
        <f>'Strip-Till'!F$7</f>
        <v>200</v>
      </c>
      <c r="E46" s="4">
        <f>'Strip-Till'!H$7</f>
        <v>60</v>
      </c>
    </row>
    <row r="47" spans="1:20" x14ac:dyDescent="0.15">
      <c r="A47" s="5"/>
      <c r="B47" s="383" t="s">
        <v>74</v>
      </c>
      <c r="C47" s="383"/>
      <c r="D47" s="383"/>
      <c r="E47" s="383"/>
      <c r="F47" s="5"/>
      <c r="G47" s="384" t="s">
        <v>75</v>
      </c>
      <c r="H47" s="384"/>
      <c r="I47" s="384"/>
      <c r="J47" s="384"/>
      <c r="K47" s="5"/>
      <c r="L47" s="385" t="s">
        <v>76</v>
      </c>
      <c r="M47" s="385"/>
      <c r="N47" s="385"/>
      <c r="O47" s="385"/>
      <c r="P47" s="5"/>
      <c r="Q47" s="386" t="s">
        <v>77</v>
      </c>
      <c r="R47" s="386"/>
      <c r="S47" s="386"/>
      <c r="T47" s="386"/>
    </row>
    <row r="48" spans="1:20" ht="28" x14ac:dyDescent="0.15">
      <c r="A48" s="6"/>
      <c r="B48" s="23" t="s">
        <v>50</v>
      </c>
      <c r="C48" s="31" t="s">
        <v>78</v>
      </c>
      <c r="D48" s="31" t="s">
        <v>47</v>
      </c>
      <c r="E48" s="31" t="s">
        <v>79</v>
      </c>
      <c r="F48" s="27"/>
      <c r="G48" s="30" t="s">
        <v>50</v>
      </c>
      <c r="H48" s="24" t="s">
        <v>78</v>
      </c>
      <c r="I48" s="30" t="s">
        <v>47</v>
      </c>
      <c r="J48" s="30" t="s">
        <v>79</v>
      </c>
      <c r="K48" s="27"/>
      <c r="L48" s="29" t="s">
        <v>50</v>
      </c>
      <c r="M48" s="29" t="s">
        <v>78</v>
      </c>
      <c r="N48" s="25" t="s">
        <v>47</v>
      </c>
      <c r="O48" s="29" t="s">
        <v>79</v>
      </c>
      <c r="P48" s="27"/>
      <c r="Q48" s="28" t="s">
        <v>50</v>
      </c>
      <c r="R48" s="28" t="s">
        <v>78</v>
      </c>
      <c r="S48" s="26" t="s">
        <v>47</v>
      </c>
      <c r="T48" s="28" t="s">
        <v>79</v>
      </c>
    </row>
    <row r="49" spans="2:20" x14ac:dyDescent="0.15">
      <c r="B49" s="16">
        <f t="shared" ref="B49:B54" si="40">B50-0.025</f>
        <v>0.58499999999999985</v>
      </c>
      <c r="C49" s="17">
        <f>(((B49*$B$46)-$B$45+$C$45)/$C$46)*2000</f>
        <v>316.96170382011593</v>
      </c>
      <c r="D49" s="16">
        <f>(((B49*$B$46)-$B$45+$D$45)/$D$46)</f>
        <v>3.7265000198863616</v>
      </c>
      <c r="E49" s="16">
        <f>(((B49*$B$46)-$B$45+$E$45)/$E$46)</f>
        <v>5.1273758058712078</v>
      </c>
      <c r="G49" s="18">
        <f>(((H49*$C$46/2000)-$C$45+$B$45)/$B$46)</f>
        <v>0.83084583001893941</v>
      </c>
      <c r="H49" s="19">
        <f t="shared" ref="H49:H54" si="41">H50-10</f>
        <v>442.5</v>
      </c>
      <c r="I49" s="18">
        <f>(((H49*$C$46/2000)-$C$45+$D$45)/$D$46)</f>
        <v>5.2015750000000001</v>
      </c>
      <c r="J49" s="18">
        <f>(((H49*$C$46/2000)-$C$45+$E$45)/$E$46)</f>
        <v>10.044292406250001</v>
      </c>
      <c r="L49" s="12">
        <f>(((N49*$D$46)-$D$45+$B$45)/$B$46)</f>
        <v>0.68891666335227242</v>
      </c>
      <c r="M49" s="13">
        <f>(((N49*$D$46)-$D$45+$C$45)/$C$46)*2000</f>
        <v>370.02553191489346</v>
      </c>
      <c r="N49" s="12">
        <f t="shared" ref="N49:N54" si="42">N50-0.15</f>
        <v>4.3499999999999979</v>
      </c>
      <c r="O49" s="12">
        <f>(((N49*$D$46)-$D$45+$E$45)/$E$46)</f>
        <v>7.2057090729166609</v>
      </c>
      <c r="Q49" s="8">
        <f>(((T49*$E$46)-$E$45+$B$45)/$B$46)</f>
        <v>0.78113120970643957</v>
      </c>
      <c r="R49" s="9">
        <f>(((T49*$E$46)-$E$45+$C$45)/$C$46)*2000</f>
        <v>417.11381090425539</v>
      </c>
      <c r="S49" s="8">
        <f>(((T49*$E$46)-$E$45+$D$45)/$D$46)</f>
        <v>4.9032872781250001</v>
      </c>
      <c r="T49" s="8">
        <f t="shared" ref="T49:T54" si="43">T50-0.35</f>
        <v>9.0500000000000025</v>
      </c>
    </row>
    <row r="50" spans="2:20" x14ac:dyDescent="0.15">
      <c r="B50" s="16">
        <f t="shared" si="40"/>
        <v>0.60999999999999988</v>
      </c>
      <c r="C50" s="17">
        <f t="shared" ref="C50:C63" si="44">(((B50*$B$46)-$B$45+$C$45)/$C$46)*2000</f>
        <v>329.72766126692449</v>
      </c>
      <c r="D50" s="16">
        <f t="shared" ref="D50:D63" si="45">(((B50*$B$46)-$B$45+$D$45)/$D$46)</f>
        <v>3.8765000198863624</v>
      </c>
      <c r="E50" s="16">
        <f t="shared" ref="E50:E63" si="46">(((B50*$B$46)-$B$45+$E$45)/$E$46)</f>
        <v>5.6273758058712096</v>
      </c>
      <c r="G50" s="18">
        <f t="shared" ref="G50:G63" si="47">(((H50*$C$46/2000)-$C$45+$B$45)/$B$46)</f>
        <v>0.85042916335227281</v>
      </c>
      <c r="H50" s="19">
        <f t="shared" si="41"/>
        <v>452.5</v>
      </c>
      <c r="I50" s="18">
        <f t="shared" ref="I50:I63" si="48">(((H50*$C$46/2000)-$C$45+$D$45)/$D$46)</f>
        <v>5.3190750000000007</v>
      </c>
      <c r="J50" s="18">
        <f t="shared" ref="J50:J63" si="49">(((H50*$C$46/2000)-$C$45+$E$45)/$E$46)</f>
        <v>10.435959072916667</v>
      </c>
      <c r="L50" s="12">
        <f t="shared" ref="L50:L63" si="50">(((N50*$D$46)-$D$45+$B$45)/$B$46)</f>
        <v>0.71391666335227255</v>
      </c>
      <c r="M50" s="13">
        <f t="shared" ref="M50:M63" si="51">(((N50*$D$46)-$D$45+$C$45)/$C$46)*2000</f>
        <v>382.79148936170196</v>
      </c>
      <c r="N50" s="12">
        <f t="shared" si="42"/>
        <v>4.4999999999999982</v>
      </c>
      <c r="O50" s="12">
        <f t="shared" ref="O50:O63" si="52">(((N50*$D$46)-$D$45+$E$45)/$E$46)</f>
        <v>7.7057090729166626</v>
      </c>
      <c r="Q50" s="8">
        <f t="shared" ref="Q50:Q63" si="53">(((T50*$E$46)-$E$45+$B$45)/$B$46)</f>
        <v>0.79863120970643953</v>
      </c>
      <c r="R50" s="9">
        <f t="shared" ref="R50:R63" si="54">(((T50*$E$46)-$E$45+$C$45)/$C$46)*2000</f>
        <v>426.04998111702128</v>
      </c>
      <c r="S50" s="8">
        <f t="shared" ref="S50:S63" si="55">(((T50*$E$46)-$E$45+$D$45)/$D$46)</f>
        <v>5.0082872781249996</v>
      </c>
      <c r="T50" s="8">
        <f t="shared" si="43"/>
        <v>9.4000000000000021</v>
      </c>
    </row>
    <row r="51" spans="2:20" x14ac:dyDescent="0.15">
      <c r="B51" s="16">
        <f t="shared" si="40"/>
        <v>0.6349999999999999</v>
      </c>
      <c r="C51" s="17">
        <f t="shared" si="44"/>
        <v>342.49361871373304</v>
      </c>
      <c r="D51" s="16">
        <f t="shared" si="45"/>
        <v>4.0265000198863623</v>
      </c>
      <c r="E51" s="16">
        <f t="shared" si="46"/>
        <v>6.1273758058712096</v>
      </c>
      <c r="G51" s="18">
        <f t="shared" si="47"/>
        <v>0.87001249668560598</v>
      </c>
      <c r="H51" s="19">
        <f t="shared" si="41"/>
        <v>462.5</v>
      </c>
      <c r="I51" s="18">
        <f t="shared" si="48"/>
        <v>5.4365750000000004</v>
      </c>
      <c r="J51" s="18">
        <f t="shared" si="49"/>
        <v>10.827625739583334</v>
      </c>
      <c r="L51" s="12">
        <f t="shared" si="50"/>
        <v>0.73891666335227268</v>
      </c>
      <c r="M51" s="13">
        <f t="shared" si="51"/>
        <v>395.55744680851058</v>
      </c>
      <c r="N51" s="12">
        <f t="shared" si="42"/>
        <v>4.6499999999999986</v>
      </c>
      <c r="O51" s="12">
        <f t="shared" si="52"/>
        <v>8.2057090729166653</v>
      </c>
      <c r="Q51" s="8">
        <f t="shared" si="53"/>
        <v>0.81613120970643949</v>
      </c>
      <c r="R51" s="9">
        <f t="shared" si="54"/>
        <v>434.98615132978722</v>
      </c>
      <c r="S51" s="8">
        <f t="shared" si="55"/>
        <v>5.1132872781250001</v>
      </c>
      <c r="T51" s="8">
        <f t="shared" si="43"/>
        <v>9.7500000000000018</v>
      </c>
    </row>
    <row r="52" spans="2:20" x14ac:dyDescent="0.15">
      <c r="B52" s="16">
        <f t="shared" si="40"/>
        <v>0.65999999999999992</v>
      </c>
      <c r="C52" s="17">
        <f t="shared" si="44"/>
        <v>355.25957616054149</v>
      </c>
      <c r="D52" s="16">
        <f t="shared" si="45"/>
        <v>4.1765000198863627</v>
      </c>
      <c r="E52" s="16">
        <f t="shared" si="46"/>
        <v>6.6273758058712096</v>
      </c>
      <c r="G52" s="18">
        <f t="shared" si="47"/>
        <v>0.88959583001893938</v>
      </c>
      <c r="H52" s="19">
        <f t="shared" si="41"/>
        <v>472.5</v>
      </c>
      <c r="I52" s="18">
        <f t="shared" si="48"/>
        <v>5.5540750000000001</v>
      </c>
      <c r="J52" s="18">
        <f t="shared" si="49"/>
        <v>11.21929240625</v>
      </c>
      <c r="L52" s="12">
        <f t="shared" si="50"/>
        <v>0.76391666335227271</v>
      </c>
      <c r="M52" s="13">
        <f t="shared" si="51"/>
        <v>408.32340425531908</v>
      </c>
      <c r="N52" s="12">
        <f t="shared" si="42"/>
        <v>4.7999999999999989</v>
      </c>
      <c r="O52" s="12">
        <f t="shared" si="52"/>
        <v>8.7057090729166653</v>
      </c>
      <c r="Q52" s="8">
        <f t="shared" si="53"/>
        <v>0.83363120970643956</v>
      </c>
      <c r="R52" s="9">
        <f t="shared" si="54"/>
        <v>443.92232154255328</v>
      </c>
      <c r="S52" s="8">
        <f t="shared" si="55"/>
        <v>5.2182872781250005</v>
      </c>
      <c r="T52" s="8">
        <f t="shared" si="43"/>
        <v>10.100000000000001</v>
      </c>
    </row>
    <row r="53" spans="2:20" x14ac:dyDescent="0.15">
      <c r="B53" s="16">
        <f t="shared" si="40"/>
        <v>0.68499999999999994</v>
      </c>
      <c r="C53" s="17">
        <f t="shared" si="44"/>
        <v>368.02553360735004</v>
      </c>
      <c r="D53" s="16">
        <f t="shared" si="45"/>
        <v>4.3265000198863621</v>
      </c>
      <c r="E53" s="16">
        <f t="shared" si="46"/>
        <v>7.1273758058712096</v>
      </c>
      <c r="G53" s="18">
        <f t="shared" si="47"/>
        <v>0.90917916335227267</v>
      </c>
      <c r="H53" s="19">
        <f t="shared" si="41"/>
        <v>482.5</v>
      </c>
      <c r="I53" s="18">
        <f t="shared" si="48"/>
        <v>5.6715750000000007</v>
      </c>
      <c r="J53" s="18">
        <f t="shared" si="49"/>
        <v>11.610959072916668</v>
      </c>
      <c r="L53" s="12">
        <f t="shared" si="50"/>
        <v>0.78891666335227273</v>
      </c>
      <c r="M53" s="13">
        <f t="shared" si="51"/>
        <v>421.08936170212763</v>
      </c>
      <c r="N53" s="12">
        <f t="shared" si="42"/>
        <v>4.9499999999999993</v>
      </c>
      <c r="O53" s="12">
        <f t="shared" si="52"/>
        <v>9.2057090729166671</v>
      </c>
      <c r="Q53" s="8">
        <f t="shared" si="53"/>
        <v>0.85113120970643952</v>
      </c>
      <c r="R53" s="9">
        <f t="shared" si="54"/>
        <v>452.85849175531922</v>
      </c>
      <c r="S53" s="8">
        <f t="shared" si="55"/>
        <v>5.323287278125</v>
      </c>
      <c r="T53" s="8">
        <f t="shared" si="43"/>
        <v>10.450000000000001</v>
      </c>
    </row>
    <row r="54" spans="2:20" x14ac:dyDescent="0.15">
      <c r="B54" s="16">
        <f t="shared" si="40"/>
        <v>0.71</v>
      </c>
      <c r="C54" s="17">
        <f t="shared" si="44"/>
        <v>380.79149105415854</v>
      </c>
      <c r="D54" s="16">
        <f t="shared" si="45"/>
        <v>4.4765000198863625</v>
      </c>
      <c r="E54" s="16">
        <f t="shared" si="46"/>
        <v>7.6273758058712113</v>
      </c>
      <c r="G54" s="18">
        <f t="shared" si="47"/>
        <v>0.92876249668560606</v>
      </c>
      <c r="H54" s="19">
        <f t="shared" si="41"/>
        <v>492.5</v>
      </c>
      <c r="I54" s="18">
        <f t="shared" si="48"/>
        <v>5.7890750000000004</v>
      </c>
      <c r="J54" s="18">
        <f t="shared" si="49"/>
        <v>12.002625739583333</v>
      </c>
      <c r="L54" s="12">
        <f t="shared" si="50"/>
        <v>0.81391666335227275</v>
      </c>
      <c r="M54" s="13">
        <f t="shared" si="51"/>
        <v>433.85531914893613</v>
      </c>
      <c r="N54" s="12">
        <f t="shared" si="42"/>
        <v>5.0999999999999996</v>
      </c>
      <c r="O54" s="12">
        <f t="shared" si="52"/>
        <v>9.7057090729166671</v>
      </c>
      <c r="Q54" s="8">
        <f t="shared" si="53"/>
        <v>0.86863120970643948</v>
      </c>
      <c r="R54" s="9">
        <f t="shared" si="54"/>
        <v>461.79466196808511</v>
      </c>
      <c r="S54" s="8">
        <f t="shared" si="55"/>
        <v>5.4282872781249987</v>
      </c>
      <c r="T54" s="8">
        <f t="shared" si="43"/>
        <v>10.8</v>
      </c>
    </row>
    <row r="55" spans="2:20" ht="14" thickBot="1" x14ac:dyDescent="0.2">
      <c r="B55" s="16">
        <f>B56-0.025</f>
        <v>0.73499999999999999</v>
      </c>
      <c r="C55" s="17">
        <f t="shared" si="44"/>
        <v>393.5574485009671</v>
      </c>
      <c r="D55" s="16">
        <f t="shared" si="45"/>
        <v>4.6265000198863628</v>
      </c>
      <c r="E55" s="16">
        <f t="shared" si="46"/>
        <v>8.1273758058712122</v>
      </c>
      <c r="G55" s="18">
        <f t="shared" si="47"/>
        <v>0.94834583001893935</v>
      </c>
      <c r="H55" s="19">
        <f>H56-10</f>
        <v>502.5</v>
      </c>
      <c r="I55" s="18">
        <f t="shared" si="48"/>
        <v>5.9065750000000001</v>
      </c>
      <c r="J55" s="18">
        <f t="shared" si="49"/>
        <v>12.394292406250001</v>
      </c>
      <c r="L55" s="12">
        <f t="shared" si="50"/>
        <v>0.83891666335227288</v>
      </c>
      <c r="M55" s="13">
        <f t="shared" si="51"/>
        <v>446.62127659574463</v>
      </c>
      <c r="N55" s="12">
        <f>N56-0.15</f>
        <v>5.25</v>
      </c>
      <c r="O55" s="12">
        <f t="shared" si="52"/>
        <v>10.205709072916669</v>
      </c>
      <c r="Q55" s="8">
        <f t="shared" si="53"/>
        <v>0.88613120970643955</v>
      </c>
      <c r="R55" s="9">
        <f t="shared" si="54"/>
        <v>470.73083218085105</v>
      </c>
      <c r="S55" s="8">
        <f t="shared" si="55"/>
        <v>5.5332872781249991</v>
      </c>
      <c r="T55" s="8">
        <f>T56-0.35</f>
        <v>11.15</v>
      </c>
    </row>
    <row r="56" spans="2:20" ht="14" thickBot="1" x14ac:dyDescent="0.2">
      <c r="B56" s="22">
        <f>Conventional!$B$8</f>
        <v>0.76</v>
      </c>
      <c r="C56" s="17">
        <f t="shared" si="44"/>
        <v>406.3234059477756</v>
      </c>
      <c r="D56" s="16">
        <f t="shared" si="45"/>
        <v>4.7765000198863632</v>
      </c>
      <c r="E56" s="16">
        <f t="shared" si="46"/>
        <v>8.6273758058712122</v>
      </c>
      <c r="G56" s="18">
        <f t="shared" si="47"/>
        <v>0.96792916335227275</v>
      </c>
      <c r="H56" s="20">
        <f>Conventional!$D$8</f>
        <v>512.5</v>
      </c>
      <c r="I56" s="18">
        <f t="shared" si="48"/>
        <v>6.0240749999999998</v>
      </c>
      <c r="J56" s="18">
        <f t="shared" si="49"/>
        <v>12.785959072916667</v>
      </c>
      <c r="L56" s="12">
        <f t="shared" si="50"/>
        <v>0.8639166633522728</v>
      </c>
      <c r="M56" s="13">
        <f t="shared" si="51"/>
        <v>459.38723404255319</v>
      </c>
      <c r="N56" s="14">
        <f>Conventional!$F$8</f>
        <v>5.4</v>
      </c>
      <c r="O56" s="12">
        <f t="shared" si="52"/>
        <v>10.705709072916669</v>
      </c>
      <c r="Q56" s="8">
        <f t="shared" si="53"/>
        <v>0.90363120970643951</v>
      </c>
      <c r="R56" s="9">
        <f t="shared" si="54"/>
        <v>479.667002393617</v>
      </c>
      <c r="S56" s="8">
        <f t="shared" si="55"/>
        <v>5.6382872781249986</v>
      </c>
      <c r="T56" s="10">
        <f>Conventional!$H$8</f>
        <v>11.5</v>
      </c>
    </row>
    <row r="57" spans="2:20" x14ac:dyDescent="0.15">
      <c r="B57" s="16">
        <f>B56+0.025</f>
        <v>0.78500000000000003</v>
      </c>
      <c r="C57" s="17">
        <f t="shared" si="44"/>
        <v>419.0893633945841</v>
      </c>
      <c r="D57" s="16">
        <f t="shared" si="45"/>
        <v>4.9265000198863627</v>
      </c>
      <c r="E57" s="16">
        <f t="shared" si="46"/>
        <v>9.1273758058712122</v>
      </c>
      <c r="G57" s="18">
        <f t="shared" si="47"/>
        <v>0.98751249668560603</v>
      </c>
      <c r="H57" s="19">
        <f>H56+10</f>
        <v>522.5</v>
      </c>
      <c r="I57" s="18">
        <f t="shared" si="48"/>
        <v>6.1415750000000005</v>
      </c>
      <c r="J57" s="18">
        <f t="shared" si="49"/>
        <v>13.177625739583334</v>
      </c>
      <c r="L57" s="12">
        <f t="shared" si="50"/>
        <v>0.88891666335227304</v>
      </c>
      <c r="M57" s="13">
        <f t="shared" si="51"/>
        <v>472.15319148936186</v>
      </c>
      <c r="N57" s="12">
        <f>N56+0.15</f>
        <v>5.5500000000000007</v>
      </c>
      <c r="O57" s="12">
        <f t="shared" si="52"/>
        <v>11.205709072916672</v>
      </c>
      <c r="Q57" s="8">
        <f t="shared" si="53"/>
        <v>0.92113120970643958</v>
      </c>
      <c r="R57" s="9">
        <f t="shared" si="54"/>
        <v>488.603172606383</v>
      </c>
      <c r="S57" s="8">
        <f t="shared" si="55"/>
        <v>5.7432872781249991</v>
      </c>
      <c r="T57" s="8">
        <f>T56+0.35</f>
        <v>11.85</v>
      </c>
    </row>
    <row r="58" spans="2:20" x14ac:dyDescent="0.15">
      <c r="B58" s="16">
        <f t="shared" ref="B58:B63" si="56">B57+0.025</f>
        <v>0.81</v>
      </c>
      <c r="C58" s="17">
        <f t="shared" si="44"/>
        <v>431.85532084139265</v>
      </c>
      <c r="D58" s="16">
        <f t="shared" si="45"/>
        <v>5.0765000198863639</v>
      </c>
      <c r="E58" s="16">
        <f t="shared" si="46"/>
        <v>9.627375805871214</v>
      </c>
      <c r="G58" s="18">
        <f t="shared" si="47"/>
        <v>1.0070958300189394</v>
      </c>
      <c r="H58" s="19">
        <f t="shared" ref="H58:H63" si="57">H57+10</f>
        <v>532.5</v>
      </c>
      <c r="I58" s="18">
        <f t="shared" si="48"/>
        <v>6.2590750000000002</v>
      </c>
      <c r="J58" s="18">
        <f t="shared" si="49"/>
        <v>13.569292406250002</v>
      </c>
      <c r="L58" s="12">
        <f t="shared" si="50"/>
        <v>0.91391666335227306</v>
      </c>
      <c r="M58" s="13">
        <f t="shared" si="51"/>
        <v>484.91914893617036</v>
      </c>
      <c r="N58" s="12">
        <f t="shared" ref="N58:N63" si="58">N57+0.15</f>
        <v>5.7000000000000011</v>
      </c>
      <c r="O58" s="12">
        <f t="shared" si="52"/>
        <v>11.705709072916672</v>
      </c>
      <c r="Q58" s="8">
        <f t="shared" si="53"/>
        <v>0.93863120970643954</v>
      </c>
      <c r="R58" s="9">
        <f t="shared" si="54"/>
        <v>497.53934281914889</v>
      </c>
      <c r="S58" s="8">
        <f t="shared" si="55"/>
        <v>5.8482872781249986</v>
      </c>
      <c r="T58" s="8">
        <f t="shared" ref="T58:T63" si="59">T57+0.35</f>
        <v>12.2</v>
      </c>
    </row>
    <row r="59" spans="2:20" x14ac:dyDescent="0.15">
      <c r="B59" s="16">
        <f t="shared" si="56"/>
        <v>0.83500000000000008</v>
      </c>
      <c r="C59" s="17">
        <f t="shared" si="44"/>
        <v>444.62127828820121</v>
      </c>
      <c r="D59" s="16">
        <f t="shared" si="45"/>
        <v>5.2265000198863643</v>
      </c>
      <c r="E59" s="16">
        <f t="shared" si="46"/>
        <v>10.127375805871214</v>
      </c>
      <c r="G59" s="18">
        <f t="shared" si="47"/>
        <v>1.0266791633522727</v>
      </c>
      <c r="H59" s="19">
        <f t="shared" si="57"/>
        <v>542.5</v>
      </c>
      <c r="I59" s="18">
        <f t="shared" si="48"/>
        <v>6.3765749999999999</v>
      </c>
      <c r="J59" s="18">
        <f t="shared" si="49"/>
        <v>13.960959072916667</v>
      </c>
      <c r="L59" s="12">
        <f t="shared" si="50"/>
        <v>0.93891666335227308</v>
      </c>
      <c r="M59" s="13">
        <f t="shared" si="51"/>
        <v>497.68510638297892</v>
      </c>
      <c r="N59" s="12">
        <f t="shared" si="58"/>
        <v>5.8500000000000014</v>
      </c>
      <c r="O59" s="12">
        <f t="shared" si="52"/>
        <v>12.205709072916672</v>
      </c>
      <c r="Q59" s="8">
        <f t="shared" si="53"/>
        <v>0.95613120970643939</v>
      </c>
      <c r="R59" s="9">
        <f t="shared" si="54"/>
        <v>506.47551303191472</v>
      </c>
      <c r="S59" s="8">
        <f t="shared" si="55"/>
        <v>5.953287278124999</v>
      </c>
      <c r="T59" s="8">
        <f t="shared" si="59"/>
        <v>12.549999999999999</v>
      </c>
    </row>
    <row r="60" spans="2:20" x14ac:dyDescent="0.15">
      <c r="B60" s="16">
        <f t="shared" si="56"/>
        <v>0.8600000000000001</v>
      </c>
      <c r="C60" s="17">
        <f t="shared" si="44"/>
        <v>457.38723573500965</v>
      </c>
      <c r="D60" s="16">
        <f t="shared" si="45"/>
        <v>5.3765000198863637</v>
      </c>
      <c r="E60" s="16">
        <f t="shared" si="46"/>
        <v>10.627375805871216</v>
      </c>
      <c r="G60" s="18">
        <f t="shared" si="47"/>
        <v>1.046262496685606</v>
      </c>
      <c r="H60" s="19">
        <f t="shared" si="57"/>
        <v>552.5</v>
      </c>
      <c r="I60" s="18">
        <f t="shared" si="48"/>
        <v>6.4940750000000005</v>
      </c>
      <c r="J60" s="18">
        <f t="shared" si="49"/>
        <v>14.352625739583335</v>
      </c>
      <c r="L60" s="12">
        <f t="shared" si="50"/>
        <v>0.96391666335227322</v>
      </c>
      <c r="M60" s="13">
        <f t="shared" si="51"/>
        <v>510.45106382978747</v>
      </c>
      <c r="N60" s="12">
        <f t="shared" si="58"/>
        <v>6.0000000000000018</v>
      </c>
      <c r="O60" s="12">
        <f t="shared" si="52"/>
        <v>12.705709072916676</v>
      </c>
      <c r="Q60" s="8">
        <f t="shared" si="53"/>
        <v>0.97363120970643935</v>
      </c>
      <c r="R60" s="9">
        <f t="shared" si="54"/>
        <v>515.41168324468083</v>
      </c>
      <c r="S60" s="8">
        <f t="shared" si="55"/>
        <v>6.0582872781249986</v>
      </c>
      <c r="T60" s="8">
        <f t="shared" si="59"/>
        <v>12.899999999999999</v>
      </c>
    </row>
    <row r="61" spans="2:20" x14ac:dyDescent="0.15">
      <c r="B61" s="16">
        <f t="shared" si="56"/>
        <v>0.88500000000000012</v>
      </c>
      <c r="C61" s="17">
        <f t="shared" si="44"/>
        <v>470.15319318181821</v>
      </c>
      <c r="D61" s="16">
        <f t="shared" si="45"/>
        <v>5.5265000198863641</v>
      </c>
      <c r="E61" s="16">
        <f t="shared" si="46"/>
        <v>11.127375805871216</v>
      </c>
      <c r="G61" s="18">
        <f t="shared" si="47"/>
        <v>1.0658458300189393</v>
      </c>
      <c r="H61" s="19">
        <f t="shared" si="57"/>
        <v>562.5</v>
      </c>
      <c r="I61" s="18">
        <f t="shared" si="48"/>
        <v>6.6115750000000002</v>
      </c>
      <c r="J61" s="18">
        <f t="shared" si="49"/>
        <v>14.74429240625</v>
      </c>
      <c r="L61" s="12">
        <f t="shared" si="50"/>
        <v>0.98891666335227324</v>
      </c>
      <c r="M61" s="13">
        <f t="shared" si="51"/>
        <v>523.21702127659591</v>
      </c>
      <c r="N61" s="12">
        <f t="shared" si="58"/>
        <v>6.1500000000000021</v>
      </c>
      <c r="O61" s="12">
        <f t="shared" si="52"/>
        <v>13.205709072916676</v>
      </c>
      <c r="Q61" s="8">
        <f t="shared" si="53"/>
        <v>0.99113120970643931</v>
      </c>
      <c r="R61" s="9">
        <f t="shared" si="54"/>
        <v>524.34785345744672</v>
      </c>
      <c r="S61" s="8">
        <f t="shared" si="55"/>
        <v>6.163287278124999</v>
      </c>
      <c r="T61" s="8">
        <f t="shared" si="59"/>
        <v>13.249999999999998</v>
      </c>
    </row>
    <row r="62" spans="2:20" x14ac:dyDescent="0.15">
      <c r="B62" s="16">
        <f t="shared" si="56"/>
        <v>0.91000000000000014</v>
      </c>
      <c r="C62" s="17">
        <f t="shared" si="44"/>
        <v>482.91915062862671</v>
      </c>
      <c r="D62" s="16">
        <f t="shared" si="45"/>
        <v>5.6765000198863644</v>
      </c>
      <c r="E62" s="16">
        <f t="shared" si="46"/>
        <v>11.627375805871216</v>
      </c>
      <c r="G62" s="18">
        <f t="shared" si="47"/>
        <v>1.0854291633522728</v>
      </c>
      <c r="H62" s="19">
        <f t="shared" si="57"/>
        <v>572.5</v>
      </c>
      <c r="I62" s="18">
        <f t="shared" si="48"/>
        <v>6.7290749999999999</v>
      </c>
      <c r="J62" s="18">
        <f t="shared" si="49"/>
        <v>15.135959072916668</v>
      </c>
      <c r="L62" s="12">
        <f t="shared" si="50"/>
        <v>1.0139166633522732</v>
      </c>
      <c r="M62" s="13">
        <f t="shared" si="51"/>
        <v>535.98297872340436</v>
      </c>
      <c r="N62" s="12">
        <f t="shared" si="58"/>
        <v>6.3000000000000025</v>
      </c>
      <c r="O62" s="12">
        <f t="shared" si="52"/>
        <v>13.705709072916676</v>
      </c>
      <c r="Q62" s="8">
        <f t="shared" si="53"/>
        <v>1.0086312097064394</v>
      </c>
      <c r="R62" s="9">
        <f t="shared" si="54"/>
        <v>533.2840236702126</v>
      </c>
      <c r="S62" s="8">
        <f t="shared" si="55"/>
        <v>6.2682872781249985</v>
      </c>
      <c r="T62" s="8">
        <f t="shared" si="59"/>
        <v>13.599999999999998</v>
      </c>
    </row>
    <row r="63" spans="2:20" x14ac:dyDescent="0.15">
      <c r="B63" s="16">
        <f t="shared" si="56"/>
        <v>0.93500000000000016</v>
      </c>
      <c r="C63" s="17">
        <f t="shared" si="44"/>
        <v>495.68510807543521</v>
      </c>
      <c r="D63" s="16">
        <f t="shared" si="45"/>
        <v>5.8265000198863639</v>
      </c>
      <c r="E63" s="16">
        <f t="shared" si="46"/>
        <v>12.127375805871216</v>
      </c>
      <c r="G63" s="18">
        <f t="shared" si="47"/>
        <v>1.1050124966856061</v>
      </c>
      <c r="H63" s="19">
        <f t="shared" si="57"/>
        <v>582.5</v>
      </c>
      <c r="I63" s="18">
        <f t="shared" si="48"/>
        <v>6.8465750000000005</v>
      </c>
      <c r="J63" s="18">
        <f t="shared" si="49"/>
        <v>15.527625739583334</v>
      </c>
      <c r="L63" s="12">
        <f t="shared" si="50"/>
        <v>1.0389166633522733</v>
      </c>
      <c r="M63" s="13">
        <f t="shared" si="51"/>
        <v>548.74893617021291</v>
      </c>
      <c r="N63" s="12">
        <f t="shared" si="58"/>
        <v>6.4500000000000028</v>
      </c>
      <c r="O63" s="12">
        <f t="shared" si="52"/>
        <v>14.205709072916676</v>
      </c>
      <c r="Q63" s="8">
        <f t="shared" si="53"/>
        <v>1.0261312097064392</v>
      </c>
      <c r="R63" s="9">
        <f t="shared" si="54"/>
        <v>542.22019388297861</v>
      </c>
      <c r="S63" s="8">
        <f t="shared" si="55"/>
        <v>6.373287278124999</v>
      </c>
      <c r="T63" s="8">
        <f t="shared" si="59"/>
        <v>13.949999999999998</v>
      </c>
    </row>
    <row r="64" spans="2:20" x14ac:dyDescent="0.15">
      <c r="B64" s="16"/>
      <c r="C64" s="17"/>
      <c r="D64" s="16"/>
      <c r="E64" s="16"/>
      <c r="G64" s="21"/>
      <c r="H64" s="21"/>
      <c r="I64" s="21"/>
      <c r="J64" s="21"/>
      <c r="L64" s="15"/>
      <c r="M64" s="15"/>
      <c r="N64" s="15"/>
      <c r="O64" s="15"/>
      <c r="Q64" s="11"/>
      <c r="R64" s="11"/>
      <c r="S64" s="11"/>
      <c r="T64" s="11"/>
    </row>
    <row r="65" spans="1:20" x14ac:dyDescent="0.15">
      <c r="B65" s="2" t="s">
        <v>2</v>
      </c>
      <c r="C65" s="2" t="s">
        <v>68</v>
      </c>
      <c r="D65" s="2" t="s">
        <v>4</v>
      </c>
      <c r="E65" s="2" t="s">
        <v>69</v>
      </c>
      <c r="G65" s="21"/>
      <c r="H65" s="21"/>
      <c r="I65" s="21"/>
      <c r="J65" s="21"/>
      <c r="L65" s="15"/>
      <c r="M65" s="15"/>
      <c r="N65" s="15"/>
      <c r="O65" s="15"/>
      <c r="Q65" s="11"/>
      <c r="R65" s="11"/>
      <c r="S65" s="11"/>
      <c r="T65" s="11"/>
    </row>
    <row r="66" spans="1:20" x14ac:dyDescent="0.15">
      <c r="A66" s="1" t="s">
        <v>72</v>
      </c>
      <c r="B66" s="49">
        <f>'Strip-Till'!L$31</f>
        <v>607.36843110795462</v>
      </c>
      <c r="C66" s="49">
        <f>'Strip-Till'!N$31</f>
        <v>634.44937500000003</v>
      </c>
      <c r="D66" s="49">
        <f>'Strip-Till'!P$31</f>
        <v>390.34035031249999</v>
      </c>
      <c r="E66" s="49">
        <f>'Strip-Till'!R$31</f>
        <v>283.06484343749997</v>
      </c>
      <c r="G66" s="21"/>
      <c r="H66" s="21"/>
      <c r="I66" s="21"/>
      <c r="J66" s="21"/>
      <c r="L66" s="15"/>
      <c r="M66" s="15"/>
      <c r="N66" s="15"/>
      <c r="O66" s="15"/>
      <c r="Q66" s="11"/>
      <c r="R66" s="11"/>
      <c r="S66" s="11"/>
      <c r="T66" s="11"/>
    </row>
    <row r="67" spans="1:20" x14ac:dyDescent="0.15">
      <c r="A67" s="1" t="s">
        <v>73</v>
      </c>
      <c r="B67" s="4">
        <f>'Strip-Till'!L$7</f>
        <v>750</v>
      </c>
      <c r="C67" s="4">
        <f>'Strip-Till'!N$7</f>
        <v>3400</v>
      </c>
      <c r="D67" s="4">
        <f>'Strip-Till'!P$7</f>
        <v>85</v>
      </c>
      <c r="E67" s="4">
        <f>'Strip-Till'!R$7</f>
        <v>30</v>
      </c>
      <c r="G67" s="21"/>
      <c r="H67" s="21"/>
      <c r="I67" s="21"/>
      <c r="J67" s="21"/>
      <c r="L67" s="15"/>
      <c r="M67" s="15"/>
      <c r="N67" s="15"/>
      <c r="O67" s="15"/>
      <c r="Q67" s="11"/>
      <c r="R67" s="11"/>
      <c r="S67" s="11"/>
      <c r="T67" s="11"/>
    </row>
    <row r="68" spans="1:20" x14ac:dyDescent="0.15">
      <c r="A68" s="5"/>
      <c r="B68" s="383" t="s">
        <v>74</v>
      </c>
      <c r="C68" s="383"/>
      <c r="D68" s="383"/>
      <c r="E68" s="383"/>
      <c r="F68" s="5"/>
      <c r="G68" s="384" t="s">
        <v>75</v>
      </c>
      <c r="H68" s="384"/>
      <c r="I68" s="384"/>
      <c r="J68" s="384"/>
      <c r="K68" s="5"/>
      <c r="L68" s="385" t="s">
        <v>76</v>
      </c>
      <c r="M68" s="385"/>
      <c r="N68" s="385"/>
      <c r="O68" s="385"/>
      <c r="P68" s="5"/>
      <c r="Q68" s="386" t="s">
        <v>77</v>
      </c>
      <c r="R68" s="386"/>
      <c r="S68" s="386"/>
      <c r="T68" s="386"/>
    </row>
    <row r="69" spans="1:20" ht="42" x14ac:dyDescent="0.15">
      <c r="A69" s="7"/>
      <c r="B69" s="23" t="s">
        <v>83</v>
      </c>
      <c r="C69" s="23" t="s">
        <v>80</v>
      </c>
      <c r="D69" s="23" t="s">
        <v>81</v>
      </c>
      <c r="E69" s="23" t="s">
        <v>82</v>
      </c>
      <c r="F69" s="7"/>
      <c r="G69" s="24" t="s">
        <v>83</v>
      </c>
      <c r="H69" s="24" t="s">
        <v>80</v>
      </c>
      <c r="I69" s="24" t="s">
        <v>81</v>
      </c>
      <c r="J69" s="24" t="s">
        <v>82</v>
      </c>
      <c r="K69" s="7"/>
      <c r="L69" s="25" t="s">
        <v>83</v>
      </c>
      <c r="M69" s="25" t="s">
        <v>80</v>
      </c>
      <c r="N69" s="25" t="s">
        <v>81</v>
      </c>
      <c r="O69" s="25" t="s">
        <v>82</v>
      </c>
      <c r="P69" s="7"/>
      <c r="Q69" s="26" t="s">
        <v>83</v>
      </c>
      <c r="R69" s="26" t="s">
        <v>80</v>
      </c>
      <c r="S69" s="26" t="s">
        <v>81</v>
      </c>
      <c r="T69" s="26" t="s">
        <v>82</v>
      </c>
    </row>
    <row r="70" spans="1:20" x14ac:dyDescent="0.15">
      <c r="B70" s="16">
        <f t="shared" ref="B70:B75" si="60">B71-0.025</f>
        <v>0.58499999999999985</v>
      </c>
      <c r="C70" s="17">
        <f>(((B70*$B$67)-$B$66+$C$66)/$C$67)*2000</f>
        <v>274.01820228943842</v>
      </c>
      <c r="D70" s="16">
        <f>(((B70*$B$67)-$B$66+$D$66)/$D$67)</f>
        <v>2.6084931671122971</v>
      </c>
      <c r="E70" s="16">
        <f>(((B70*$B$67)-$B$66+$E$66)/$E$67)</f>
        <v>3.8148804109848413</v>
      </c>
      <c r="G70" s="18">
        <f>(((H70*$C$67/2000)-$C$66+$B$66)/$B$67)</f>
        <v>0.96689207481060613</v>
      </c>
      <c r="H70" s="19">
        <f t="shared" ref="H70:H75" si="61">H71-10</f>
        <v>442.5</v>
      </c>
      <c r="I70" s="18">
        <f>(((H70*$C$67/2000)-$C$66+$D$66)/$D$67)</f>
        <v>5.978129121323529</v>
      </c>
      <c r="J70" s="18">
        <f>(((H70*$C$67/2000)-$C$66+$E$66)/$E$67)</f>
        <v>13.362182281249998</v>
      </c>
      <c r="L70" s="12">
        <f>(((N70*$D$67)-$D$66+$B$66)/$B$67)</f>
        <v>0.78237077439393932</v>
      </c>
      <c r="M70" s="13">
        <f>(((N70*$D$67)-$D$66+$C$66)/$C$67)*2000</f>
        <v>361.09354393382341</v>
      </c>
      <c r="N70" s="12">
        <f t="shared" ref="N70:N75" si="62">N71-0.15</f>
        <v>4.3499999999999979</v>
      </c>
      <c r="O70" s="12">
        <f>(((N70*$D$67)-$D$66+$E$66)/$E$67)</f>
        <v>8.749149770833327</v>
      </c>
      <c r="Q70" s="8">
        <f>(((T70*$E$67)-$E$66+$B$66)/$B$67)</f>
        <v>0.79440478356060629</v>
      </c>
      <c r="R70" s="9">
        <f>(((T70*$E$67)-$E$66+$C$66)/$C$67)*2000</f>
        <v>366.40266562500005</v>
      </c>
      <c r="S70" s="8">
        <f>(((T70*$E$67)-$E$66+$D$66)/$D$67)</f>
        <v>4.4561824338235301</v>
      </c>
      <c r="T70" s="8">
        <f t="shared" ref="T70:T75" si="63">T71-0.35</f>
        <v>9.0500000000000025</v>
      </c>
    </row>
    <row r="71" spans="1:20" x14ac:dyDescent="0.15">
      <c r="B71" s="16">
        <f t="shared" si="60"/>
        <v>0.60999999999999988</v>
      </c>
      <c r="C71" s="17">
        <f t="shared" ref="C71:C84" si="64">(((B71*$B$67)-$B$66+$C$66)/$C$67)*2000</f>
        <v>285.04761405414433</v>
      </c>
      <c r="D71" s="16">
        <f t="shared" ref="D71:D84" si="65">(((B71*$B$67)-$B$66+$D$66)/$D$67)</f>
        <v>2.8290814024064148</v>
      </c>
      <c r="E71" s="16">
        <f t="shared" ref="E71:E84" si="66">(((B71*$B$67)-$B$66+$E$66)/$E$67)</f>
        <v>4.4398804109848413</v>
      </c>
      <c r="G71" s="18">
        <f t="shared" ref="G71:G84" si="67">(((H71*$C$67/2000)-$C$66+$B$66)/$B$67)</f>
        <v>0.98955874147727274</v>
      </c>
      <c r="H71" s="19">
        <f t="shared" si="61"/>
        <v>452.5</v>
      </c>
      <c r="I71" s="18">
        <f t="shared" ref="I71:I84" si="68">(((H71*$C$67/2000)-$C$66+$D$66)/$D$67)</f>
        <v>6.1781291213235283</v>
      </c>
      <c r="J71" s="18">
        <f t="shared" ref="J71:J84" si="69">(((H71*$C$67/2000)-$C$66+$E$66)/$E$67)</f>
        <v>13.928848947916665</v>
      </c>
      <c r="L71" s="12">
        <f t="shared" ref="L71:L84" si="70">(((N71*$D$67)-$D$66+$B$66)/$B$67)</f>
        <v>0.79937077439393922</v>
      </c>
      <c r="M71" s="13">
        <f t="shared" ref="M71:M84" si="71">(((N71*$D$67)-$D$66+$C$66)/$C$67)*2000</f>
        <v>368.59354393382341</v>
      </c>
      <c r="N71" s="12">
        <f t="shared" si="62"/>
        <v>4.4999999999999982</v>
      </c>
      <c r="O71" s="12">
        <f t="shared" ref="O71:O84" si="72">(((N71*$D$67)-$D$66+$E$66)/$E$67)</f>
        <v>9.1741497708333277</v>
      </c>
      <c r="Q71" s="8">
        <f t="shared" ref="Q71:Q84" si="73">(((T71*$E$67)-$E$66+$B$66)/$B$67)</f>
        <v>0.8084047835606063</v>
      </c>
      <c r="R71" s="9">
        <f t="shared" ref="R71:R84" si="74">(((T71*$E$67)-$E$66+$C$66)/$C$67)*2000</f>
        <v>372.57913621323536</v>
      </c>
      <c r="S71" s="8">
        <f t="shared" ref="S71:S84" si="75">(((T71*$E$67)-$E$66+$D$66)/$D$67)</f>
        <v>4.5797118455882364</v>
      </c>
      <c r="T71" s="8">
        <f t="shared" si="63"/>
        <v>9.4000000000000021</v>
      </c>
    </row>
    <row r="72" spans="1:20" x14ac:dyDescent="0.15">
      <c r="B72" s="16">
        <f t="shared" si="60"/>
        <v>0.6349999999999999</v>
      </c>
      <c r="C72" s="17">
        <f t="shared" si="64"/>
        <v>296.07702581885019</v>
      </c>
      <c r="D72" s="16">
        <f t="shared" si="65"/>
        <v>3.049669637700533</v>
      </c>
      <c r="E72" s="16">
        <f t="shared" si="66"/>
        <v>5.0648804109848431</v>
      </c>
      <c r="G72" s="18">
        <f t="shared" si="67"/>
        <v>1.0122254081439395</v>
      </c>
      <c r="H72" s="19">
        <f t="shared" si="61"/>
        <v>462.5</v>
      </c>
      <c r="I72" s="18">
        <f t="shared" si="68"/>
        <v>6.3781291213235285</v>
      </c>
      <c r="J72" s="18">
        <f t="shared" si="69"/>
        <v>14.495515614583331</v>
      </c>
      <c r="L72" s="12">
        <f t="shared" si="70"/>
        <v>0.81637077439393946</v>
      </c>
      <c r="M72" s="13">
        <f t="shared" si="71"/>
        <v>376.09354393382341</v>
      </c>
      <c r="N72" s="12">
        <f t="shared" si="62"/>
        <v>4.6499999999999986</v>
      </c>
      <c r="O72" s="12">
        <f t="shared" si="72"/>
        <v>9.5991497708333284</v>
      </c>
      <c r="Q72" s="8">
        <f t="shared" si="73"/>
        <v>0.82240478356060631</v>
      </c>
      <c r="R72" s="9">
        <f t="shared" si="74"/>
        <v>378.75560680147066</v>
      </c>
      <c r="S72" s="8">
        <f t="shared" si="75"/>
        <v>4.7032412573529419</v>
      </c>
      <c r="T72" s="8">
        <f t="shared" si="63"/>
        <v>9.7500000000000018</v>
      </c>
    </row>
    <row r="73" spans="1:20" x14ac:dyDescent="0.15">
      <c r="B73" s="16">
        <f t="shared" si="60"/>
        <v>0.65999999999999992</v>
      </c>
      <c r="C73" s="17">
        <f t="shared" si="64"/>
        <v>307.10643758355604</v>
      </c>
      <c r="D73" s="16">
        <f t="shared" si="65"/>
        <v>3.2702578729946508</v>
      </c>
      <c r="E73" s="16">
        <f t="shared" si="66"/>
        <v>5.6898804109848431</v>
      </c>
      <c r="G73" s="18">
        <f t="shared" si="67"/>
        <v>1.0348920748106061</v>
      </c>
      <c r="H73" s="19">
        <f t="shared" si="61"/>
        <v>472.5</v>
      </c>
      <c r="I73" s="18">
        <f t="shared" si="68"/>
        <v>6.5781291213235287</v>
      </c>
      <c r="J73" s="18">
        <f t="shared" si="69"/>
        <v>15.062182281249997</v>
      </c>
      <c r="L73" s="12">
        <f t="shared" si="70"/>
        <v>0.83337077439393947</v>
      </c>
      <c r="M73" s="13">
        <f t="shared" si="71"/>
        <v>383.59354393382347</v>
      </c>
      <c r="N73" s="12">
        <f t="shared" si="62"/>
        <v>4.7999999999999989</v>
      </c>
      <c r="O73" s="12">
        <f t="shared" si="72"/>
        <v>10.024149770833329</v>
      </c>
      <c r="Q73" s="8">
        <f t="shared" si="73"/>
        <v>0.83640478356060632</v>
      </c>
      <c r="R73" s="9">
        <f t="shared" si="74"/>
        <v>384.93207738970597</v>
      </c>
      <c r="S73" s="8">
        <f t="shared" si="75"/>
        <v>4.8267706691176482</v>
      </c>
      <c r="T73" s="8">
        <f t="shared" si="63"/>
        <v>10.100000000000001</v>
      </c>
    </row>
    <row r="74" spans="1:20" x14ac:dyDescent="0.15">
      <c r="B74" s="16">
        <f t="shared" si="60"/>
        <v>0.68499999999999994</v>
      </c>
      <c r="C74" s="17">
        <f t="shared" si="64"/>
        <v>318.13584934826201</v>
      </c>
      <c r="D74" s="16">
        <f t="shared" si="65"/>
        <v>3.490846108288769</v>
      </c>
      <c r="E74" s="16">
        <f t="shared" si="66"/>
        <v>6.3148804109848449</v>
      </c>
      <c r="G74" s="18">
        <f t="shared" si="67"/>
        <v>1.0575587414772727</v>
      </c>
      <c r="H74" s="19">
        <f t="shared" si="61"/>
        <v>482.5</v>
      </c>
      <c r="I74" s="18">
        <f t="shared" si="68"/>
        <v>6.778129121323528</v>
      </c>
      <c r="J74" s="18">
        <f t="shared" si="69"/>
        <v>15.628848947916664</v>
      </c>
      <c r="L74" s="12">
        <f t="shared" si="70"/>
        <v>0.85037077439393938</v>
      </c>
      <c r="M74" s="13">
        <f t="shared" si="71"/>
        <v>391.09354393382353</v>
      </c>
      <c r="N74" s="12">
        <f t="shared" si="62"/>
        <v>4.9499999999999993</v>
      </c>
      <c r="O74" s="12">
        <f t="shared" si="72"/>
        <v>10.449149770833332</v>
      </c>
      <c r="Q74" s="8">
        <f t="shared" si="73"/>
        <v>0.85040478356060623</v>
      </c>
      <c r="R74" s="9">
        <f t="shared" si="74"/>
        <v>391.10854797794127</v>
      </c>
      <c r="S74" s="8">
        <f t="shared" si="75"/>
        <v>4.9503000808823536</v>
      </c>
      <c r="T74" s="8">
        <f t="shared" si="63"/>
        <v>10.450000000000001</v>
      </c>
    </row>
    <row r="75" spans="1:20" x14ac:dyDescent="0.15">
      <c r="B75" s="16">
        <f t="shared" si="60"/>
        <v>0.71</v>
      </c>
      <c r="C75" s="17">
        <f t="shared" si="64"/>
        <v>329.16526111296793</v>
      </c>
      <c r="D75" s="16">
        <f t="shared" si="65"/>
        <v>3.7114343435828867</v>
      </c>
      <c r="E75" s="16">
        <f t="shared" si="66"/>
        <v>6.9398804109848449</v>
      </c>
      <c r="G75" s="18">
        <f t="shared" si="67"/>
        <v>1.0802254081439395</v>
      </c>
      <c r="H75" s="19">
        <f t="shared" si="61"/>
        <v>492.5</v>
      </c>
      <c r="I75" s="18">
        <f t="shared" si="68"/>
        <v>6.9781291213235281</v>
      </c>
      <c r="J75" s="18">
        <f t="shared" si="69"/>
        <v>16.195515614583332</v>
      </c>
      <c r="L75" s="12">
        <f t="shared" si="70"/>
        <v>0.86737077439393939</v>
      </c>
      <c r="M75" s="13">
        <f t="shared" si="71"/>
        <v>398.59354393382353</v>
      </c>
      <c r="N75" s="12">
        <f t="shared" si="62"/>
        <v>5.0999999999999996</v>
      </c>
      <c r="O75" s="12">
        <f t="shared" si="72"/>
        <v>10.874149770833331</v>
      </c>
      <c r="Q75" s="8">
        <f t="shared" si="73"/>
        <v>0.86440478356060613</v>
      </c>
      <c r="R75" s="9">
        <f t="shared" si="74"/>
        <v>397.28501856617652</v>
      </c>
      <c r="S75" s="8">
        <f t="shared" si="75"/>
        <v>5.0738294926470591</v>
      </c>
      <c r="T75" s="8">
        <f t="shared" si="63"/>
        <v>10.8</v>
      </c>
    </row>
    <row r="76" spans="1:20" ht="14" thickBot="1" x14ac:dyDescent="0.2">
      <c r="B76" s="16">
        <f>B77-0.025</f>
        <v>0.73499999999999999</v>
      </c>
      <c r="C76" s="17">
        <f t="shared" si="64"/>
        <v>340.19467287767378</v>
      </c>
      <c r="D76" s="16">
        <f t="shared" si="65"/>
        <v>3.9320225788770045</v>
      </c>
      <c r="E76" s="16">
        <f t="shared" si="66"/>
        <v>7.5648804109848449</v>
      </c>
      <c r="G76" s="18">
        <f t="shared" si="67"/>
        <v>1.1028920748106061</v>
      </c>
      <c r="H76" s="19">
        <f>H77-10</f>
        <v>502.5</v>
      </c>
      <c r="I76" s="18">
        <f t="shared" si="68"/>
        <v>7.1781291213235283</v>
      </c>
      <c r="J76" s="18">
        <f t="shared" si="69"/>
        <v>16.762182281249999</v>
      </c>
      <c r="L76" s="12">
        <f t="shared" si="70"/>
        <v>0.88437077439393941</v>
      </c>
      <c r="M76" s="13">
        <f t="shared" si="71"/>
        <v>406.09354393382358</v>
      </c>
      <c r="N76" s="12">
        <f>N77-0.15</f>
        <v>5.25</v>
      </c>
      <c r="O76" s="12">
        <f t="shared" si="72"/>
        <v>11.299149770833333</v>
      </c>
      <c r="Q76" s="8">
        <f t="shared" si="73"/>
        <v>0.87840478356060614</v>
      </c>
      <c r="R76" s="9">
        <f t="shared" si="74"/>
        <v>403.46148915441182</v>
      </c>
      <c r="S76" s="8">
        <f t="shared" si="75"/>
        <v>5.1973589044117645</v>
      </c>
      <c r="T76" s="8">
        <f>T77-0.35</f>
        <v>11.15</v>
      </c>
    </row>
    <row r="77" spans="1:20" ht="14" thickBot="1" x14ac:dyDescent="0.2">
      <c r="B77" s="22">
        <f>Conventional!$B$8</f>
        <v>0.76</v>
      </c>
      <c r="C77" s="17">
        <f t="shared" si="64"/>
        <v>351.22408464237964</v>
      </c>
      <c r="D77" s="16">
        <f t="shared" si="65"/>
        <v>4.1526108141711218</v>
      </c>
      <c r="E77" s="16">
        <f t="shared" si="66"/>
        <v>8.1898804109848449</v>
      </c>
      <c r="G77" s="18">
        <f t="shared" si="67"/>
        <v>1.1255587414772728</v>
      </c>
      <c r="H77" s="20">
        <f>Conventional!$D$8</f>
        <v>512.5</v>
      </c>
      <c r="I77" s="18">
        <f t="shared" si="68"/>
        <v>7.3781291213235285</v>
      </c>
      <c r="J77" s="18">
        <f t="shared" si="69"/>
        <v>17.328848947916661</v>
      </c>
      <c r="L77" s="12">
        <f t="shared" si="70"/>
        <v>0.90137077439393953</v>
      </c>
      <c r="M77" s="13">
        <f t="shared" si="71"/>
        <v>413.59354393382358</v>
      </c>
      <c r="N77" s="14">
        <f>Conventional!$F$8</f>
        <v>5.4</v>
      </c>
      <c r="O77" s="12">
        <f t="shared" si="72"/>
        <v>11.724149770833334</v>
      </c>
      <c r="Q77" s="8">
        <f t="shared" si="73"/>
        <v>0.89240478356060615</v>
      </c>
      <c r="R77" s="9">
        <f t="shared" si="74"/>
        <v>409.63795974264713</v>
      </c>
      <c r="S77" s="8">
        <f t="shared" si="75"/>
        <v>5.3208883161764708</v>
      </c>
      <c r="T77" s="10">
        <f>Conventional!$H$8</f>
        <v>11.5</v>
      </c>
    </row>
    <row r="78" spans="1:20" x14ac:dyDescent="0.15">
      <c r="B78" s="16">
        <f>B77+0.025</f>
        <v>0.78500000000000003</v>
      </c>
      <c r="C78" s="17">
        <f t="shared" si="64"/>
        <v>362.25349640708555</v>
      </c>
      <c r="D78" s="16">
        <f t="shared" si="65"/>
        <v>4.3731990494652395</v>
      </c>
      <c r="E78" s="16">
        <f t="shared" si="66"/>
        <v>8.8148804109848449</v>
      </c>
      <c r="G78" s="18">
        <f t="shared" si="67"/>
        <v>1.1482254081439394</v>
      </c>
      <c r="H78" s="19">
        <f>H77+10</f>
        <v>522.5</v>
      </c>
      <c r="I78" s="18">
        <f t="shared" si="68"/>
        <v>7.5781291213235287</v>
      </c>
      <c r="J78" s="18">
        <f t="shared" si="69"/>
        <v>17.895515614583328</v>
      </c>
      <c r="L78" s="12">
        <f t="shared" si="70"/>
        <v>0.91837077439393955</v>
      </c>
      <c r="M78" s="13">
        <f t="shared" si="71"/>
        <v>421.09354393382358</v>
      </c>
      <c r="N78" s="12">
        <f>N77+0.15</f>
        <v>5.5500000000000007</v>
      </c>
      <c r="O78" s="12">
        <f t="shared" si="72"/>
        <v>12.149149770833334</v>
      </c>
      <c r="Q78" s="8">
        <f t="shared" si="73"/>
        <v>0.90640478356060616</v>
      </c>
      <c r="R78" s="9">
        <f t="shared" si="74"/>
        <v>415.81443033088243</v>
      </c>
      <c r="S78" s="8">
        <f t="shared" si="75"/>
        <v>5.4444177279411763</v>
      </c>
      <c r="T78" s="8">
        <f>T77+0.35</f>
        <v>11.85</v>
      </c>
    </row>
    <row r="79" spans="1:20" x14ac:dyDescent="0.15">
      <c r="B79" s="16">
        <f t="shared" ref="B79:B84" si="76">B78+0.025</f>
        <v>0.81</v>
      </c>
      <c r="C79" s="17">
        <f t="shared" si="64"/>
        <v>373.28290817179146</v>
      </c>
      <c r="D79" s="16">
        <f t="shared" si="65"/>
        <v>4.5937872847593573</v>
      </c>
      <c r="E79" s="16">
        <f t="shared" si="66"/>
        <v>9.4398804109848449</v>
      </c>
      <c r="G79" s="18">
        <f t="shared" si="67"/>
        <v>1.1708920748106062</v>
      </c>
      <c r="H79" s="19">
        <f t="shared" ref="H79:H84" si="77">H78+10</f>
        <v>532.5</v>
      </c>
      <c r="I79" s="18">
        <f t="shared" si="68"/>
        <v>7.778129121323528</v>
      </c>
      <c r="J79" s="18">
        <f t="shared" si="69"/>
        <v>18.462182281249998</v>
      </c>
      <c r="L79" s="12">
        <f t="shared" si="70"/>
        <v>0.93537077439393979</v>
      </c>
      <c r="M79" s="13">
        <f t="shared" si="71"/>
        <v>428.59354393382358</v>
      </c>
      <c r="N79" s="12">
        <f t="shared" ref="N79:N84" si="78">N78+0.15</f>
        <v>5.7000000000000011</v>
      </c>
      <c r="O79" s="12">
        <f t="shared" si="72"/>
        <v>12.574149770833337</v>
      </c>
      <c r="Q79" s="8">
        <f t="shared" si="73"/>
        <v>0.92040478356060607</v>
      </c>
      <c r="R79" s="9">
        <f t="shared" si="74"/>
        <v>421.99090091911773</v>
      </c>
      <c r="S79" s="8">
        <f t="shared" si="75"/>
        <v>5.5679471397058826</v>
      </c>
      <c r="T79" s="8">
        <f t="shared" ref="T79:T84" si="79">T78+0.35</f>
        <v>12.2</v>
      </c>
    </row>
    <row r="80" spans="1:20" x14ac:dyDescent="0.15">
      <c r="B80" s="16">
        <f t="shared" si="76"/>
        <v>0.83500000000000008</v>
      </c>
      <c r="C80" s="17">
        <f t="shared" si="64"/>
        <v>384.31231993649726</v>
      </c>
      <c r="D80" s="16">
        <f t="shared" si="65"/>
        <v>4.814375520053475</v>
      </c>
      <c r="E80" s="16">
        <f t="shared" si="66"/>
        <v>10.064880410984845</v>
      </c>
      <c r="G80" s="18">
        <f t="shared" si="67"/>
        <v>1.1935587414772728</v>
      </c>
      <c r="H80" s="19">
        <f t="shared" si="77"/>
        <v>542.5</v>
      </c>
      <c r="I80" s="18">
        <f t="shared" si="68"/>
        <v>7.9781291213235281</v>
      </c>
      <c r="J80" s="18">
        <f t="shared" si="69"/>
        <v>19.028848947916664</v>
      </c>
      <c r="L80" s="12">
        <f t="shared" si="70"/>
        <v>0.95237077439393969</v>
      </c>
      <c r="M80" s="13">
        <f t="shared" si="71"/>
        <v>436.09354393382358</v>
      </c>
      <c r="N80" s="12">
        <f t="shared" si="78"/>
        <v>5.8500000000000014</v>
      </c>
      <c r="O80" s="12">
        <f t="shared" si="72"/>
        <v>12.999149770833336</v>
      </c>
      <c r="Q80" s="8">
        <f t="shared" si="73"/>
        <v>0.93440478356060608</v>
      </c>
      <c r="R80" s="9">
        <f t="shared" si="74"/>
        <v>428.16737150735298</v>
      </c>
      <c r="S80" s="8">
        <f t="shared" si="75"/>
        <v>5.6914765514705881</v>
      </c>
      <c r="T80" s="8">
        <f t="shared" si="79"/>
        <v>12.549999999999999</v>
      </c>
    </row>
    <row r="81" spans="1:20" x14ac:dyDescent="0.15">
      <c r="B81" s="16">
        <f t="shared" si="76"/>
        <v>0.8600000000000001</v>
      </c>
      <c r="C81" s="17">
        <f t="shared" si="64"/>
        <v>395.34173170120323</v>
      </c>
      <c r="D81" s="16">
        <f t="shared" si="65"/>
        <v>5.0349637553475937</v>
      </c>
      <c r="E81" s="16">
        <f t="shared" si="66"/>
        <v>10.689880410984848</v>
      </c>
      <c r="G81" s="18">
        <f t="shared" si="67"/>
        <v>1.2162254081439394</v>
      </c>
      <c r="H81" s="19">
        <f t="shared" si="77"/>
        <v>552.5</v>
      </c>
      <c r="I81" s="18">
        <f t="shared" si="68"/>
        <v>8.1781291213235274</v>
      </c>
      <c r="J81" s="18">
        <f t="shared" si="69"/>
        <v>19.595515614583331</v>
      </c>
      <c r="L81" s="12">
        <f t="shared" si="70"/>
        <v>0.9693707743939397</v>
      </c>
      <c r="M81" s="13">
        <f t="shared" si="71"/>
        <v>443.59354393382364</v>
      </c>
      <c r="N81" s="12">
        <f t="shared" si="78"/>
        <v>6.0000000000000018</v>
      </c>
      <c r="O81" s="12">
        <f t="shared" si="72"/>
        <v>13.424149770833338</v>
      </c>
      <c r="Q81" s="8">
        <f t="shared" si="73"/>
        <v>0.94840478356060609</v>
      </c>
      <c r="R81" s="9">
        <f t="shared" si="74"/>
        <v>434.34384209558823</v>
      </c>
      <c r="S81" s="8">
        <f t="shared" si="75"/>
        <v>5.8150059632352935</v>
      </c>
      <c r="T81" s="8">
        <f t="shared" si="79"/>
        <v>12.899999999999999</v>
      </c>
    </row>
    <row r="82" spans="1:20" x14ac:dyDescent="0.15">
      <c r="B82" s="16">
        <f t="shared" si="76"/>
        <v>0.88500000000000012</v>
      </c>
      <c r="C82" s="17">
        <f t="shared" si="64"/>
        <v>406.37114346590914</v>
      </c>
      <c r="D82" s="16">
        <f t="shared" si="65"/>
        <v>5.2555519906417114</v>
      </c>
      <c r="E82" s="16">
        <f t="shared" si="66"/>
        <v>11.314880410984848</v>
      </c>
      <c r="G82" s="18">
        <f t="shared" si="67"/>
        <v>1.238892074810606</v>
      </c>
      <c r="H82" s="19">
        <f t="shared" si="77"/>
        <v>562.5</v>
      </c>
      <c r="I82" s="18">
        <f t="shared" si="68"/>
        <v>8.3781291213235285</v>
      </c>
      <c r="J82" s="18">
        <f t="shared" si="69"/>
        <v>20.162182281249997</v>
      </c>
      <c r="L82" s="12">
        <f t="shared" si="70"/>
        <v>0.98637077439393972</v>
      </c>
      <c r="M82" s="13">
        <f t="shared" si="71"/>
        <v>451.09354393382375</v>
      </c>
      <c r="N82" s="12">
        <f t="shared" si="78"/>
        <v>6.1500000000000021</v>
      </c>
      <c r="O82" s="12">
        <f t="shared" si="72"/>
        <v>13.849149770833341</v>
      </c>
      <c r="Q82" s="8">
        <f t="shared" si="73"/>
        <v>0.9624047835606061</v>
      </c>
      <c r="R82" s="9">
        <f t="shared" si="74"/>
        <v>440.52031268382353</v>
      </c>
      <c r="S82" s="8">
        <f t="shared" si="75"/>
        <v>5.9385353749999998</v>
      </c>
      <c r="T82" s="8">
        <f t="shared" si="79"/>
        <v>13.249999999999998</v>
      </c>
    </row>
    <row r="83" spans="1:20" x14ac:dyDescent="0.15">
      <c r="B83" s="16">
        <f t="shared" si="76"/>
        <v>0.91000000000000014</v>
      </c>
      <c r="C83" s="17">
        <f t="shared" si="64"/>
        <v>417.40055523061505</v>
      </c>
      <c r="D83" s="16">
        <f t="shared" si="65"/>
        <v>5.4761402259358292</v>
      </c>
      <c r="E83" s="16">
        <f t="shared" si="66"/>
        <v>11.939880410984848</v>
      </c>
      <c r="G83" s="18">
        <f t="shared" si="67"/>
        <v>1.2615587414772729</v>
      </c>
      <c r="H83" s="19">
        <f t="shared" si="77"/>
        <v>572.5</v>
      </c>
      <c r="I83" s="18">
        <f t="shared" si="68"/>
        <v>8.5781291213235278</v>
      </c>
      <c r="J83" s="18">
        <f t="shared" si="69"/>
        <v>20.728848947916664</v>
      </c>
      <c r="L83" s="12">
        <f t="shared" si="70"/>
        <v>1.0033707743939397</v>
      </c>
      <c r="M83" s="13">
        <f t="shared" si="71"/>
        <v>458.59354393382375</v>
      </c>
      <c r="N83" s="12">
        <f t="shared" si="78"/>
        <v>6.3000000000000025</v>
      </c>
      <c r="O83" s="12">
        <f t="shared" si="72"/>
        <v>14.27414977083334</v>
      </c>
      <c r="Q83" s="8">
        <f t="shared" si="73"/>
        <v>0.97640478356060612</v>
      </c>
      <c r="R83" s="9">
        <f t="shared" si="74"/>
        <v>446.69678327205878</v>
      </c>
      <c r="S83" s="8">
        <f t="shared" si="75"/>
        <v>6.0620647867647062</v>
      </c>
      <c r="T83" s="8">
        <f t="shared" si="79"/>
        <v>13.599999999999998</v>
      </c>
    </row>
    <row r="84" spans="1:20" x14ac:dyDescent="0.15">
      <c r="A84" s="40"/>
      <c r="B84" s="41">
        <f t="shared" si="76"/>
        <v>0.93500000000000016</v>
      </c>
      <c r="C84" s="42">
        <f t="shared" si="64"/>
        <v>428.42996699532085</v>
      </c>
      <c r="D84" s="41">
        <f t="shared" si="65"/>
        <v>5.6967284612299469</v>
      </c>
      <c r="E84" s="41">
        <f t="shared" si="66"/>
        <v>12.564880410984848</v>
      </c>
      <c r="F84" s="40"/>
      <c r="G84" s="43">
        <f t="shared" si="67"/>
        <v>1.2842254081439395</v>
      </c>
      <c r="H84" s="44">
        <f t="shared" si="77"/>
        <v>582.5</v>
      </c>
      <c r="I84" s="43">
        <f t="shared" si="68"/>
        <v>8.7781291213235288</v>
      </c>
      <c r="J84" s="43">
        <f t="shared" si="69"/>
        <v>21.29551561458333</v>
      </c>
      <c r="K84" s="40"/>
      <c r="L84" s="45">
        <f t="shared" si="70"/>
        <v>1.0203707743939396</v>
      </c>
      <c r="M84" s="46">
        <f t="shared" si="71"/>
        <v>466.09354393382375</v>
      </c>
      <c r="N84" s="45">
        <f t="shared" si="78"/>
        <v>6.4500000000000028</v>
      </c>
      <c r="O84" s="45">
        <f t="shared" si="72"/>
        <v>14.699149770833341</v>
      </c>
      <c r="P84" s="40"/>
      <c r="Q84" s="47">
        <f t="shared" si="73"/>
        <v>0.99040478356060613</v>
      </c>
      <c r="R84" s="48">
        <f t="shared" si="74"/>
        <v>452.87325386029414</v>
      </c>
      <c r="S84" s="47">
        <f t="shared" si="75"/>
        <v>6.1855941985294116</v>
      </c>
      <c r="T84" s="47">
        <f t="shared" si="79"/>
        <v>13.949999999999998</v>
      </c>
    </row>
  </sheetData>
  <mergeCells count="18">
    <mergeCell ref="B68:E68"/>
    <mergeCell ref="G68:J68"/>
    <mergeCell ref="L68:O68"/>
    <mergeCell ref="Q68:T68"/>
    <mergeCell ref="B5:E5"/>
    <mergeCell ref="A1:T1"/>
    <mergeCell ref="B47:E47"/>
    <mergeCell ref="G47:J47"/>
    <mergeCell ref="L47:O47"/>
    <mergeCell ref="Q47:T47"/>
    <mergeCell ref="A43:T43"/>
    <mergeCell ref="G5:J5"/>
    <mergeCell ref="L5:O5"/>
    <mergeCell ref="Q5:T5"/>
    <mergeCell ref="B26:E26"/>
    <mergeCell ref="G26:J26"/>
    <mergeCell ref="L26:O26"/>
    <mergeCell ref="Q26:T26"/>
  </mergeCells>
  <pageMargins left="0.7" right="0.7" top="0.75" bottom="0.75" header="0.3" footer="0.3"/>
  <pageSetup scale="85" orientation="landscape" horizontalDpi="300" verticalDpi="300"/>
  <rowBreaks count="1" manualBreakCount="1">
    <brk id="42" max="16383" man="1"/>
  </rowBreaks>
  <ignoredErrors>
    <ignoredError sqref="B1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99"/>
    <pageSetUpPr fitToPage="1"/>
  </sheetPr>
  <dimension ref="A1:AH218"/>
  <sheetViews>
    <sheetView zoomScale="140" zoomScaleNormal="140" zoomScalePageLayoutView="170" workbookViewId="0">
      <pane xSplit="1" ySplit="9" topLeftCell="B10" activePane="bottomRight" state="frozen"/>
      <selection pane="topRight" activeCell="B1" sqref="B1"/>
      <selection pane="bottomLeft" activeCell="A10" sqref="A10"/>
      <selection pane="bottomRight"/>
    </sheetView>
  </sheetViews>
  <sheetFormatPr baseColWidth="10" defaultColWidth="8.83203125" defaultRowHeight="14" x14ac:dyDescent="0.2"/>
  <cols>
    <col min="1" max="1" width="28.33203125" style="87" customWidth="1"/>
    <col min="2" max="2" width="7.5" style="91" bestFit="1" customWidth="1"/>
    <col min="3" max="3" width="3" style="91" bestFit="1" customWidth="1"/>
    <col min="4" max="4" width="5.5" style="91" bestFit="1" customWidth="1"/>
    <col min="5" max="5" width="4" style="91" bestFit="1" customWidth="1"/>
    <col min="6" max="6" width="5.5" style="91" bestFit="1" customWidth="1"/>
    <col min="7" max="7" width="3.5" style="91" bestFit="1" customWidth="1"/>
    <col min="8" max="8" width="5.83203125" style="91" bestFit="1" customWidth="1"/>
    <col min="9" max="9" width="3.5" style="91" bestFit="1" customWidth="1"/>
    <col min="10" max="10" width="5.5" style="91" bestFit="1" customWidth="1"/>
    <col min="11" max="11" width="3.5" style="91" bestFit="1" customWidth="1"/>
    <col min="12" max="12" width="5.5" style="91" bestFit="1" customWidth="1"/>
    <col min="13" max="13" width="3" style="91" bestFit="1" customWidth="1"/>
    <col min="14" max="14" width="5.5" style="91" bestFit="1" customWidth="1"/>
    <col min="15" max="15" width="4" style="91" bestFit="1" customWidth="1"/>
    <col min="16" max="16" width="5.5" style="91" bestFit="1" customWidth="1"/>
    <col min="17" max="17" width="3.5" style="91" bestFit="1" customWidth="1"/>
    <col min="18" max="18" width="5.83203125" style="91" bestFit="1" customWidth="1"/>
    <col min="19" max="19" width="3.5" style="91" bestFit="1" customWidth="1"/>
    <col min="20" max="20" width="5.5" style="91" bestFit="1" customWidth="1"/>
    <col min="21" max="21" width="3.5" style="91" bestFit="1" customWidth="1"/>
    <col min="22" max="22" width="8.83203125" style="91"/>
    <col min="23" max="23" width="9.1640625" style="90" bestFit="1" customWidth="1"/>
    <col min="24" max="24" width="7.5" style="90" bestFit="1" customWidth="1"/>
    <col min="25" max="25" width="6.1640625" style="90" bestFit="1" customWidth="1"/>
    <col min="26" max="26" width="7.5" style="90" bestFit="1" customWidth="1"/>
    <col min="27" max="27" width="7.1640625" style="90" bestFit="1" customWidth="1"/>
    <col min="28" max="28" width="6.6640625" style="90" bestFit="1" customWidth="1"/>
    <col min="29" max="29" width="9.1640625" style="90" bestFit="1" customWidth="1"/>
    <col min="30" max="30" width="6.6640625" style="90" bestFit="1" customWidth="1"/>
    <col min="31" max="31" width="7.1640625" style="90" bestFit="1" customWidth="1"/>
    <col min="32" max="32" width="7.5" style="90" bestFit="1" customWidth="1"/>
    <col min="33" max="33" width="8.1640625" style="90" bestFit="1" customWidth="1"/>
    <col min="34" max="34" width="7.5" style="90" bestFit="1" customWidth="1"/>
    <col min="35" max="35" width="6" style="91" bestFit="1" customWidth="1"/>
    <col min="36" max="37" width="2" style="91" bestFit="1" customWidth="1"/>
    <col min="38" max="38" width="12" style="91" bestFit="1" customWidth="1"/>
    <col min="39" max="39" width="2" style="91" bestFit="1" customWidth="1"/>
    <col min="40" max="40" width="7" style="91" bestFit="1" customWidth="1"/>
    <col min="41" max="41" width="2" style="91" bestFit="1" customWidth="1"/>
    <col min="42" max="42" width="9" style="91" bestFit="1" customWidth="1"/>
    <col min="43" max="16384" width="8.83203125" style="91"/>
  </cols>
  <sheetData>
    <row r="1" spans="1:34" s="87" customFormat="1" ht="12" x14ac:dyDescent="0.15">
      <c r="A1" s="85" t="str">
        <f>Conventional!A1</f>
        <v>Estimate of 2024 Relative Row Crop Costs and Net Returns</v>
      </c>
      <c r="B1" s="85"/>
      <c r="C1" s="85"/>
      <c r="D1" s="85"/>
      <c r="E1" s="85"/>
      <c r="F1" s="85"/>
      <c r="G1" s="85"/>
      <c r="H1" s="85"/>
      <c r="I1" s="85"/>
      <c r="J1" s="419" t="s">
        <v>195</v>
      </c>
      <c r="K1" s="419"/>
      <c r="L1" s="419"/>
      <c r="M1" s="419"/>
      <c r="N1" s="419"/>
      <c r="O1" s="419"/>
      <c r="P1" s="419"/>
      <c r="Q1" s="419"/>
      <c r="R1" s="419"/>
      <c r="S1" s="419"/>
      <c r="T1" s="419"/>
      <c r="U1" s="419"/>
      <c r="V1" s="86"/>
      <c r="W1" s="86"/>
      <c r="X1" s="86"/>
      <c r="Y1" s="86"/>
      <c r="Z1" s="86"/>
      <c r="AA1" s="86"/>
      <c r="AB1" s="86"/>
      <c r="AC1" s="86"/>
      <c r="AD1" s="86"/>
      <c r="AE1" s="86"/>
      <c r="AF1" s="86"/>
      <c r="AG1" s="86"/>
      <c r="AH1" s="86"/>
    </row>
    <row r="2" spans="1:34" s="290" customFormat="1" ht="11" x14ac:dyDescent="0.15">
      <c r="A2" s="288" t="str">
        <f>Conventional!A2</f>
        <v>By A.R. Smith, Y. Liu, and G.A. Hancock, UGA Extension Economists, Department of Agricultural &amp; Applied Economics</v>
      </c>
      <c r="B2" s="288"/>
      <c r="C2" s="288"/>
      <c r="D2" s="288"/>
      <c r="E2" s="288"/>
      <c r="F2" s="288"/>
      <c r="G2" s="288"/>
      <c r="H2" s="288"/>
      <c r="I2" s="288"/>
      <c r="J2" s="420"/>
      <c r="K2" s="420"/>
      <c r="L2" s="420"/>
      <c r="M2" s="420"/>
      <c r="N2" s="420"/>
      <c r="O2" s="420"/>
      <c r="P2" s="420"/>
      <c r="Q2" s="420"/>
      <c r="R2" s="420"/>
      <c r="S2" s="420"/>
      <c r="T2" s="420"/>
      <c r="U2" s="420"/>
      <c r="V2" s="289"/>
      <c r="W2" s="289"/>
      <c r="X2" s="289"/>
      <c r="Y2" s="289"/>
      <c r="Z2" s="289"/>
      <c r="AA2" s="289"/>
      <c r="AB2" s="289"/>
      <c r="AC2" s="289"/>
      <c r="AD2" s="289"/>
      <c r="AE2" s="289"/>
      <c r="AF2" s="289"/>
      <c r="AG2" s="289"/>
      <c r="AH2" s="289"/>
    </row>
    <row r="3" spans="1:34" x14ac:dyDescent="0.2">
      <c r="A3" s="276" t="str">
        <f>Conventional!A3</f>
        <v>January 2024</v>
      </c>
      <c r="B3" s="88"/>
      <c r="C3" s="88"/>
      <c r="D3" s="88"/>
      <c r="E3" s="88"/>
      <c r="F3" s="88"/>
      <c r="G3" s="88"/>
      <c r="H3" s="88"/>
      <c r="I3" s="88"/>
      <c r="J3" s="88"/>
      <c r="K3" s="88"/>
      <c r="L3" s="88"/>
      <c r="M3" s="88"/>
      <c r="N3" s="88"/>
      <c r="O3" s="88"/>
      <c r="P3" s="88"/>
      <c r="Q3" s="88"/>
      <c r="R3" s="88"/>
      <c r="S3" s="88"/>
      <c r="T3" s="88"/>
      <c r="U3" s="89"/>
      <c r="V3" s="90"/>
    </row>
    <row r="4" spans="1:34" x14ac:dyDescent="0.2">
      <c r="A4" s="92" t="s">
        <v>26</v>
      </c>
      <c r="B4" s="379" t="s">
        <v>0</v>
      </c>
      <c r="C4" s="380"/>
      <c r="D4" s="380"/>
      <c r="E4" s="380"/>
      <c r="F4" s="380"/>
      <c r="G4" s="380"/>
      <c r="H4" s="380"/>
      <c r="I4" s="380"/>
      <c r="J4" s="380"/>
      <c r="K4" s="93"/>
      <c r="L4" s="371" t="s">
        <v>1</v>
      </c>
      <c r="M4" s="371"/>
      <c r="N4" s="371"/>
      <c r="O4" s="371"/>
      <c r="P4" s="371"/>
      <c r="Q4" s="371"/>
      <c r="R4" s="371"/>
      <c r="S4" s="371"/>
      <c r="T4" s="371"/>
      <c r="U4" s="94"/>
      <c r="V4" s="90"/>
    </row>
    <row r="5" spans="1:34" x14ac:dyDescent="0.2">
      <c r="A5" s="95"/>
      <c r="B5" s="96"/>
      <c r="C5" s="97"/>
      <c r="D5" s="270"/>
      <c r="E5" s="271"/>
      <c r="F5" s="238"/>
      <c r="G5" s="227"/>
      <c r="H5" s="215"/>
      <c r="I5" s="227"/>
      <c r="J5" s="367" t="s">
        <v>23</v>
      </c>
      <c r="K5" s="412"/>
      <c r="L5" s="97"/>
      <c r="M5" s="97"/>
      <c r="N5" s="274"/>
      <c r="O5" s="275"/>
      <c r="P5" s="238"/>
      <c r="Q5" s="227"/>
      <c r="R5" s="215"/>
      <c r="S5" s="227"/>
      <c r="T5" s="414" t="s">
        <v>23</v>
      </c>
      <c r="U5" s="415"/>
      <c r="V5" s="90"/>
    </row>
    <row r="6" spans="1:34" x14ac:dyDescent="0.2">
      <c r="A6" s="95"/>
      <c r="B6" s="373" t="s">
        <v>2</v>
      </c>
      <c r="C6" s="371"/>
      <c r="D6" s="409" t="s">
        <v>3</v>
      </c>
      <c r="E6" s="410"/>
      <c r="F6" s="376" t="s">
        <v>4</v>
      </c>
      <c r="G6" s="411"/>
      <c r="H6" s="371" t="s">
        <v>5</v>
      </c>
      <c r="I6" s="411"/>
      <c r="J6" s="371" t="s">
        <v>6</v>
      </c>
      <c r="K6" s="413"/>
      <c r="L6" s="373" t="s">
        <v>2</v>
      </c>
      <c r="M6" s="371"/>
      <c r="N6" s="409" t="s">
        <v>3</v>
      </c>
      <c r="O6" s="410"/>
      <c r="P6" s="376" t="s">
        <v>4</v>
      </c>
      <c r="Q6" s="411"/>
      <c r="R6" s="371" t="s">
        <v>5</v>
      </c>
      <c r="S6" s="411"/>
      <c r="T6" s="371" t="s">
        <v>6</v>
      </c>
      <c r="U6" s="372"/>
      <c r="V6" s="90"/>
    </row>
    <row r="7" spans="1:34" x14ac:dyDescent="0.2">
      <c r="A7" s="98" t="s">
        <v>154</v>
      </c>
      <c r="B7" s="268">
        <v>1200</v>
      </c>
      <c r="C7" s="266" t="s">
        <v>158</v>
      </c>
      <c r="D7" s="257">
        <f>'Peanut Price Calculator'!B10</f>
        <v>4700</v>
      </c>
      <c r="E7" s="272" t="s">
        <v>158</v>
      </c>
      <c r="F7" s="261">
        <v>200</v>
      </c>
      <c r="G7" s="262" t="s">
        <v>161</v>
      </c>
      <c r="H7" s="263">
        <v>60</v>
      </c>
      <c r="I7" s="262" t="s">
        <v>161</v>
      </c>
      <c r="J7" s="263">
        <v>100</v>
      </c>
      <c r="K7" s="265" t="s">
        <v>161</v>
      </c>
      <c r="L7" s="263">
        <v>750</v>
      </c>
      <c r="M7" s="266" t="s">
        <v>158</v>
      </c>
      <c r="N7" s="257">
        <f>'Peanut Price Calculator'!B21</f>
        <v>3400</v>
      </c>
      <c r="O7" s="272" t="s">
        <v>158</v>
      </c>
      <c r="P7" s="261">
        <v>85</v>
      </c>
      <c r="Q7" s="262" t="s">
        <v>161</v>
      </c>
      <c r="R7" s="263">
        <v>30</v>
      </c>
      <c r="S7" s="262" t="s">
        <v>161</v>
      </c>
      <c r="T7" s="263">
        <v>65</v>
      </c>
      <c r="U7" s="264" t="s">
        <v>161</v>
      </c>
      <c r="V7" s="90"/>
    </row>
    <row r="8" spans="1:34" ht="15" thickBot="1" x14ac:dyDescent="0.25">
      <c r="A8" s="99" t="s">
        <v>124</v>
      </c>
      <c r="B8" s="269">
        <f>Conventional!B8</f>
        <v>0.76</v>
      </c>
      <c r="C8" s="255" t="s">
        <v>159</v>
      </c>
      <c r="D8" s="259">
        <f>'Peanut Price Calculator'!B17</f>
        <v>512.5</v>
      </c>
      <c r="E8" s="273" t="s">
        <v>160</v>
      </c>
      <c r="F8" s="269">
        <f>Conventional!F8</f>
        <v>5.4</v>
      </c>
      <c r="G8" s="249" t="s">
        <v>162</v>
      </c>
      <c r="H8" s="269">
        <f>Conventional!H8</f>
        <v>11.5</v>
      </c>
      <c r="I8" s="249" t="s">
        <v>162</v>
      </c>
      <c r="J8" s="269">
        <f>Conventional!J8</f>
        <v>5.2</v>
      </c>
      <c r="K8" s="254" t="s">
        <v>162</v>
      </c>
      <c r="L8" s="253">
        <f>Conventional!B8</f>
        <v>0.76</v>
      </c>
      <c r="M8" s="255" t="s">
        <v>159</v>
      </c>
      <c r="N8" s="259">
        <f>'Peanut Price Calculator'!B28</f>
        <v>512.5</v>
      </c>
      <c r="O8" s="273" t="s">
        <v>160</v>
      </c>
      <c r="P8" s="252">
        <f>Conventional!F8</f>
        <v>5.4</v>
      </c>
      <c r="Q8" s="249" t="s">
        <v>162</v>
      </c>
      <c r="R8" s="253">
        <f>Conventional!H8</f>
        <v>11.5</v>
      </c>
      <c r="S8" s="249" t="s">
        <v>162</v>
      </c>
      <c r="T8" s="253">
        <f>Conventional!J8</f>
        <v>5.2</v>
      </c>
      <c r="U8" s="251" t="s">
        <v>162</v>
      </c>
      <c r="V8" s="90"/>
    </row>
    <row r="9" spans="1:34" x14ac:dyDescent="0.2">
      <c r="A9" s="100" t="s">
        <v>155</v>
      </c>
      <c r="B9" s="360">
        <f>B7*B8</f>
        <v>912</v>
      </c>
      <c r="C9" s="353"/>
      <c r="D9" s="362">
        <f>D8*(D7/2000)</f>
        <v>1204.375</v>
      </c>
      <c r="E9" s="353"/>
      <c r="F9" s="362">
        <f>F7*F8</f>
        <v>1080</v>
      </c>
      <c r="G9" s="407"/>
      <c r="H9" s="353">
        <f>H7*H8</f>
        <v>690</v>
      </c>
      <c r="I9" s="407"/>
      <c r="J9" s="353">
        <f>J7*J8</f>
        <v>520</v>
      </c>
      <c r="K9" s="408"/>
      <c r="L9" s="360">
        <f>L7*L8</f>
        <v>570</v>
      </c>
      <c r="M9" s="353"/>
      <c r="N9" s="362">
        <f>N8*(N7/2000)</f>
        <v>871.25</v>
      </c>
      <c r="O9" s="353"/>
      <c r="P9" s="362">
        <f>P7*P8</f>
        <v>459.00000000000006</v>
      </c>
      <c r="Q9" s="407"/>
      <c r="R9" s="353">
        <f>R7*R8</f>
        <v>345</v>
      </c>
      <c r="S9" s="407"/>
      <c r="T9" s="416">
        <f>T7*T8</f>
        <v>338</v>
      </c>
      <c r="U9" s="417"/>
      <c r="V9" s="90"/>
    </row>
    <row r="10" spans="1:34" x14ac:dyDescent="0.2">
      <c r="A10" s="101" t="s">
        <v>156</v>
      </c>
      <c r="B10" s="102"/>
      <c r="C10" s="103"/>
      <c r="D10" s="228"/>
      <c r="E10" s="103"/>
      <c r="F10" s="228"/>
      <c r="G10" s="229"/>
      <c r="H10" s="103"/>
      <c r="I10" s="229"/>
      <c r="J10" s="103"/>
      <c r="K10" s="104"/>
      <c r="L10" s="103"/>
      <c r="M10" s="103"/>
      <c r="N10" s="228"/>
      <c r="O10" s="103"/>
      <c r="P10" s="228"/>
      <c r="Q10" s="229"/>
      <c r="R10" s="103"/>
      <c r="S10" s="229"/>
      <c r="T10" s="103"/>
      <c r="U10" s="105"/>
      <c r="V10" s="90"/>
    </row>
    <row r="11" spans="1:34" x14ac:dyDescent="0.2">
      <c r="A11" s="95" t="s">
        <v>24</v>
      </c>
      <c r="B11" s="361">
        <v>114.6</v>
      </c>
      <c r="C11" s="351"/>
      <c r="D11" s="356">
        <v>126</v>
      </c>
      <c r="E11" s="351"/>
      <c r="F11" s="356">
        <v>124.8</v>
      </c>
      <c r="G11" s="357"/>
      <c r="H11" s="359">
        <f>Conventional!H11</f>
        <v>66.25</v>
      </c>
      <c r="I11" s="359"/>
      <c r="J11" s="351">
        <v>27</v>
      </c>
      <c r="K11" s="418"/>
      <c r="L11" s="361">
        <f>B11</f>
        <v>114.6</v>
      </c>
      <c r="M11" s="351"/>
      <c r="N11" s="356">
        <f>D11</f>
        <v>126</v>
      </c>
      <c r="O11" s="351"/>
      <c r="P11" s="356">
        <v>78</v>
      </c>
      <c r="Q11" s="357"/>
      <c r="R11" s="356">
        <f>Conventional!R11</f>
        <v>66.25</v>
      </c>
      <c r="S11" s="357"/>
      <c r="T11" s="351">
        <v>16.5</v>
      </c>
      <c r="U11" s="352"/>
      <c r="V11" s="90"/>
      <c r="AE11" s="283"/>
      <c r="AF11" s="283"/>
      <c r="AG11" s="283"/>
      <c r="AH11" s="283"/>
    </row>
    <row r="12" spans="1:34" x14ac:dyDescent="0.2">
      <c r="A12" s="95" t="s">
        <v>30</v>
      </c>
      <c r="B12" s="322"/>
      <c r="C12" s="323"/>
      <c r="D12" s="310"/>
      <c r="E12" s="311"/>
      <c r="F12" s="310"/>
      <c r="G12" s="311"/>
      <c r="H12" s="323"/>
      <c r="I12" s="311"/>
      <c r="J12" s="323"/>
      <c r="K12" s="400"/>
      <c r="L12" s="322"/>
      <c r="M12" s="311"/>
      <c r="N12" s="310"/>
      <c r="O12" s="311"/>
      <c r="P12" s="310"/>
      <c r="Q12" s="311"/>
      <c r="R12" s="323"/>
      <c r="S12" s="311"/>
      <c r="T12" s="323"/>
      <c r="U12" s="330"/>
      <c r="V12" s="90"/>
    </row>
    <row r="13" spans="1:34" x14ac:dyDescent="0.2">
      <c r="A13" s="95" t="s">
        <v>8</v>
      </c>
      <c r="B13" s="322">
        <f>B7/495*0.75</f>
        <v>1.8181818181818183</v>
      </c>
      <c r="C13" s="323"/>
      <c r="D13" s="230"/>
      <c r="E13" s="106"/>
      <c r="F13" s="230"/>
      <c r="G13" s="231"/>
      <c r="H13" s="106"/>
      <c r="I13" s="231"/>
      <c r="J13" s="106"/>
      <c r="K13" s="107"/>
      <c r="L13" s="322">
        <f>L7/495*0.75</f>
        <v>1.1363636363636362</v>
      </c>
      <c r="M13" s="323"/>
      <c r="N13" s="230"/>
      <c r="O13" s="106"/>
      <c r="P13" s="230"/>
      <c r="Q13" s="231"/>
      <c r="R13" s="106"/>
      <c r="S13" s="231"/>
      <c r="T13" s="106"/>
      <c r="U13" s="108"/>
      <c r="V13" s="90"/>
    </row>
    <row r="14" spans="1:34" x14ac:dyDescent="0.2">
      <c r="A14" s="95" t="s">
        <v>31</v>
      </c>
      <c r="B14" s="322">
        <f>18.15+6.95+B7*0.075*$D$48+0.0583*B7*$F$48+0.0583*B7*$H$48</f>
        <v>168.55399999999997</v>
      </c>
      <c r="C14" s="311"/>
      <c r="D14" s="313">
        <f>9.25+67.5+6.9</f>
        <v>83.65</v>
      </c>
      <c r="E14" s="313"/>
      <c r="F14" s="310">
        <f>27.5+1.2*F7*$D$48+0.5*F7*$F$48+F7*$H$48</f>
        <v>360.5</v>
      </c>
      <c r="G14" s="311"/>
      <c r="H14" s="323">
        <f>6.5+18.15+0.6667*H7*$F$48+1.333*H7*$H$48+6.9</f>
        <v>97.541300000000007</v>
      </c>
      <c r="I14" s="311"/>
      <c r="J14" s="323">
        <f>27.5+1.25*J7*$D$48+0.6*J7*$F$48+0.9*J7*$H$48</f>
        <v>199</v>
      </c>
      <c r="K14" s="400"/>
      <c r="L14" s="322">
        <f>18.15+6.95+0.08*L7*$D$48+0.0667*L7*$F$48+0.0667*L7*$H$48</f>
        <v>124.62875</v>
      </c>
      <c r="M14" s="323"/>
      <c r="N14" s="313">
        <f>9.25+67.5+6.9</f>
        <v>83.65</v>
      </c>
      <c r="O14" s="313"/>
      <c r="P14" s="310">
        <f>13.75+P7*1.1765*$D$48+0.4706*P7*$F$48+0.7059*P7*$H$48</f>
        <v>139.75315000000001</v>
      </c>
      <c r="Q14" s="311"/>
      <c r="R14" s="323">
        <f>6.5+18.15+1.3333*R7*$F$48+2.6667*R7*$H$48+6.9</f>
        <v>97.549850000000006</v>
      </c>
      <c r="S14" s="311"/>
      <c r="T14" s="323">
        <f>13.75+1.2308*T7*$D$48+0.6154*T7*$F$48+0.9231*T7*$H$48</f>
        <v>125.75279999999999</v>
      </c>
      <c r="U14" s="330"/>
      <c r="V14" s="90"/>
    </row>
    <row r="15" spans="1:34" x14ac:dyDescent="0.2">
      <c r="A15" s="95" t="s">
        <v>125</v>
      </c>
      <c r="B15" s="109"/>
      <c r="C15" s="106"/>
      <c r="D15" s="230"/>
      <c r="E15" s="106"/>
      <c r="F15" s="230"/>
      <c r="G15" s="231"/>
      <c r="H15" s="106"/>
      <c r="I15" s="231"/>
      <c r="J15" s="106"/>
      <c r="K15" s="107"/>
      <c r="L15" s="106"/>
      <c r="M15" s="106"/>
      <c r="N15" s="230"/>
      <c r="O15" s="106"/>
      <c r="P15" s="230"/>
      <c r="Q15" s="231"/>
      <c r="R15" s="106"/>
      <c r="S15" s="231"/>
      <c r="T15" s="106"/>
      <c r="U15" s="108"/>
      <c r="V15" s="90"/>
    </row>
    <row r="16" spans="1:34" x14ac:dyDescent="0.2">
      <c r="A16" s="95" t="s">
        <v>9</v>
      </c>
      <c r="B16" s="322">
        <f>(82.67+109.95)/2+20.56+2.88+19.62+12.83</f>
        <v>152.20000000000002</v>
      </c>
      <c r="C16" s="323"/>
      <c r="D16" s="310">
        <f>46.6+41.55+87.97+32</f>
        <v>208.12</v>
      </c>
      <c r="E16" s="323"/>
      <c r="F16" s="310">
        <f>21.35+8.45+12</f>
        <v>41.8</v>
      </c>
      <c r="G16" s="311"/>
      <c r="H16" s="323">
        <f>34.78+3.65+14.7</f>
        <v>53.129999999999995</v>
      </c>
      <c r="I16" s="311"/>
      <c r="J16" s="323">
        <f>17.85+10.38</f>
        <v>28.230000000000004</v>
      </c>
      <c r="K16" s="400"/>
      <c r="L16" s="322">
        <f>(82.67+109.95)/2+20.56+19.62+1.56+12.83</f>
        <v>150.88000000000002</v>
      </c>
      <c r="M16" s="323"/>
      <c r="N16" s="310">
        <f>62.74+41.55+37.3</f>
        <v>141.58999999999997</v>
      </c>
      <c r="O16" s="323"/>
      <c r="P16" s="310">
        <f>17.05+8.45+12</f>
        <v>37.5</v>
      </c>
      <c r="Q16" s="311"/>
      <c r="R16" s="323">
        <f>33.66+3.65</f>
        <v>37.309999999999995</v>
      </c>
      <c r="S16" s="311"/>
      <c r="T16" s="323">
        <f>17.85+10.38</f>
        <v>28.230000000000004</v>
      </c>
      <c r="U16" s="330"/>
      <c r="V16" s="90"/>
    </row>
    <row r="17" spans="1:22" x14ac:dyDescent="0.2">
      <c r="A17" s="95" t="s">
        <v>172</v>
      </c>
      <c r="B17" s="322"/>
      <c r="C17" s="323"/>
      <c r="D17" s="230"/>
      <c r="E17" s="106"/>
      <c r="F17" s="230"/>
      <c r="G17" s="231"/>
      <c r="H17" s="106"/>
      <c r="I17" s="231"/>
      <c r="J17" s="106"/>
      <c r="K17" s="107"/>
      <c r="L17" s="322"/>
      <c r="M17" s="323"/>
      <c r="N17" s="230"/>
      <c r="O17" s="106"/>
      <c r="P17" s="230"/>
      <c r="Q17" s="231"/>
      <c r="R17" s="106"/>
      <c r="S17" s="231"/>
      <c r="T17" s="106"/>
      <c r="U17" s="108"/>
      <c r="V17" s="90"/>
    </row>
    <row r="18" spans="1:22" x14ac:dyDescent="0.2">
      <c r="A18" s="95" t="s">
        <v>174</v>
      </c>
      <c r="B18" s="322">
        <f>Conventional!B17</f>
        <v>18</v>
      </c>
      <c r="C18" s="323"/>
      <c r="D18" s="310">
        <f>Conventional!D17</f>
        <v>18</v>
      </c>
      <c r="E18" s="311"/>
      <c r="F18" s="230"/>
      <c r="G18" s="231"/>
      <c r="H18" s="106"/>
      <c r="I18" s="231"/>
      <c r="J18" s="106"/>
      <c r="K18" s="107"/>
      <c r="L18" s="322">
        <f>Conventional!L17</f>
        <v>18</v>
      </c>
      <c r="M18" s="323"/>
      <c r="N18" s="310">
        <f>Conventional!N17</f>
        <v>18</v>
      </c>
      <c r="O18" s="311"/>
      <c r="P18" s="230"/>
      <c r="Q18" s="231"/>
      <c r="R18" s="106"/>
      <c r="S18" s="231"/>
      <c r="T18" s="106"/>
      <c r="U18" s="108"/>
      <c r="V18" s="90"/>
    </row>
    <row r="19" spans="1:22" x14ac:dyDescent="0.2">
      <c r="A19" s="95" t="s">
        <v>10</v>
      </c>
      <c r="B19" s="322">
        <f>Conventional!B18</f>
        <v>12.5</v>
      </c>
      <c r="C19" s="323"/>
      <c r="D19" s="310">
        <v>15</v>
      </c>
      <c r="E19" s="311"/>
      <c r="F19" s="230"/>
      <c r="G19" s="231"/>
      <c r="H19" s="106"/>
      <c r="I19" s="231"/>
      <c r="J19" s="106"/>
      <c r="K19" s="107"/>
      <c r="L19" s="322">
        <f>Conventional!L18</f>
        <v>12.5</v>
      </c>
      <c r="M19" s="323"/>
      <c r="N19" s="310">
        <f>Conventional!N18</f>
        <v>12.5</v>
      </c>
      <c r="O19" s="311"/>
      <c r="P19" s="230"/>
      <c r="Q19" s="231"/>
      <c r="R19" s="106"/>
      <c r="S19" s="231"/>
      <c r="T19" s="106"/>
      <c r="U19" s="108"/>
      <c r="V19" s="90"/>
    </row>
    <row r="20" spans="1:22" x14ac:dyDescent="0.2">
      <c r="A20" s="95" t="s">
        <v>32</v>
      </c>
      <c r="B20" s="322">
        <f>(3.2+7.45)*$B$50</f>
        <v>42.6</v>
      </c>
      <c r="C20" s="323"/>
      <c r="D20" s="310">
        <f>(4.7+7.9)*$B$50</f>
        <v>50.400000000000006</v>
      </c>
      <c r="E20" s="323"/>
      <c r="F20" s="310">
        <f>6.1*$B$50</f>
        <v>24.4</v>
      </c>
      <c r="G20" s="311"/>
      <c r="H20" s="323">
        <f>5.2*$B$50</f>
        <v>20.8</v>
      </c>
      <c r="I20" s="311"/>
      <c r="J20" s="323">
        <f>6*$B$50</f>
        <v>24</v>
      </c>
      <c r="K20" s="400"/>
      <c r="L20" s="322">
        <f>(3.2+7.45)*$B$50</f>
        <v>42.6</v>
      </c>
      <c r="M20" s="323"/>
      <c r="N20" s="310">
        <f>(4.7+7.9)*$B$50</f>
        <v>50.400000000000006</v>
      </c>
      <c r="O20" s="323"/>
      <c r="P20" s="310">
        <f>6.1*$B$50</f>
        <v>24.4</v>
      </c>
      <c r="Q20" s="311"/>
      <c r="R20" s="323">
        <f>H20</f>
        <v>20.8</v>
      </c>
      <c r="S20" s="311"/>
      <c r="T20" s="323">
        <f>J20</f>
        <v>24</v>
      </c>
      <c r="U20" s="330"/>
      <c r="V20" s="90"/>
    </row>
    <row r="21" spans="1:22" x14ac:dyDescent="0.2">
      <c r="A21" s="95" t="s">
        <v>11</v>
      </c>
      <c r="B21" s="322">
        <f>10.34+(33.96+27.75)/2</f>
        <v>41.195</v>
      </c>
      <c r="C21" s="323"/>
      <c r="D21" s="310">
        <f>14.89+34.06</f>
        <v>48.95</v>
      </c>
      <c r="E21" s="311"/>
      <c r="F21" s="310">
        <f>10.2+11.15</f>
        <v>21.35</v>
      </c>
      <c r="G21" s="311"/>
      <c r="H21" s="310">
        <f>8.86+7.71</f>
        <v>16.57</v>
      </c>
      <c r="I21" s="311"/>
      <c r="J21" s="310">
        <f>11.61+7.22</f>
        <v>18.829999999999998</v>
      </c>
      <c r="K21" s="330"/>
      <c r="L21" s="322">
        <f>10.34+(33.96+27.75)/2</f>
        <v>41.195</v>
      </c>
      <c r="M21" s="323"/>
      <c r="N21" s="310">
        <f>D21</f>
        <v>48.95</v>
      </c>
      <c r="O21" s="311"/>
      <c r="P21" s="310">
        <f>F21</f>
        <v>21.35</v>
      </c>
      <c r="Q21" s="311"/>
      <c r="R21" s="310">
        <f>H21</f>
        <v>16.57</v>
      </c>
      <c r="S21" s="311"/>
      <c r="T21" s="310">
        <f>J21</f>
        <v>18.829999999999998</v>
      </c>
      <c r="U21" s="330"/>
      <c r="V21" s="90"/>
    </row>
    <row r="22" spans="1:22" x14ac:dyDescent="0.2">
      <c r="A22" s="95" t="s">
        <v>33</v>
      </c>
      <c r="B22" s="322">
        <f>((9*7)*0.67+(4*$B$50*7)*0.33)</f>
        <v>79.17</v>
      </c>
      <c r="C22" s="311"/>
      <c r="D22" s="310">
        <f>((9*5)*0.67+(4*$B$50*5)*0.33)</f>
        <v>56.550000000000004</v>
      </c>
      <c r="E22" s="311"/>
      <c r="F22" s="310">
        <f>((9*7)*0.67+(4*$B$50*7)*0.33)</f>
        <v>79.17</v>
      </c>
      <c r="G22" s="311"/>
      <c r="H22" s="310">
        <f>((9*4)*0.67+(4*$B$50*4)*0.33)</f>
        <v>45.24</v>
      </c>
      <c r="I22" s="311"/>
      <c r="J22" s="323">
        <f>((9*3)*0.67+(4*$B$50*3)*0.33)</f>
        <v>33.93</v>
      </c>
      <c r="K22" s="400"/>
      <c r="L22" s="106"/>
      <c r="M22" s="106"/>
      <c r="N22" s="230"/>
      <c r="O22" s="106"/>
      <c r="P22" s="230"/>
      <c r="Q22" s="231"/>
      <c r="R22" s="106"/>
      <c r="S22" s="231"/>
      <c r="T22" s="106"/>
      <c r="U22" s="108"/>
      <c r="V22" s="90"/>
    </row>
    <row r="23" spans="1:22" x14ac:dyDescent="0.2">
      <c r="A23" s="95" t="s">
        <v>13</v>
      </c>
      <c r="B23" s="322">
        <f>(21.32+15.18)/2</f>
        <v>18.25</v>
      </c>
      <c r="C23" s="323"/>
      <c r="D23" s="310">
        <v>29.61</v>
      </c>
      <c r="E23" s="323"/>
      <c r="F23" s="310">
        <v>11.66</v>
      </c>
      <c r="G23" s="311"/>
      <c r="H23" s="323">
        <v>10.72</v>
      </c>
      <c r="I23" s="311"/>
      <c r="J23" s="323">
        <v>12.96</v>
      </c>
      <c r="K23" s="330"/>
      <c r="L23" s="322">
        <f>B23</f>
        <v>18.25</v>
      </c>
      <c r="M23" s="323"/>
      <c r="N23" s="310">
        <f>D23</f>
        <v>29.61</v>
      </c>
      <c r="O23" s="323"/>
      <c r="P23" s="310">
        <v>12.95</v>
      </c>
      <c r="Q23" s="311"/>
      <c r="R23" s="323">
        <v>10.72</v>
      </c>
      <c r="S23" s="311"/>
      <c r="T23" s="323">
        <f>J23</f>
        <v>12.96</v>
      </c>
      <c r="U23" s="330"/>
      <c r="V23" s="90"/>
    </row>
    <row r="24" spans="1:22" x14ac:dyDescent="0.2">
      <c r="A24" s="95" t="s">
        <v>14</v>
      </c>
      <c r="B24" s="323">
        <f>Conventional!B23</f>
        <v>20</v>
      </c>
      <c r="C24" s="311"/>
      <c r="D24" s="323">
        <f>Conventional!D23</f>
        <v>31</v>
      </c>
      <c r="E24" s="311"/>
      <c r="F24" s="323">
        <f>Conventional!F23</f>
        <v>20</v>
      </c>
      <c r="G24" s="311"/>
      <c r="H24" s="323">
        <f>Conventional!H23</f>
        <v>13</v>
      </c>
      <c r="I24" s="311"/>
      <c r="J24" s="323">
        <f>Conventional!J23</f>
        <v>37</v>
      </c>
      <c r="K24" s="400"/>
      <c r="L24" s="106">
        <f>Conventional!L23</f>
        <v>38</v>
      </c>
      <c r="M24" s="231"/>
      <c r="N24" s="323">
        <f>Conventional!N23</f>
        <v>43</v>
      </c>
      <c r="O24" s="311"/>
      <c r="P24" s="323">
        <f>Conventional!P23</f>
        <v>35</v>
      </c>
      <c r="Q24" s="311"/>
      <c r="R24" s="323">
        <f>Conventional!R23</f>
        <v>22</v>
      </c>
      <c r="S24" s="311"/>
      <c r="T24" s="323">
        <f>Conventional!T23</f>
        <v>30</v>
      </c>
      <c r="U24" s="330"/>
      <c r="V24" s="90"/>
    </row>
    <row r="25" spans="1:22" x14ac:dyDescent="0.2">
      <c r="A25" s="95" t="s">
        <v>126</v>
      </c>
      <c r="B25" s="322"/>
      <c r="C25" s="311"/>
      <c r="D25" s="310"/>
      <c r="E25" s="311"/>
      <c r="F25" s="310"/>
      <c r="G25" s="311"/>
      <c r="H25" s="310"/>
      <c r="I25" s="311"/>
      <c r="J25" s="310"/>
      <c r="K25" s="400"/>
      <c r="L25" s="322"/>
      <c r="M25" s="311"/>
      <c r="N25" s="310"/>
      <c r="O25" s="311"/>
      <c r="P25" s="310"/>
      <c r="Q25" s="311"/>
      <c r="R25" s="310"/>
      <c r="S25" s="311"/>
      <c r="T25" s="310"/>
      <c r="U25" s="330"/>
      <c r="V25" s="90"/>
    </row>
    <row r="26" spans="1:22" x14ac:dyDescent="0.2">
      <c r="A26" s="95" t="s">
        <v>16</v>
      </c>
      <c r="B26" s="109"/>
      <c r="C26" s="106"/>
      <c r="D26" s="230"/>
      <c r="E26" s="106"/>
      <c r="F26" s="230"/>
      <c r="G26" s="231"/>
      <c r="H26" s="106"/>
      <c r="I26" s="231"/>
      <c r="J26" s="106"/>
      <c r="K26" s="107"/>
      <c r="L26" s="106"/>
      <c r="M26" s="106"/>
      <c r="N26" s="230"/>
      <c r="O26" s="106"/>
      <c r="P26" s="230"/>
      <c r="Q26" s="231"/>
      <c r="R26" s="106"/>
      <c r="S26" s="231"/>
      <c r="T26" s="106"/>
      <c r="U26" s="108"/>
      <c r="V26" s="90"/>
    </row>
    <row r="27" spans="1:22" x14ac:dyDescent="0.2">
      <c r="A27" s="95" t="s">
        <v>17</v>
      </c>
      <c r="B27" s="363">
        <f>(SUM(B11:B26))*0.5*0.0875</f>
        <v>29.263814204545454</v>
      </c>
      <c r="C27" s="341"/>
      <c r="D27" s="389">
        <f>(SUM(D11:D26))*0.5*0.0875</f>
        <v>29.193499999999997</v>
      </c>
      <c r="E27" s="341"/>
      <c r="F27" s="389">
        <f>(SUM(F11:F26))*0.5*0.0875</f>
        <v>29.910999999999994</v>
      </c>
      <c r="G27" s="390"/>
      <c r="H27" s="341">
        <f>(SUM(H11:H26))*0.5*0.0875</f>
        <v>14.142244374999999</v>
      </c>
      <c r="I27" s="390"/>
      <c r="J27" s="341">
        <f>(SUM(J11:J26))*0.5*0.0875</f>
        <v>16.666562499999998</v>
      </c>
      <c r="K27" s="401"/>
      <c r="L27" s="363">
        <f>(SUM(L11:L26))*0.5*0.0875</f>
        <v>24.578317471590911</v>
      </c>
      <c r="M27" s="341"/>
      <c r="N27" s="389">
        <f>(SUM(N11:N26))*0.5*0.0875</f>
        <v>24.224375000000002</v>
      </c>
      <c r="O27" s="341"/>
      <c r="P27" s="389">
        <f>(SUM(P11:P26))*0.5*0.0875</f>
        <v>15.266700312499999</v>
      </c>
      <c r="Q27" s="390"/>
      <c r="R27" s="341">
        <f>(SUM(R11:R26))*0.5*0.0875</f>
        <v>11.864993437499997</v>
      </c>
      <c r="S27" s="390"/>
      <c r="T27" s="341">
        <f>(SUM(T11:T26))*0.5*0.0875</f>
        <v>11.211934999999997</v>
      </c>
      <c r="U27" s="342"/>
      <c r="V27" s="90"/>
    </row>
    <row r="28" spans="1:22" x14ac:dyDescent="0.2">
      <c r="A28" s="95" t="s">
        <v>171</v>
      </c>
      <c r="B28" s="363">
        <f>0.028*B7</f>
        <v>33.6</v>
      </c>
      <c r="C28" s="341"/>
      <c r="D28" s="232"/>
      <c r="E28" s="110"/>
      <c r="F28" s="232"/>
      <c r="G28" s="233"/>
      <c r="H28" s="110"/>
      <c r="I28" s="233"/>
      <c r="J28" s="110"/>
      <c r="K28" s="111"/>
      <c r="L28" s="363">
        <f>0.028*L7</f>
        <v>21</v>
      </c>
      <c r="M28" s="341"/>
      <c r="N28" s="232"/>
      <c r="O28" s="110"/>
      <c r="P28" s="232"/>
      <c r="Q28" s="233"/>
      <c r="R28" s="110"/>
      <c r="S28" s="233"/>
      <c r="T28" s="110"/>
      <c r="U28" s="112"/>
      <c r="V28" s="90"/>
    </row>
    <row r="29" spans="1:22" x14ac:dyDescent="0.2">
      <c r="A29" s="95" t="s">
        <v>15</v>
      </c>
      <c r="B29" s="113"/>
      <c r="C29" s="110"/>
      <c r="D29" s="389">
        <f>D7/2000*0.33*20+D7/2000*0.67*30</f>
        <v>62.745000000000005</v>
      </c>
      <c r="E29" s="341"/>
      <c r="F29" s="389">
        <f>F7*1.0975*0.28</f>
        <v>61.46</v>
      </c>
      <c r="G29" s="390"/>
      <c r="H29" s="110"/>
      <c r="I29" s="233"/>
      <c r="J29" s="341">
        <f>J7*1.0975*0.28</f>
        <v>30.73</v>
      </c>
      <c r="K29" s="401"/>
      <c r="L29" s="110"/>
      <c r="M29" s="110"/>
      <c r="N29" s="389">
        <f>N7/2000*0.33*20+N7/2000*0.67*30</f>
        <v>45.39</v>
      </c>
      <c r="O29" s="341"/>
      <c r="P29" s="389">
        <f>P7*1.0975*0.28</f>
        <v>26.1205</v>
      </c>
      <c r="Q29" s="390"/>
      <c r="R29" s="110"/>
      <c r="S29" s="233"/>
      <c r="T29" s="341">
        <f>T7*1.0975*0.28</f>
        <v>19.974499999999999</v>
      </c>
      <c r="U29" s="342"/>
      <c r="V29" s="90"/>
    </row>
    <row r="30" spans="1:22" x14ac:dyDescent="0.2">
      <c r="A30" s="95" t="s">
        <v>18</v>
      </c>
      <c r="B30" s="113"/>
      <c r="C30" s="110"/>
      <c r="D30" s="397">
        <f>D7/2000*3+D7/2000*355*0.01</f>
        <v>15.3925</v>
      </c>
      <c r="E30" s="325"/>
      <c r="F30" s="232"/>
      <c r="G30" s="233"/>
      <c r="H30" s="110"/>
      <c r="I30" s="233"/>
      <c r="J30" s="110"/>
      <c r="K30" s="111"/>
      <c r="L30" s="110"/>
      <c r="M30" s="110"/>
      <c r="N30" s="397">
        <f>N7/2000*3+N7/2000*355*0.01</f>
        <v>11.135</v>
      </c>
      <c r="O30" s="325"/>
      <c r="P30" s="232"/>
      <c r="Q30" s="233"/>
      <c r="R30" s="110"/>
      <c r="S30" s="233"/>
      <c r="T30" s="110"/>
      <c r="U30" s="114"/>
      <c r="V30" s="90"/>
    </row>
    <row r="31" spans="1:22" ht="15" thickBot="1" x14ac:dyDescent="0.25">
      <c r="A31" s="115" t="s">
        <v>157</v>
      </c>
      <c r="B31" s="337">
        <f t="shared" ref="B31:T31" si="0">SUM(B11:B30)</f>
        <v>731.75099602272735</v>
      </c>
      <c r="C31" s="336"/>
      <c r="D31" s="393">
        <f t="shared" si="0"/>
        <v>774.61099999999999</v>
      </c>
      <c r="E31" s="336"/>
      <c r="F31" s="393">
        <f t="shared" si="0"/>
        <v>775.05099999999993</v>
      </c>
      <c r="G31" s="394"/>
      <c r="H31" s="336">
        <f t="shared" si="0"/>
        <v>337.39354437500003</v>
      </c>
      <c r="I31" s="394"/>
      <c r="J31" s="336">
        <f t="shared" si="0"/>
        <v>428.3465625</v>
      </c>
      <c r="K31" s="388"/>
      <c r="L31" s="337">
        <f t="shared" si="0"/>
        <v>607.36843110795462</v>
      </c>
      <c r="M31" s="336"/>
      <c r="N31" s="393">
        <f t="shared" si="0"/>
        <v>634.44937500000003</v>
      </c>
      <c r="O31" s="336"/>
      <c r="P31" s="393">
        <f t="shared" si="0"/>
        <v>390.34035031249999</v>
      </c>
      <c r="Q31" s="394"/>
      <c r="R31" s="336">
        <f t="shared" si="0"/>
        <v>283.06484343749997</v>
      </c>
      <c r="S31" s="394"/>
      <c r="T31" s="336">
        <f t="shared" si="0"/>
        <v>287.45923499999992</v>
      </c>
      <c r="U31" s="339"/>
      <c r="V31" s="90"/>
    </row>
    <row r="32" spans="1:22" x14ac:dyDescent="0.2">
      <c r="A32" s="116" t="s">
        <v>163</v>
      </c>
      <c r="B32" s="364">
        <f t="shared" ref="B32:T32" si="1">B9-B31</f>
        <v>180.24900397727265</v>
      </c>
      <c r="C32" s="345"/>
      <c r="D32" s="391">
        <f t="shared" si="1"/>
        <v>429.76400000000001</v>
      </c>
      <c r="E32" s="345"/>
      <c r="F32" s="391">
        <f t="shared" si="1"/>
        <v>304.94900000000007</v>
      </c>
      <c r="G32" s="392"/>
      <c r="H32" s="345">
        <f t="shared" si="1"/>
        <v>352.60645562499997</v>
      </c>
      <c r="I32" s="392"/>
      <c r="J32" s="345">
        <f t="shared" si="1"/>
        <v>91.653437499999995</v>
      </c>
      <c r="K32" s="406"/>
      <c r="L32" s="364">
        <f t="shared" si="1"/>
        <v>-37.368431107954621</v>
      </c>
      <c r="M32" s="345"/>
      <c r="N32" s="391">
        <f t="shared" si="1"/>
        <v>236.80062499999997</v>
      </c>
      <c r="O32" s="345"/>
      <c r="P32" s="391">
        <f t="shared" si="1"/>
        <v>68.659649687500064</v>
      </c>
      <c r="Q32" s="392"/>
      <c r="R32" s="345">
        <f t="shared" si="1"/>
        <v>61.935156562500026</v>
      </c>
      <c r="S32" s="392"/>
      <c r="T32" s="345">
        <f t="shared" si="1"/>
        <v>50.540765000000079</v>
      </c>
      <c r="U32" s="346"/>
      <c r="V32" s="90"/>
    </row>
    <row r="33" spans="1:34" x14ac:dyDescent="0.2">
      <c r="A33" s="117" t="str">
        <f>Conventional!A32</f>
        <v>BREAKEVEN PRICE  (Variable Cost)</v>
      </c>
      <c r="B33" s="118">
        <f>B31/B7</f>
        <v>0.60979249668560609</v>
      </c>
      <c r="C33" s="119" t="s">
        <v>159</v>
      </c>
      <c r="D33" s="218">
        <f>D31/D7*2000</f>
        <v>329.62170212765955</v>
      </c>
      <c r="E33" s="119" t="s">
        <v>160</v>
      </c>
      <c r="F33" s="219">
        <f>F31/F7</f>
        <v>3.8752549999999997</v>
      </c>
      <c r="G33" s="217" t="s">
        <v>162</v>
      </c>
      <c r="H33" s="120">
        <f>H31/H7</f>
        <v>5.6232257395833338</v>
      </c>
      <c r="I33" s="217" t="s">
        <v>162</v>
      </c>
      <c r="J33" s="120">
        <f>J31/J7</f>
        <v>4.2834656249999998</v>
      </c>
      <c r="K33" s="121" t="s">
        <v>162</v>
      </c>
      <c r="L33" s="120">
        <f>L31/L7</f>
        <v>0.80982457481060621</v>
      </c>
      <c r="M33" s="119" t="s">
        <v>159</v>
      </c>
      <c r="N33" s="239">
        <f>N31/N7*2000</f>
        <v>373.20551470588236</v>
      </c>
      <c r="O33" s="119" t="s">
        <v>160</v>
      </c>
      <c r="P33" s="219">
        <f>P31/P7</f>
        <v>4.5922394154411768</v>
      </c>
      <c r="Q33" s="217" t="s">
        <v>162</v>
      </c>
      <c r="R33" s="120">
        <f>R31/R7</f>
        <v>9.4354947812499983</v>
      </c>
      <c r="S33" s="217" t="s">
        <v>162</v>
      </c>
      <c r="T33" s="120">
        <f>T31/T7</f>
        <v>4.4224497692307683</v>
      </c>
      <c r="U33" s="122" t="s">
        <v>162</v>
      </c>
      <c r="V33" s="90"/>
    </row>
    <row r="34" spans="1:34" x14ac:dyDescent="0.2">
      <c r="A34" s="293" t="str">
        <f>Conventional!A33</f>
        <v>BREAKEVEN YIELD per ACRE (Variable Cost)</v>
      </c>
      <c r="B34" s="299">
        <f>B31/B8</f>
        <v>962.83025792464127</v>
      </c>
      <c r="C34" s="300" t="s">
        <v>158</v>
      </c>
      <c r="D34" s="301">
        <f>D31/D8*2000</f>
        <v>3022.8721951219509</v>
      </c>
      <c r="E34" s="300" t="s">
        <v>158</v>
      </c>
      <c r="F34" s="301">
        <f>F31/F8</f>
        <v>143.52796296296293</v>
      </c>
      <c r="G34" s="302" t="s">
        <v>161</v>
      </c>
      <c r="H34" s="301">
        <f>H31/H8</f>
        <v>29.338569076086959</v>
      </c>
      <c r="I34" s="302" t="s">
        <v>161</v>
      </c>
      <c r="J34" s="301">
        <f>J31/J8</f>
        <v>82.374338942307688</v>
      </c>
      <c r="K34" s="303" t="s">
        <v>161</v>
      </c>
      <c r="L34" s="299">
        <f>L31/L8</f>
        <v>799.16898829994022</v>
      </c>
      <c r="M34" s="300" t="s">
        <v>158</v>
      </c>
      <c r="N34" s="301">
        <f>N31/N8*2000</f>
        <v>2475.9</v>
      </c>
      <c r="O34" s="300" t="s">
        <v>158</v>
      </c>
      <c r="P34" s="301">
        <f>P31/P8</f>
        <v>72.285250057870371</v>
      </c>
      <c r="Q34" s="302" t="s">
        <v>161</v>
      </c>
      <c r="R34" s="301">
        <f>R31/R8</f>
        <v>24.614334211956521</v>
      </c>
      <c r="S34" s="302" t="s">
        <v>161</v>
      </c>
      <c r="T34" s="301">
        <f>T31/T8</f>
        <v>55.280622115384595</v>
      </c>
      <c r="U34" s="304" t="s">
        <v>161</v>
      </c>
      <c r="V34" s="90"/>
    </row>
    <row r="35" spans="1:34" x14ac:dyDescent="0.2">
      <c r="A35" s="98" t="s">
        <v>164</v>
      </c>
      <c r="B35" s="113"/>
      <c r="C35" s="110"/>
      <c r="D35" s="232"/>
      <c r="E35" s="110"/>
      <c r="F35" s="232"/>
      <c r="G35" s="233"/>
      <c r="H35" s="110"/>
      <c r="I35" s="233"/>
      <c r="J35" s="110"/>
      <c r="K35" s="111"/>
      <c r="L35" s="110"/>
      <c r="M35" s="110"/>
      <c r="N35" s="232"/>
      <c r="O35" s="110"/>
      <c r="P35" s="232"/>
      <c r="Q35" s="233"/>
      <c r="R35" s="110"/>
      <c r="S35" s="233"/>
      <c r="T35" s="110"/>
      <c r="U35" s="112"/>
      <c r="V35" s="90"/>
    </row>
    <row r="36" spans="1:34" x14ac:dyDescent="0.2">
      <c r="A36" s="95" t="s">
        <v>19</v>
      </c>
      <c r="B36" s="322">
        <f>35.66+(155.13+102.53)/2</f>
        <v>164.48999999999998</v>
      </c>
      <c r="C36" s="323"/>
      <c r="D36" s="310">
        <f>37.79+103.09</f>
        <v>140.88</v>
      </c>
      <c r="E36" s="323"/>
      <c r="F36" s="310">
        <f>29.39+49.31</f>
        <v>78.7</v>
      </c>
      <c r="G36" s="311"/>
      <c r="H36" s="323">
        <f>24.91+37.25</f>
        <v>62.16</v>
      </c>
      <c r="I36" s="311"/>
      <c r="J36" s="323">
        <f>30.45+37.13</f>
        <v>67.58</v>
      </c>
      <c r="K36" s="330"/>
      <c r="L36" s="322">
        <f>B36</f>
        <v>164.48999999999998</v>
      </c>
      <c r="M36" s="323"/>
      <c r="N36" s="310">
        <f>D36</f>
        <v>140.88</v>
      </c>
      <c r="O36" s="323"/>
      <c r="P36" s="310">
        <f>F36</f>
        <v>78.7</v>
      </c>
      <c r="Q36" s="311"/>
      <c r="R36" s="323">
        <f>H36</f>
        <v>62.16</v>
      </c>
      <c r="S36" s="311"/>
      <c r="T36" s="323">
        <f>J36</f>
        <v>67.58</v>
      </c>
      <c r="U36" s="330"/>
      <c r="V36" s="90"/>
    </row>
    <row r="37" spans="1:34" x14ac:dyDescent="0.2">
      <c r="A37" s="95" t="s">
        <v>12</v>
      </c>
      <c r="B37" s="322">
        <f>Conventional!B36</f>
        <v>140</v>
      </c>
      <c r="C37" s="323"/>
      <c r="D37" s="310">
        <f>Conventional!D36</f>
        <v>140</v>
      </c>
      <c r="E37" s="323"/>
      <c r="F37" s="310">
        <f>Conventional!F36</f>
        <v>140</v>
      </c>
      <c r="G37" s="311"/>
      <c r="H37" s="323">
        <f>Conventional!H36</f>
        <v>140</v>
      </c>
      <c r="I37" s="311"/>
      <c r="J37" s="323">
        <f>Conventional!J36</f>
        <v>140</v>
      </c>
      <c r="K37" s="400"/>
      <c r="L37" s="106"/>
      <c r="M37" s="106"/>
      <c r="N37" s="230"/>
      <c r="O37" s="106"/>
      <c r="P37" s="230"/>
      <c r="Q37" s="231"/>
      <c r="R37" s="106"/>
      <c r="S37" s="231"/>
      <c r="T37" s="106"/>
      <c r="U37" s="108"/>
      <c r="V37" s="90"/>
    </row>
    <row r="38" spans="1:34" x14ac:dyDescent="0.2">
      <c r="A38" s="95" t="s">
        <v>20</v>
      </c>
      <c r="B38" s="109"/>
      <c r="C38" s="106"/>
      <c r="D38" s="230"/>
      <c r="E38" s="106"/>
      <c r="F38" s="230"/>
      <c r="G38" s="231"/>
      <c r="H38" s="106"/>
      <c r="I38" s="231"/>
      <c r="J38" s="106"/>
      <c r="K38" s="107"/>
      <c r="L38" s="106"/>
      <c r="M38" s="106"/>
      <c r="N38" s="230"/>
      <c r="O38" s="106"/>
      <c r="P38" s="230"/>
      <c r="Q38" s="231"/>
      <c r="R38" s="106"/>
      <c r="S38" s="231"/>
      <c r="T38" s="106"/>
      <c r="U38" s="108"/>
      <c r="V38" s="90"/>
    </row>
    <row r="39" spans="1:34" x14ac:dyDescent="0.2">
      <c r="A39" s="95" t="s">
        <v>21</v>
      </c>
      <c r="B39" s="324">
        <f>0.05*B31</f>
        <v>36.587549801136369</v>
      </c>
      <c r="C39" s="325"/>
      <c r="D39" s="397">
        <f>0.05*D31</f>
        <v>38.730550000000001</v>
      </c>
      <c r="E39" s="325"/>
      <c r="F39" s="397">
        <f>0.05*F31</f>
        <v>38.752549999999999</v>
      </c>
      <c r="G39" s="402"/>
      <c r="H39" s="325">
        <f>0.05*H31</f>
        <v>16.869677218750002</v>
      </c>
      <c r="I39" s="402"/>
      <c r="J39" s="325">
        <f>0.05*J31</f>
        <v>21.417328125000001</v>
      </c>
      <c r="K39" s="404"/>
      <c r="L39" s="324">
        <f>0.05*L31</f>
        <v>30.368421555397731</v>
      </c>
      <c r="M39" s="325"/>
      <c r="N39" s="397">
        <f>0.05*N31</f>
        <v>31.722468750000004</v>
      </c>
      <c r="O39" s="325"/>
      <c r="P39" s="397">
        <f>0.05*P31</f>
        <v>19.517017515625</v>
      </c>
      <c r="Q39" s="402"/>
      <c r="R39" s="325">
        <f>0.05*R31</f>
        <v>14.153242171875</v>
      </c>
      <c r="S39" s="402"/>
      <c r="T39" s="325">
        <f>0.05*T31</f>
        <v>14.372961749999996</v>
      </c>
      <c r="U39" s="334"/>
      <c r="V39" s="90"/>
    </row>
    <row r="40" spans="1:34" x14ac:dyDescent="0.2">
      <c r="A40" s="123" t="s">
        <v>165</v>
      </c>
      <c r="B40" s="326">
        <f>SUM(B36:B39)</f>
        <v>341.0775498011364</v>
      </c>
      <c r="C40" s="327"/>
      <c r="D40" s="395">
        <f>SUM(D36:D39)</f>
        <v>319.61054999999999</v>
      </c>
      <c r="E40" s="327"/>
      <c r="F40" s="395">
        <f>SUM(F36:F39)</f>
        <v>257.45254999999997</v>
      </c>
      <c r="G40" s="403"/>
      <c r="H40" s="327">
        <f>SUM(H36:H39)</f>
        <v>219.02967721875001</v>
      </c>
      <c r="I40" s="403"/>
      <c r="J40" s="327">
        <f>SUM(J36:J39)</f>
        <v>228.997328125</v>
      </c>
      <c r="K40" s="405"/>
      <c r="L40" s="326">
        <f>SUM(L36:L39)</f>
        <v>194.85842155539771</v>
      </c>
      <c r="M40" s="327"/>
      <c r="N40" s="395">
        <f>SUM(N36:N39)</f>
        <v>172.60246875000001</v>
      </c>
      <c r="O40" s="327"/>
      <c r="P40" s="395">
        <f>SUM(P36:P39)</f>
        <v>98.217017515625002</v>
      </c>
      <c r="Q40" s="403"/>
      <c r="R40" s="327">
        <f>SUM(R36:R39)</f>
        <v>76.313242171875004</v>
      </c>
      <c r="S40" s="403"/>
      <c r="T40" s="327">
        <f>SUM(T36:T39)</f>
        <v>81.95296175</v>
      </c>
      <c r="U40" s="333"/>
      <c r="V40" s="90"/>
    </row>
    <row r="41" spans="1:34" x14ac:dyDescent="0.2">
      <c r="A41" s="124"/>
      <c r="B41" s="125"/>
      <c r="C41" s="126"/>
      <c r="D41" s="234"/>
      <c r="E41" s="126"/>
      <c r="F41" s="234"/>
      <c r="G41" s="235"/>
      <c r="H41" s="126"/>
      <c r="I41" s="235"/>
      <c r="J41" s="126"/>
      <c r="K41" s="127"/>
      <c r="L41" s="126"/>
      <c r="M41" s="126"/>
      <c r="N41" s="234"/>
      <c r="O41" s="126"/>
      <c r="P41" s="234"/>
      <c r="Q41" s="235"/>
      <c r="R41" s="126"/>
      <c r="S41" s="235"/>
      <c r="T41" s="126"/>
      <c r="U41" s="128"/>
      <c r="V41" s="90"/>
    </row>
    <row r="42" spans="1:34" ht="15" thickBot="1" x14ac:dyDescent="0.25">
      <c r="A42" s="129" t="s">
        <v>166</v>
      </c>
      <c r="B42" s="337">
        <f>B40+B31</f>
        <v>1072.8285458238638</v>
      </c>
      <c r="C42" s="336"/>
      <c r="D42" s="393">
        <f>D40+D31</f>
        <v>1094.22155</v>
      </c>
      <c r="E42" s="336"/>
      <c r="F42" s="393">
        <f>F40+F31</f>
        <v>1032.5035499999999</v>
      </c>
      <c r="G42" s="394"/>
      <c r="H42" s="336">
        <f>H40+H31</f>
        <v>556.42322159374999</v>
      </c>
      <c r="I42" s="394"/>
      <c r="J42" s="336">
        <f>J40+J31</f>
        <v>657.34389062499997</v>
      </c>
      <c r="K42" s="388"/>
      <c r="L42" s="337">
        <f>L40+L31</f>
        <v>802.22685266335236</v>
      </c>
      <c r="M42" s="336"/>
      <c r="N42" s="393">
        <f>N40+N31</f>
        <v>807.05184374999999</v>
      </c>
      <c r="O42" s="336"/>
      <c r="P42" s="393">
        <f>P40+P31</f>
        <v>488.557367828125</v>
      </c>
      <c r="Q42" s="394"/>
      <c r="R42" s="336">
        <f>R40+R31</f>
        <v>359.37808560937498</v>
      </c>
      <c r="S42" s="394"/>
      <c r="T42" s="336">
        <f>T40+T31</f>
        <v>369.41219674999991</v>
      </c>
      <c r="U42" s="339"/>
      <c r="V42" s="90"/>
    </row>
    <row r="43" spans="1:34" ht="15" thickBot="1" x14ac:dyDescent="0.25">
      <c r="A43" s="130" t="s">
        <v>167</v>
      </c>
      <c r="B43" s="328">
        <f>B9-B42</f>
        <v>-160.82854582386381</v>
      </c>
      <c r="C43" s="329"/>
      <c r="D43" s="398">
        <f>D9-D42</f>
        <v>110.15345000000002</v>
      </c>
      <c r="E43" s="329"/>
      <c r="F43" s="398">
        <f>F9-F42</f>
        <v>47.496450000000095</v>
      </c>
      <c r="G43" s="399"/>
      <c r="H43" s="329">
        <f>H9-H42</f>
        <v>133.57677840625001</v>
      </c>
      <c r="I43" s="399"/>
      <c r="J43" s="329">
        <f>J9-J42</f>
        <v>-137.34389062499997</v>
      </c>
      <c r="K43" s="387"/>
      <c r="L43" s="328">
        <f>L9-L42</f>
        <v>-232.22685266335236</v>
      </c>
      <c r="M43" s="329"/>
      <c r="N43" s="398">
        <f>N9-N42</f>
        <v>64.198156250000011</v>
      </c>
      <c r="O43" s="329"/>
      <c r="P43" s="398">
        <f>P9-P42</f>
        <v>-29.557367828124939</v>
      </c>
      <c r="Q43" s="399"/>
      <c r="R43" s="329">
        <f>R9-R42</f>
        <v>-14.378085609374978</v>
      </c>
      <c r="S43" s="399"/>
      <c r="T43" s="329">
        <f>T9-T42</f>
        <v>-31.412196749999907</v>
      </c>
      <c r="U43" s="340"/>
      <c r="V43" s="90"/>
    </row>
    <row r="44" spans="1:34" ht="15" thickTop="1" x14ac:dyDescent="0.2">
      <c r="A44" s="95"/>
      <c r="B44" s="131"/>
      <c r="C44" s="132"/>
      <c r="D44" s="236"/>
      <c r="E44" s="132"/>
      <c r="F44" s="236"/>
      <c r="G44" s="237"/>
      <c r="H44" s="132"/>
      <c r="I44" s="237"/>
      <c r="J44" s="132"/>
      <c r="K44" s="133"/>
      <c r="L44" s="132"/>
      <c r="M44" s="132"/>
      <c r="N44" s="236"/>
      <c r="O44" s="132"/>
      <c r="P44" s="236"/>
      <c r="Q44" s="237"/>
      <c r="R44" s="132"/>
      <c r="S44" s="237"/>
      <c r="T44" s="132"/>
      <c r="U44" s="134"/>
      <c r="V44" s="90"/>
    </row>
    <row r="45" spans="1:34" x14ac:dyDescent="0.2">
      <c r="A45" s="117" t="s">
        <v>34</v>
      </c>
      <c r="B45" s="135">
        <f>B42/B7</f>
        <v>0.89402378818655315</v>
      </c>
      <c r="C45" s="136" t="s">
        <v>159</v>
      </c>
      <c r="D45" s="221">
        <f>D42/D7*2000</f>
        <v>465.6261914893617</v>
      </c>
      <c r="E45" s="119" t="s">
        <v>160</v>
      </c>
      <c r="F45" s="222">
        <f>F42/F7</f>
        <v>5.1625177499999992</v>
      </c>
      <c r="G45" s="217" t="s">
        <v>162</v>
      </c>
      <c r="H45" s="137">
        <f>H42/H7</f>
        <v>9.2737203598958331</v>
      </c>
      <c r="I45" s="217" t="s">
        <v>162</v>
      </c>
      <c r="J45" s="137">
        <f>J42/J7</f>
        <v>6.5734389062499998</v>
      </c>
      <c r="K45" s="121" t="s">
        <v>162</v>
      </c>
      <c r="L45" s="137">
        <f>L42/L7</f>
        <v>1.0696358035511364</v>
      </c>
      <c r="M45" s="136" t="s">
        <v>159</v>
      </c>
      <c r="N45" s="221">
        <f>N42/N7*2000</f>
        <v>474.73637867647057</v>
      </c>
      <c r="O45" s="119" t="s">
        <v>160</v>
      </c>
      <c r="P45" s="222">
        <f>P42/P7</f>
        <v>5.7477337391544117</v>
      </c>
      <c r="Q45" s="217" t="s">
        <v>162</v>
      </c>
      <c r="R45" s="137">
        <f>R42/R7</f>
        <v>11.979269520312499</v>
      </c>
      <c r="S45" s="217" t="s">
        <v>162</v>
      </c>
      <c r="T45" s="137">
        <f>T42/T7</f>
        <v>5.6832645653846141</v>
      </c>
      <c r="U45" s="122" t="s">
        <v>162</v>
      </c>
      <c r="V45" s="90"/>
    </row>
    <row r="46" spans="1:34" x14ac:dyDescent="0.2">
      <c r="A46" s="138" t="s">
        <v>168</v>
      </c>
      <c r="B46" s="139">
        <f>B42/B8</f>
        <v>1411.6165076629786</v>
      </c>
      <c r="C46" s="140" t="s">
        <v>158</v>
      </c>
      <c r="D46" s="224">
        <f>D42/D8*2000</f>
        <v>4270.1328780487802</v>
      </c>
      <c r="E46" s="140" t="s">
        <v>158</v>
      </c>
      <c r="F46" s="225">
        <f>F42/F8</f>
        <v>191.20436111111107</v>
      </c>
      <c r="G46" s="217" t="s">
        <v>161</v>
      </c>
      <c r="H46" s="141">
        <f>H42/H8</f>
        <v>48.384627964673911</v>
      </c>
      <c r="I46" s="217" t="s">
        <v>161</v>
      </c>
      <c r="J46" s="141">
        <f>J42/J8</f>
        <v>126.41228665865384</v>
      </c>
      <c r="K46" s="121" t="s">
        <v>161</v>
      </c>
      <c r="L46" s="141">
        <f>L42/L8</f>
        <v>1055.5616482412531</v>
      </c>
      <c r="M46" s="140" t="s">
        <v>158</v>
      </c>
      <c r="N46" s="224">
        <f>N42/N8*2000</f>
        <v>3149.4706097560975</v>
      </c>
      <c r="O46" s="140" t="s">
        <v>158</v>
      </c>
      <c r="P46" s="225">
        <f>P42/P8</f>
        <v>90.473586634837957</v>
      </c>
      <c r="Q46" s="217" t="s">
        <v>161</v>
      </c>
      <c r="R46" s="141">
        <f>R42/R8</f>
        <v>31.250268313858694</v>
      </c>
      <c r="S46" s="217" t="s">
        <v>161</v>
      </c>
      <c r="T46" s="141">
        <f>T42/T8</f>
        <v>71.040807067307668</v>
      </c>
      <c r="U46" s="122" t="s">
        <v>161</v>
      </c>
      <c r="V46" s="90"/>
    </row>
    <row r="47" spans="1:34" s="87" customFormat="1" ht="12" x14ac:dyDescent="0.15">
      <c r="A47" s="396" t="s">
        <v>177</v>
      </c>
      <c r="B47" s="396"/>
      <c r="C47" s="396"/>
      <c r="D47" s="396"/>
      <c r="E47" s="396"/>
      <c r="F47" s="143"/>
      <c r="G47" s="143"/>
      <c r="H47" s="143"/>
      <c r="I47" s="142"/>
      <c r="J47" s="143"/>
      <c r="K47" s="143"/>
      <c r="L47" s="143"/>
      <c r="M47" s="143"/>
      <c r="N47" s="143"/>
      <c r="O47" s="143"/>
      <c r="P47" s="143"/>
      <c r="Q47" s="143"/>
      <c r="R47" s="143"/>
      <c r="S47" s="143"/>
      <c r="T47" s="143"/>
      <c r="U47" s="86"/>
      <c r="V47" s="86"/>
      <c r="W47" s="86"/>
      <c r="X47" s="86"/>
      <c r="Y47" s="86"/>
      <c r="Z47" s="86"/>
      <c r="AA47" s="86"/>
      <c r="AB47" s="86"/>
      <c r="AC47" s="86"/>
      <c r="AD47" s="86"/>
      <c r="AE47" s="86"/>
      <c r="AF47" s="86"/>
      <c r="AG47" s="86"/>
      <c r="AH47" s="86"/>
    </row>
    <row r="48" spans="1:34" s="87" customFormat="1" ht="12" x14ac:dyDescent="0.15">
      <c r="A48" s="86" t="s">
        <v>178</v>
      </c>
      <c r="B48" s="86"/>
      <c r="C48" s="144" t="s">
        <v>169</v>
      </c>
      <c r="D48" s="216">
        <f>Conventional!D46</f>
        <v>0.7</v>
      </c>
      <c r="E48" s="145" t="s">
        <v>65</v>
      </c>
      <c r="F48" s="226">
        <f>Conventional!F46</f>
        <v>0.65</v>
      </c>
      <c r="G48" s="145" t="s">
        <v>66</v>
      </c>
      <c r="H48" s="226">
        <f>Conventional!H46</f>
        <v>0.5</v>
      </c>
      <c r="I48" s="86"/>
      <c r="J48" s="226"/>
      <c r="K48" s="216"/>
      <c r="L48" s="86"/>
      <c r="M48" s="86"/>
      <c r="N48" s="226"/>
      <c r="O48" s="216"/>
      <c r="P48" s="86"/>
      <c r="Q48" s="86"/>
      <c r="R48" s="86"/>
      <c r="S48" s="86"/>
      <c r="T48" s="86"/>
      <c r="U48" s="86"/>
      <c r="V48" s="86"/>
      <c r="W48" s="86"/>
      <c r="X48" s="86"/>
      <c r="Y48" s="86"/>
      <c r="Z48" s="86"/>
      <c r="AA48" s="86"/>
      <c r="AB48" s="86"/>
      <c r="AC48" s="86"/>
      <c r="AD48" s="86"/>
      <c r="AE48" s="86"/>
      <c r="AF48" s="86"/>
      <c r="AG48" s="86"/>
      <c r="AH48" s="86"/>
    </row>
    <row r="49" spans="1:34" s="87" customFormat="1" ht="12" x14ac:dyDescent="0.15">
      <c r="A49" s="312" t="str">
        <f>Conventional!A48</f>
        <v>*** Weighted average of diesel and electric irrigation application costs.  Electric is estimated at $9/appl and diesel is estimated at $16/appl when diesel cost $4/gal.</v>
      </c>
      <c r="B49" s="312"/>
      <c r="C49" s="312"/>
      <c r="D49" s="312"/>
      <c r="E49" s="312"/>
      <c r="F49" s="312"/>
      <c r="G49" s="312"/>
      <c r="H49" s="312"/>
      <c r="I49" s="312"/>
      <c r="J49" s="312"/>
      <c r="K49" s="312"/>
      <c r="L49" s="312"/>
      <c r="M49" s="312"/>
      <c r="N49" s="312"/>
      <c r="O49" s="312"/>
      <c r="P49" s="312"/>
      <c r="Q49" s="312"/>
      <c r="R49" s="312"/>
      <c r="S49" s="312"/>
      <c r="T49" s="312"/>
      <c r="U49" s="146"/>
      <c r="V49" s="86"/>
      <c r="W49" s="86"/>
      <c r="X49" s="86"/>
      <c r="Y49" s="86"/>
      <c r="Z49" s="86"/>
      <c r="AA49" s="86"/>
      <c r="AB49" s="86"/>
      <c r="AC49" s="86"/>
      <c r="AD49" s="86"/>
      <c r="AE49" s="86"/>
      <c r="AF49" s="86"/>
      <c r="AG49" s="86"/>
      <c r="AH49" s="86"/>
    </row>
    <row r="50" spans="1:34" s="87" customFormat="1" ht="12" x14ac:dyDescent="0.15">
      <c r="A50" s="86" t="s">
        <v>152</v>
      </c>
      <c r="B50" s="147">
        <f>Conventional!B47</f>
        <v>4</v>
      </c>
      <c r="C50" s="312" t="s">
        <v>67</v>
      </c>
      <c r="D50" s="312"/>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row>
    <row r="51" spans="1:34" s="90" customFormat="1" x14ac:dyDescent="0.2">
      <c r="A51" s="86"/>
    </row>
    <row r="52" spans="1:34" s="90" customFormat="1" x14ac:dyDescent="0.2">
      <c r="A52" s="86"/>
    </row>
    <row r="53" spans="1:34" s="90" customFormat="1" x14ac:dyDescent="0.2">
      <c r="A53" s="86"/>
    </row>
    <row r="54" spans="1:34" s="90" customFormat="1" x14ac:dyDescent="0.2">
      <c r="A54" s="86"/>
    </row>
    <row r="55" spans="1:34" s="90" customFormat="1" x14ac:dyDescent="0.2">
      <c r="A55" s="86"/>
    </row>
    <row r="56" spans="1:34" s="90" customFormat="1" x14ac:dyDescent="0.2">
      <c r="A56" s="86"/>
    </row>
    <row r="57" spans="1:34" s="90" customFormat="1" x14ac:dyDescent="0.2">
      <c r="A57" s="86"/>
    </row>
    <row r="58" spans="1:34" s="90" customFormat="1" x14ac:dyDescent="0.2">
      <c r="A58" s="86"/>
    </row>
    <row r="59" spans="1:34" s="90" customFormat="1" x14ac:dyDescent="0.2">
      <c r="A59" s="86"/>
    </row>
    <row r="60" spans="1:34" s="90" customFormat="1" x14ac:dyDescent="0.2">
      <c r="A60" s="86"/>
    </row>
    <row r="61" spans="1:34" s="90" customFormat="1" x14ac:dyDescent="0.2">
      <c r="A61" s="86"/>
    </row>
    <row r="62" spans="1:34" s="90" customFormat="1" x14ac:dyDescent="0.2">
      <c r="A62" s="86"/>
    </row>
    <row r="63" spans="1:34" s="90" customFormat="1" x14ac:dyDescent="0.2">
      <c r="A63" s="86"/>
    </row>
    <row r="64" spans="1:34" s="90" customFormat="1" x14ac:dyDescent="0.2">
      <c r="A64" s="86"/>
    </row>
    <row r="65" spans="1:1" s="90" customFormat="1" x14ac:dyDescent="0.2">
      <c r="A65" s="86"/>
    </row>
    <row r="66" spans="1:1" s="90" customFormat="1" x14ac:dyDescent="0.2">
      <c r="A66" s="86"/>
    </row>
    <row r="67" spans="1:1" s="90" customFormat="1" x14ac:dyDescent="0.2">
      <c r="A67" s="86"/>
    </row>
    <row r="68" spans="1:1" s="90" customFormat="1" x14ac:dyDescent="0.2">
      <c r="A68" s="86"/>
    </row>
    <row r="69" spans="1:1" s="90" customFormat="1" x14ac:dyDescent="0.2">
      <c r="A69" s="86"/>
    </row>
    <row r="70" spans="1:1" s="90" customFormat="1" x14ac:dyDescent="0.2">
      <c r="A70" s="86"/>
    </row>
    <row r="71" spans="1:1" s="90" customFormat="1" x14ac:dyDescent="0.2">
      <c r="A71" s="86"/>
    </row>
    <row r="72" spans="1:1" s="90" customFormat="1" x14ac:dyDescent="0.2">
      <c r="A72" s="86"/>
    </row>
    <row r="73" spans="1:1" s="90" customFormat="1" x14ac:dyDescent="0.2">
      <c r="A73" s="86"/>
    </row>
    <row r="74" spans="1:1" s="90" customFormat="1" x14ac:dyDescent="0.2">
      <c r="A74" s="86"/>
    </row>
    <row r="75" spans="1:1" s="90" customFormat="1" x14ac:dyDescent="0.2">
      <c r="A75" s="86"/>
    </row>
    <row r="76" spans="1:1" s="90" customFormat="1" x14ac:dyDescent="0.2">
      <c r="A76" s="86"/>
    </row>
    <row r="77" spans="1:1" s="90" customFormat="1" x14ac:dyDescent="0.2">
      <c r="A77" s="86"/>
    </row>
    <row r="78" spans="1:1" s="90" customFormat="1" x14ac:dyDescent="0.2">
      <c r="A78" s="86"/>
    </row>
    <row r="79" spans="1:1" s="90" customFormat="1" x14ac:dyDescent="0.2">
      <c r="A79" s="86"/>
    </row>
    <row r="80" spans="1:1" s="90" customFormat="1" x14ac:dyDescent="0.2">
      <c r="A80" s="86"/>
    </row>
    <row r="81" spans="1:1" s="90" customFormat="1" x14ac:dyDescent="0.2">
      <c r="A81" s="86"/>
    </row>
    <row r="82" spans="1:1" s="90" customFormat="1" x14ac:dyDescent="0.2">
      <c r="A82" s="86"/>
    </row>
    <row r="83" spans="1:1" s="90" customFormat="1" x14ac:dyDescent="0.2">
      <c r="A83" s="86"/>
    </row>
    <row r="84" spans="1:1" s="90" customFormat="1" x14ac:dyDescent="0.2">
      <c r="A84" s="86"/>
    </row>
    <row r="85" spans="1:1" s="90" customFormat="1" x14ac:dyDescent="0.2">
      <c r="A85" s="86"/>
    </row>
    <row r="86" spans="1:1" s="90" customFormat="1" x14ac:dyDescent="0.2">
      <c r="A86" s="86"/>
    </row>
    <row r="87" spans="1:1" s="90" customFormat="1" x14ac:dyDescent="0.2">
      <c r="A87" s="86"/>
    </row>
    <row r="88" spans="1:1" s="90" customFormat="1" x14ac:dyDescent="0.2">
      <c r="A88" s="86"/>
    </row>
    <row r="89" spans="1:1" s="90" customFormat="1" x14ac:dyDescent="0.2">
      <c r="A89" s="86"/>
    </row>
    <row r="90" spans="1:1" s="90" customFormat="1" x14ac:dyDescent="0.2">
      <c r="A90" s="86"/>
    </row>
    <row r="91" spans="1:1" s="90" customFormat="1" x14ac:dyDescent="0.2">
      <c r="A91" s="86"/>
    </row>
    <row r="92" spans="1:1" s="90" customFormat="1" x14ac:dyDescent="0.2">
      <c r="A92" s="86"/>
    </row>
    <row r="93" spans="1:1" s="90" customFormat="1" x14ac:dyDescent="0.2">
      <c r="A93" s="86"/>
    </row>
    <row r="94" spans="1:1" s="90" customFormat="1" x14ac:dyDescent="0.2">
      <c r="A94" s="86"/>
    </row>
    <row r="95" spans="1:1" s="90" customFormat="1" x14ac:dyDescent="0.2">
      <c r="A95" s="86"/>
    </row>
    <row r="96" spans="1:1" s="90" customFormat="1" x14ac:dyDescent="0.2">
      <c r="A96" s="86"/>
    </row>
    <row r="97" spans="1:1" s="90" customFormat="1" x14ac:dyDescent="0.2">
      <c r="A97" s="86"/>
    </row>
    <row r="98" spans="1:1" s="90" customFormat="1" x14ac:dyDescent="0.2">
      <c r="A98" s="86"/>
    </row>
    <row r="99" spans="1:1" s="90" customFormat="1" x14ac:dyDescent="0.2">
      <c r="A99" s="86"/>
    </row>
    <row r="100" spans="1:1" s="90" customFormat="1" x14ac:dyDescent="0.2">
      <c r="A100" s="86"/>
    </row>
    <row r="101" spans="1:1" s="90" customFormat="1" x14ac:dyDescent="0.2">
      <c r="A101" s="86"/>
    </row>
    <row r="102" spans="1:1" s="90" customFormat="1" x14ac:dyDescent="0.2">
      <c r="A102" s="86"/>
    </row>
    <row r="103" spans="1:1" s="90" customFormat="1" x14ac:dyDescent="0.2">
      <c r="A103" s="86"/>
    </row>
    <row r="104" spans="1:1" s="90" customFormat="1" x14ac:dyDescent="0.2">
      <c r="A104" s="86"/>
    </row>
    <row r="105" spans="1:1" s="90" customFormat="1" x14ac:dyDescent="0.2">
      <c r="A105" s="86"/>
    </row>
    <row r="106" spans="1:1" s="90" customFormat="1" x14ac:dyDescent="0.2">
      <c r="A106" s="86"/>
    </row>
    <row r="107" spans="1:1" s="90" customFormat="1" x14ac:dyDescent="0.2">
      <c r="A107" s="86"/>
    </row>
    <row r="108" spans="1:1" s="90" customFormat="1" x14ac:dyDescent="0.2">
      <c r="A108" s="86"/>
    </row>
    <row r="109" spans="1:1" s="90" customFormat="1" x14ac:dyDescent="0.2">
      <c r="A109" s="86"/>
    </row>
    <row r="110" spans="1:1" s="90" customFormat="1" x14ac:dyDescent="0.2">
      <c r="A110" s="86"/>
    </row>
    <row r="111" spans="1:1" s="90" customFormat="1" x14ac:dyDescent="0.2">
      <c r="A111" s="86"/>
    </row>
    <row r="112" spans="1:1" s="90" customFormat="1" x14ac:dyDescent="0.2">
      <c r="A112" s="86"/>
    </row>
    <row r="113" spans="1:1" s="90" customFormat="1" x14ac:dyDescent="0.2">
      <c r="A113" s="86"/>
    </row>
    <row r="114" spans="1:1" s="90" customFormat="1" x14ac:dyDescent="0.2">
      <c r="A114" s="86"/>
    </row>
    <row r="115" spans="1:1" s="90" customFormat="1" x14ac:dyDescent="0.2">
      <c r="A115" s="86"/>
    </row>
    <row r="116" spans="1:1" s="90" customFormat="1" x14ac:dyDescent="0.2">
      <c r="A116" s="86"/>
    </row>
    <row r="117" spans="1:1" s="90" customFormat="1" x14ac:dyDescent="0.2">
      <c r="A117" s="86"/>
    </row>
    <row r="118" spans="1:1" s="90" customFormat="1" x14ac:dyDescent="0.2">
      <c r="A118" s="86"/>
    </row>
    <row r="119" spans="1:1" s="90" customFormat="1" x14ac:dyDescent="0.2">
      <c r="A119" s="86"/>
    </row>
    <row r="120" spans="1:1" s="90" customFormat="1" x14ac:dyDescent="0.2">
      <c r="A120" s="86"/>
    </row>
    <row r="121" spans="1:1" s="90" customFormat="1" x14ac:dyDescent="0.2">
      <c r="A121" s="86"/>
    </row>
    <row r="122" spans="1:1" s="90" customFormat="1" x14ac:dyDescent="0.2">
      <c r="A122" s="86"/>
    </row>
    <row r="123" spans="1:1" s="90" customFormat="1" x14ac:dyDescent="0.2">
      <c r="A123" s="86"/>
    </row>
    <row r="124" spans="1:1" s="90" customFormat="1" x14ac:dyDescent="0.2">
      <c r="A124" s="86"/>
    </row>
    <row r="125" spans="1:1" s="90" customFormat="1" x14ac:dyDescent="0.2">
      <c r="A125" s="86"/>
    </row>
    <row r="126" spans="1:1" s="90" customFormat="1" x14ac:dyDescent="0.2">
      <c r="A126" s="86"/>
    </row>
    <row r="127" spans="1:1" s="90" customFormat="1" x14ac:dyDescent="0.2">
      <c r="A127" s="86"/>
    </row>
    <row r="128" spans="1:1" s="90" customFormat="1" x14ac:dyDescent="0.2">
      <c r="A128" s="86"/>
    </row>
    <row r="129" spans="1:1" s="90" customFormat="1" x14ac:dyDescent="0.2">
      <c r="A129" s="86"/>
    </row>
    <row r="130" spans="1:1" s="90" customFormat="1" x14ac:dyDescent="0.2">
      <c r="A130" s="86"/>
    </row>
    <row r="131" spans="1:1" s="90" customFormat="1" x14ac:dyDescent="0.2">
      <c r="A131" s="86"/>
    </row>
    <row r="132" spans="1:1" s="90" customFormat="1" x14ac:dyDescent="0.2">
      <c r="A132" s="86"/>
    </row>
    <row r="133" spans="1:1" s="90" customFormat="1" x14ac:dyDescent="0.2">
      <c r="A133" s="86"/>
    </row>
    <row r="134" spans="1:1" s="90" customFormat="1" x14ac:dyDescent="0.2">
      <c r="A134" s="86"/>
    </row>
    <row r="135" spans="1:1" s="90" customFormat="1" x14ac:dyDescent="0.2">
      <c r="A135" s="86"/>
    </row>
    <row r="136" spans="1:1" s="90" customFormat="1" x14ac:dyDescent="0.2">
      <c r="A136" s="86"/>
    </row>
    <row r="137" spans="1:1" s="90" customFormat="1" x14ac:dyDescent="0.2">
      <c r="A137" s="86"/>
    </row>
    <row r="138" spans="1:1" s="90" customFormat="1" x14ac:dyDescent="0.2">
      <c r="A138" s="86"/>
    </row>
    <row r="139" spans="1:1" s="90" customFormat="1" x14ac:dyDescent="0.2">
      <c r="A139" s="86"/>
    </row>
    <row r="140" spans="1:1" s="90" customFormat="1" x14ac:dyDescent="0.2">
      <c r="A140" s="86"/>
    </row>
    <row r="141" spans="1:1" s="90" customFormat="1" x14ac:dyDescent="0.2">
      <c r="A141" s="86"/>
    </row>
    <row r="142" spans="1:1" s="90" customFormat="1" x14ac:dyDescent="0.2">
      <c r="A142" s="86"/>
    </row>
    <row r="143" spans="1:1" s="90" customFormat="1" x14ac:dyDescent="0.2">
      <c r="A143" s="86"/>
    </row>
    <row r="144" spans="1:1" s="90" customFormat="1" x14ac:dyDescent="0.2">
      <c r="A144" s="86"/>
    </row>
    <row r="145" spans="1:1" s="90" customFormat="1" x14ac:dyDescent="0.2">
      <c r="A145" s="86"/>
    </row>
    <row r="146" spans="1:1" s="90" customFormat="1" x14ac:dyDescent="0.2">
      <c r="A146" s="86"/>
    </row>
    <row r="147" spans="1:1" s="90" customFormat="1" x14ac:dyDescent="0.2">
      <c r="A147" s="86"/>
    </row>
    <row r="148" spans="1:1" s="90" customFormat="1" x14ac:dyDescent="0.2">
      <c r="A148" s="86"/>
    </row>
    <row r="149" spans="1:1" s="90" customFormat="1" x14ac:dyDescent="0.2">
      <c r="A149" s="86"/>
    </row>
    <row r="150" spans="1:1" s="90" customFormat="1" x14ac:dyDescent="0.2">
      <c r="A150" s="86"/>
    </row>
    <row r="151" spans="1:1" s="90" customFormat="1" x14ac:dyDescent="0.2">
      <c r="A151" s="86"/>
    </row>
    <row r="152" spans="1:1" s="90" customFormat="1" x14ac:dyDescent="0.2">
      <c r="A152" s="86"/>
    </row>
    <row r="153" spans="1:1" s="90" customFormat="1" x14ac:dyDescent="0.2">
      <c r="A153" s="86"/>
    </row>
    <row r="154" spans="1:1" s="90" customFormat="1" x14ac:dyDescent="0.2">
      <c r="A154" s="86"/>
    </row>
    <row r="155" spans="1:1" s="90" customFormat="1" x14ac:dyDescent="0.2">
      <c r="A155" s="86"/>
    </row>
    <row r="156" spans="1:1" s="90" customFormat="1" x14ac:dyDescent="0.2">
      <c r="A156" s="86"/>
    </row>
    <row r="157" spans="1:1" s="90" customFormat="1" x14ac:dyDescent="0.2">
      <c r="A157" s="86"/>
    </row>
    <row r="158" spans="1:1" s="90" customFormat="1" x14ac:dyDescent="0.2">
      <c r="A158" s="86"/>
    </row>
    <row r="159" spans="1:1" s="90" customFormat="1" x14ac:dyDescent="0.2">
      <c r="A159" s="86"/>
    </row>
    <row r="160" spans="1:1" s="90" customFormat="1" x14ac:dyDescent="0.2">
      <c r="A160" s="86"/>
    </row>
    <row r="161" spans="1:1" s="90" customFormat="1" x14ac:dyDescent="0.2">
      <c r="A161" s="86"/>
    </row>
    <row r="162" spans="1:1" s="90" customFormat="1" x14ac:dyDescent="0.2">
      <c r="A162" s="86"/>
    </row>
    <row r="163" spans="1:1" s="90" customFormat="1" x14ac:dyDescent="0.2">
      <c r="A163" s="86"/>
    </row>
    <row r="164" spans="1:1" s="90" customFormat="1" x14ac:dyDescent="0.2">
      <c r="A164" s="86"/>
    </row>
    <row r="165" spans="1:1" s="90" customFormat="1" x14ac:dyDescent="0.2">
      <c r="A165" s="86"/>
    </row>
    <row r="166" spans="1:1" s="90" customFormat="1" x14ac:dyDescent="0.2">
      <c r="A166" s="86"/>
    </row>
    <row r="167" spans="1:1" s="90" customFormat="1" x14ac:dyDescent="0.2">
      <c r="A167" s="86"/>
    </row>
    <row r="168" spans="1:1" s="90" customFormat="1" x14ac:dyDescent="0.2">
      <c r="A168" s="86"/>
    </row>
    <row r="169" spans="1:1" s="90" customFormat="1" x14ac:dyDescent="0.2">
      <c r="A169" s="86"/>
    </row>
    <row r="170" spans="1:1" s="90" customFormat="1" x14ac:dyDescent="0.2">
      <c r="A170" s="86"/>
    </row>
    <row r="171" spans="1:1" s="90" customFormat="1" x14ac:dyDescent="0.2">
      <c r="A171" s="86"/>
    </row>
    <row r="172" spans="1:1" s="90" customFormat="1" x14ac:dyDescent="0.2">
      <c r="A172" s="86"/>
    </row>
    <row r="173" spans="1:1" s="90" customFormat="1" x14ac:dyDescent="0.2">
      <c r="A173" s="86"/>
    </row>
    <row r="174" spans="1:1" s="90" customFormat="1" x14ac:dyDescent="0.2">
      <c r="A174" s="86"/>
    </row>
    <row r="175" spans="1:1" s="90" customFormat="1" x14ac:dyDescent="0.2">
      <c r="A175" s="86"/>
    </row>
    <row r="176" spans="1:1" s="90" customFormat="1" x14ac:dyDescent="0.2">
      <c r="A176" s="86"/>
    </row>
    <row r="177" spans="1:1" s="90" customFormat="1" x14ac:dyDescent="0.2">
      <c r="A177" s="86"/>
    </row>
    <row r="178" spans="1:1" s="90" customFormat="1" x14ac:dyDescent="0.2">
      <c r="A178" s="86"/>
    </row>
    <row r="179" spans="1:1" s="90" customFormat="1" x14ac:dyDescent="0.2">
      <c r="A179" s="86"/>
    </row>
    <row r="180" spans="1:1" s="90" customFormat="1" x14ac:dyDescent="0.2">
      <c r="A180" s="86"/>
    </row>
    <row r="181" spans="1:1" s="90" customFormat="1" x14ac:dyDescent="0.2">
      <c r="A181" s="86"/>
    </row>
    <row r="182" spans="1:1" s="90" customFormat="1" x14ac:dyDescent="0.2">
      <c r="A182" s="86"/>
    </row>
    <row r="183" spans="1:1" s="90" customFormat="1" x14ac:dyDescent="0.2">
      <c r="A183" s="86"/>
    </row>
    <row r="184" spans="1:1" s="90" customFormat="1" x14ac:dyDescent="0.2">
      <c r="A184" s="86"/>
    </row>
    <row r="185" spans="1:1" s="90" customFormat="1" x14ac:dyDescent="0.2">
      <c r="A185" s="86"/>
    </row>
    <row r="186" spans="1:1" s="90" customFormat="1" x14ac:dyDescent="0.2">
      <c r="A186" s="86"/>
    </row>
    <row r="187" spans="1:1" s="90" customFormat="1" x14ac:dyDescent="0.2">
      <c r="A187" s="86"/>
    </row>
    <row r="188" spans="1:1" s="90" customFormat="1" x14ac:dyDescent="0.2">
      <c r="A188" s="86"/>
    </row>
    <row r="189" spans="1:1" s="90" customFormat="1" x14ac:dyDescent="0.2">
      <c r="A189" s="86"/>
    </row>
    <row r="190" spans="1:1" s="90" customFormat="1" x14ac:dyDescent="0.2">
      <c r="A190" s="86"/>
    </row>
    <row r="191" spans="1:1" s="90" customFormat="1" x14ac:dyDescent="0.2">
      <c r="A191" s="86"/>
    </row>
    <row r="192" spans="1:1" s="90" customFormat="1" x14ac:dyDescent="0.2">
      <c r="A192" s="86"/>
    </row>
    <row r="193" spans="1:1" s="90" customFormat="1" x14ac:dyDescent="0.2">
      <c r="A193" s="86"/>
    </row>
    <row r="194" spans="1:1" s="90" customFormat="1" x14ac:dyDescent="0.2">
      <c r="A194" s="86"/>
    </row>
    <row r="195" spans="1:1" s="90" customFormat="1" x14ac:dyDescent="0.2">
      <c r="A195" s="86"/>
    </row>
    <row r="196" spans="1:1" s="90" customFormat="1" x14ac:dyDescent="0.2">
      <c r="A196" s="86"/>
    </row>
    <row r="197" spans="1:1" s="90" customFormat="1" x14ac:dyDescent="0.2">
      <c r="A197" s="86"/>
    </row>
    <row r="198" spans="1:1" s="90" customFormat="1" x14ac:dyDescent="0.2">
      <c r="A198" s="86"/>
    </row>
    <row r="199" spans="1:1" s="90" customFormat="1" x14ac:dyDescent="0.2">
      <c r="A199" s="86"/>
    </row>
    <row r="200" spans="1:1" s="90" customFormat="1" x14ac:dyDescent="0.2">
      <c r="A200" s="86"/>
    </row>
    <row r="201" spans="1:1" s="90" customFormat="1" x14ac:dyDescent="0.2">
      <c r="A201" s="86"/>
    </row>
    <row r="202" spans="1:1" s="90" customFormat="1" x14ac:dyDescent="0.2">
      <c r="A202" s="86"/>
    </row>
    <row r="203" spans="1:1" s="90" customFormat="1" x14ac:dyDescent="0.2">
      <c r="A203" s="86"/>
    </row>
    <row r="204" spans="1:1" s="90" customFormat="1" x14ac:dyDescent="0.2">
      <c r="A204" s="86"/>
    </row>
    <row r="205" spans="1:1" s="90" customFormat="1" x14ac:dyDescent="0.2">
      <c r="A205" s="86"/>
    </row>
    <row r="206" spans="1:1" s="90" customFormat="1" x14ac:dyDescent="0.2">
      <c r="A206" s="86"/>
    </row>
    <row r="207" spans="1:1" s="90" customFormat="1" x14ac:dyDescent="0.2">
      <c r="A207" s="86"/>
    </row>
    <row r="208" spans="1:1" s="90" customFormat="1" x14ac:dyDescent="0.2">
      <c r="A208" s="86"/>
    </row>
    <row r="209" spans="1:1" s="90" customFormat="1" x14ac:dyDescent="0.2">
      <c r="A209" s="86"/>
    </row>
    <row r="210" spans="1:1" s="90" customFormat="1" x14ac:dyDescent="0.2">
      <c r="A210" s="86"/>
    </row>
    <row r="211" spans="1:1" s="90" customFormat="1" x14ac:dyDescent="0.2">
      <c r="A211" s="86"/>
    </row>
    <row r="212" spans="1:1" s="90" customFormat="1" x14ac:dyDescent="0.2">
      <c r="A212" s="86"/>
    </row>
    <row r="213" spans="1:1" s="90" customFormat="1" x14ac:dyDescent="0.2">
      <c r="A213" s="86"/>
    </row>
    <row r="214" spans="1:1" s="90" customFormat="1" x14ac:dyDescent="0.2">
      <c r="A214" s="86"/>
    </row>
    <row r="215" spans="1:1" s="90" customFormat="1" x14ac:dyDescent="0.2">
      <c r="A215" s="86"/>
    </row>
    <row r="216" spans="1:1" s="90" customFormat="1" x14ac:dyDescent="0.2">
      <c r="A216" s="86"/>
    </row>
    <row r="217" spans="1:1" s="90" customFormat="1" x14ac:dyDescent="0.2">
      <c r="A217" s="86"/>
    </row>
    <row r="218" spans="1:1" s="90" customFormat="1" x14ac:dyDescent="0.2">
      <c r="A218" s="86"/>
    </row>
  </sheetData>
  <sheetProtection sheet="1" objects="1" scenarios="1"/>
  <mergeCells count="229">
    <mergeCell ref="J1:U2"/>
    <mergeCell ref="R25:S25"/>
    <mergeCell ref="T25:U25"/>
    <mergeCell ref="J25:K25"/>
    <mergeCell ref="H25:I25"/>
    <mergeCell ref="F25:G25"/>
    <mergeCell ref="D25:E25"/>
    <mergeCell ref="B25:C25"/>
    <mergeCell ref="D19:E19"/>
    <mergeCell ref="N19:O19"/>
    <mergeCell ref="L19:M19"/>
    <mergeCell ref="L21:M21"/>
    <mergeCell ref="L23:M23"/>
    <mergeCell ref="D24:E24"/>
    <mergeCell ref="D23:E23"/>
    <mergeCell ref="D22:E22"/>
    <mergeCell ref="D21:E21"/>
    <mergeCell ref="B23:C23"/>
    <mergeCell ref="B24:C24"/>
    <mergeCell ref="H21:I21"/>
    <mergeCell ref="H22:I22"/>
    <mergeCell ref="H23:I23"/>
    <mergeCell ref="H24:I24"/>
    <mergeCell ref="B21:C21"/>
    <mergeCell ref="B22:C22"/>
    <mergeCell ref="R9:S9"/>
    <mergeCell ref="T9:U9"/>
    <mergeCell ref="T11:U11"/>
    <mergeCell ref="B11:C11"/>
    <mergeCell ref="D11:E11"/>
    <mergeCell ref="F11:G11"/>
    <mergeCell ref="H11:I11"/>
    <mergeCell ref="D18:E18"/>
    <mergeCell ref="N18:O18"/>
    <mergeCell ref="J11:K11"/>
    <mergeCell ref="R12:S12"/>
    <mergeCell ref="L14:M14"/>
    <mergeCell ref="R11:S11"/>
    <mergeCell ref="P12:Q12"/>
    <mergeCell ref="L11:M11"/>
    <mergeCell ref="N11:O11"/>
    <mergeCell ref="P11:Q11"/>
    <mergeCell ref="H12:I12"/>
    <mergeCell ref="J12:K12"/>
    <mergeCell ref="F16:G16"/>
    <mergeCell ref="H16:I16"/>
    <mergeCell ref="J16:K16"/>
    <mergeCell ref="H14:I14"/>
    <mergeCell ref="F14:G14"/>
    <mergeCell ref="B4:J4"/>
    <mergeCell ref="L4:T4"/>
    <mergeCell ref="B6:C6"/>
    <mergeCell ref="D6:E6"/>
    <mergeCell ref="F6:G6"/>
    <mergeCell ref="H6:I6"/>
    <mergeCell ref="J5:K5"/>
    <mergeCell ref="T12:U12"/>
    <mergeCell ref="L13:M13"/>
    <mergeCell ref="B12:C12"/>
    <mergeCell ref="D12:E12"/>
    <mergeCell ref="F12:G12"/>
    <mergeCell ref="N9:O9"/>
    <mergeCell ref="P9:Q9"/>
    <mergeCell ref="J6:K6"/>
    <mergeCell ref="L6:M6"/>
    <mergeCell ref="N6:O6"/>
    <mergeCell ref="P6:Q6"/>
    <mergeCell ref="R6:S6"/>
    <mergeCell ref="T5:U5"/>
    <mergeCell ref="T6:U6"/>
    <mergeCell ref="L9:M9"/>
    <mergeCell ref="L12:M12"/>
    <mergeCell ref="N12:O12"/>
    <mergeCell ref="D14:E14"/>
    <mergeCell ref="J14:K14"/>
    <mergeCell ref="B9:C9"/>
    <mergeCell ref="D9:E9"/>
    <mergeCell ref="F9:G9"/>
    <mergeCell ref="H9:I9"/>
    <mergeCell ref="J9:K9"/>
    <mergeCell ref="T20:U20"/>
    <mergeCell ref="R20:S20"/>
    <mergeCell ref="P20:Q20"/>
    <mergeCell ref="N20:O20"/>
    <mergeCell ref="L20:M20"/>
    <mergeCell ref="B13:C13"/>
    <mergeCell ref="B14:C14"/>
    <mergeCell ref="T14:U14"/>
    <mergeCell ref="R14:S14"/>
    <mergeCell ref="P14:Q14"/>
    <mergeCell ref="N14:O14"/>
    <mergeCell ref="T16:U16"/>
    <mergeCell ref="L16:M16"/>
    <mergeCell ref="N16:O16"/>
    <mergeCell ref="P16:Q16"/>
    <mergeCell ref="R16:S16"/>
    <mergeCell ref="L17:M17"/>
    <mergeCell ref="B17:C17"/>
    <mergeCell ref="B19:C19"/>
    <mergeCell ref="B18:C18"/>
    <mergeCell ref="L18:M18"/>
    <mergeCell ref="B16:C16"/>
    <mergeCell ref="D16:E16"/>
    <mergeCell ref="B20:C20"/>
    <mergeCell ref="F20:G20"/>
    <mergeCell ref="J20:K20"/>
    <mergeCell ref="D20:E20"/>
    <mergeCell ref="H20:I20"/>
    <mergeCell ref="R42:S42"/>
    <mergeCell ref="R43:S43"/>
    <mergeCell ref="T42:U42"/>
    <mergeCell ref="T43:U43"/>
    <mergeCell ref="L43:M43"/>
    <mergeCell ref="N42:O42"/>
    <mergeCell ref="N43:O43"/>
    <mergeCell ref="P42:Q42"/>
    <mergeCell ref="P43:Q43"/>
    <mergeCell ref="L42:M42"/>
    <mergeCell ref="T39:U39"/>
    <mergeCell ref="R39:S39"/>
    <mergeCell ref="R40:S40"/>
    <mergeCell ref="P39:Q39"/>
    <mergeCell ref="P40:Q40"/>
    <mergeCell ref="J39:K39"/>
    <mergeCell ref="J40:K40"/>
    <mergeCell ref="F31:G31"/>
    <mergeCell ref="B39:C39"/>
    <mergeCell ref="B40:C40"/>
    <mergeCell ref="L31:M31"/>
    <mergeCell ref="L32:M32"/>
    <mergeCell ref="J36:K36"/>
    <mergeCell ref="T40:U40"/>
    <mergeCell ref="H39:I39"/>
    <mergeCell ref="H40:I40"/>
    <mergeCell ref="F39:G39"/>
    <mergeCell ref="F40:G40"/>
    <mergeCell ref="D39:E39"/>
    <mergeCell ref="J37:K37"/>
    <mergeCell ref="J32:K32"/>
    <mergeCell ref="J31:K31"/>
    <mergeCell ref="H31:I31"/>
    <mergeCell ref="H32:I32"/>
    <mergeCell ref="P27:Q27"/>
    <mergeCell ref="P29:Q29"/>
    <mergeCell ref="P24:Q24"/>
    <mergeCell ref="P23:Q23"/>
    <mergeCell ref="P21:Q21"/>
    <mergeCell ref="P36:Q36"/>
    <mergeCell ref="R36:S36"/>
    <mergeCell ref="T36:U36"/>
    <mergeCell ref="T29:U29"/>
    <mergeCell ref="P31:Q31"/>
    <mergeCell ref="P32:Q32"/>
    <mergeCell ref="R31:S31"/>
    <mergeCell ref="R32:S32"/>
    <mergeCell ref="T31:U31"/>
    <mergeCell ref="T32:U32"/>
    <mergeCell ref="T27:U27"/>
    <mergeCell ref="T24:U24"/>
    <mergeCell ref="T23:U23"/>
    <mergeCell ref="T21:U21"/>
    <mergeCell ref="R21:S21"/>
    <mergeCell ref="R23:S23"/>
    <mergeCell ref="R24:S24"/>
    <mergeCell ref="R27:S27"/>
    <mergeCell ref="P25:Q25"/>
    <mergeCell ref="N39:O39"/>
    <mergeCell ref="N40:O40"/>
    <mergeCell ref="L39:M39"/>
    <mergeCell ref="J21:K21"/>
    <mergeCell ref="J22:K22"/>
    <mergeCell ref="J23:K23"/>
    <mergeCell ref="J24:K24"/>
    <mergeCell ref="N27:O27"/>
    <mergeCell ref="N29:O29"/>
    <mergeCell ref="N31:O31"/>
    <mergeCell ref="N32:O32"/>
    <mergeCell ref="N21:O21"/>
    <mergeCell ref="N23:O23"/>
    <mergeCell ref="N24:O24"/>
    <mergeCell ref="N30:O30"/>
    <mergeCell ref="N36:O36"/>
    <mergeCell ref="J27:K27"/>
    <mergeCell ref="J29:K29"/>
    <mergeCell ref="L40:M40"/>
    <mergeCell ref="L27:M27"/>
    <mergeCell ref="L28:M28"/>
    <mergeCell ref="L36:M36"/>
    <mergeCell ref="L25:M25"/>
    <mergeCell ref="N25:O25"/>
    <mergeCell ref="C50:D50"/>
    <mergeCell ref="D37:E37"/>
    <mergeCell ref="D36:E36"/>
    <mergeCell ref="D31:E31"/>
    <mergeCell ref="D32:E32"/>
    <mergeCell ref="B28:C28"/>
    <mergeCell ref="D40:E40"/>
    <mergeCell ref="B42:C42"/>
    <mergeCell ref="B27:C27"/>
    <mergeCell ref="A47:E47"/>
    <mergeCell ref="D29:E29"/>
    <mergeCell ref="D27:E27"/>
    <mergeCell ref="D30:E30"/>
    <mergeCell ref="B43:C43"/>
    <mergeCell ref="D42:E42"/>
    <mergeCell ref="D43:E43"/>
    <mergeCell ref="B31:C31"/>
    <mergeCell ref="B32:C32"/>
    <mergeCell ref="B36:C36"/>
    <mergeCell ref="B37:C37"/>
    <mergeCell ref="A49:T49"/>
    <mergeCell ref="F43:G43"/>
    <mergeCell ref="H42:I42"/>
    <mergeCell ref="H43:I43"/>
    <mergeCell ref="J43:K43"/>
    <mergeCell ref="H36:I36"/>
    <mergeCell ref="J42:K42"/>
    <mergeCell ref="H37:I37"/>
    <mergeCell ref="F27:G27"/>
    <mergeCell ref="F29:G29"/>
    <mergeCell ref="H27:I27"/>
    <mergeCell ref="F21:G21"/>
    <mergeCell ref="F22:G22"/>
    <mergeCell ref="F23:G23"/>
    <mergeCell ref="F24:G24"/>
    <mergeCell ref="F36:G36"/>
    <mergeCell ref="F37:G37"/>
    <mergeCell ref="F32:G32"/>
    <mergeCell ref="F42:G42"/>
  </mergeCells>
  <phoneticPr fontId="2" type="noConversion"/>
  <conditionalFormatting sqref="D43 B32 D32 F32 H32 J32 L32 N32 P32 R32 T32 B43 F43 H43 J43 L43 N43 P43 R43 T43">
    <cfRule type="cellIs" dxfId="5" priority="2" stopIfTrue="1" operator="lessThan">
      <formula>0</formula>
    </cfRule>
  </conditionalFormatting>
  <conditionalFormatting sqref="D43:E43">
    <cfRule type="cellIs" dxfId="4" priority="1" operator="lessThan">
      <formula>0</formula>
    </cfRule>
  </conditionalFormatting>
  <printOptions horizontalCentered="1" verticalCentered="1"/>
  <pageMargins left="0.5" right="0.5" top="0.5" bottom="0.5" header="0" footer="0"/>
  <pageSetup scale="77" orientation="landscape"/>
  <headerFooter>
    <oddFooter>&amp;L&amp;G</oddFooter>
  </headerFooter>
  <ignoredErrors>
    <ignoredError sqref="D9 N9 H30:H32 N45:N46 H28 D45:D46 F45:F46 H45:H46 J45:J46 L45:L46" formula="1"/>
    <ignoredError sqref="D33 N33" formula="1" unlockedFormula="1"/>
    <ignoredError sqref="D38 B38 N28 T37:T38 F19 D13 T22 F13 L22 D35 L8 J19 D28 N31:N32 D31:D32 F38 N35 T13 T19 J13 P37:P38 T8 H13 H38 H19 J38 L37:L38 N13 N37:N38 P8 P19 P13 P22 R8 R19 R13 R22 R37:R38 R17 P17 H17 T17 J17 F17" unlockedFormula="1"/>
  </ignoredErrors>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fitToPage="1"/>
  </sheetPr>
  <dimension ref="A1:I64"/>
  <sheetViews>
    <sheetView topLeftCell="A9" zoomScale="250" zoomScaleNormal="250" zoomScalePageLayoutView="160" workbookViewId="0">
      <selection activeCell="B23" sqref="B23"/>
    </sheetView>
  </sheetViews>
  <sheetFormatPr baseColWidth="10" defaultColWidth="8.83203125" defaultRowHeight="13" x14ac:dyDescent="0.15"/>
  <cols>
    <col min="1" max="1" width="32.1640625" style="180" bestFit="1" customWidth="1"/>
    <col min="2" max="2" width="22" style="180" bestFit="1" customWidth="1"/>
    <col min="3" max="3" width="16.6640625" style="179" customWidth="1"/>
    <col min="4" max="8" width="8.83203125" style="179"/>
    <col min="9" max="9" width="12.1640625" style="179" customWidth="1"/>
    <col min="10" max="16384" width="8.83203125" style="180"/>
  </cols>
  <sheetData>
    <row r="1" spans="1:9" hidden="1" x14ac:dyDescent="0.15">
      <c r="A1" s="422" t="s">
        <v>141</v>
      </c>
      <c r="B1" s="422"/>
    </row>
    <row r="2" spans="1:9" hidden="1" x14ac:dyDescent="0.15">
      <c r="A2" s="50" t="s">
        <v>143</v>
      </c>
      <c r="B2" s="181">
        <v>420000</v>
      </c>
    </row>
    <row r="3" spans="1:9" hidden="1" x14ac:dyDescent="0.15">
      <c r="A3" s="50" t="s">
        <v>142</v>
      </c>
      <c r="B3" s="182">
        <v>0.25</v>
      </c>
    </row>
    <row r="4" spans="1:9" hidden="1" x14ac:dyDescent="0.15">
      <c r="A4" s="50" t="s">
        <v>144</v>
      </c>
      <c r="B4" s="183">
        <f>B2*B3</f>
        <v>105000</v>
      </c>
    </row>
    <row r="5" spans="1:9" hidden="1" x14ac:dyDescent="0.15">
      <c r="A5" s="50" t="s">
        <v>145</v>
      </c>
      <c r="B5" s="184">
        <v>100</v>
      </c>
    </row>
    <row r="6" spans="1:9" hidden="1" x14ac:dyDescent="0.15">
      <c r="A6" s="50" t="s">
        <v>132</v>
      </c>
      <c r="B6" s="184">
        <f>B4/B5</f>
        <v>1050</v>
      </c>
    </row>
    <row r="7" spans="1:9" hidden="1" x14ac:dyDescent="0.15">
      <c r="A7" s="50"/>
      <c r="B7" s="184"/>
    </row>
    <row r="8" spans="1:9" hidden="1" x14ac:dyDescent="0.15">
      <c r="A8" s="179"/>
      <c r="B8" s="184"/>
    </row>
    <row r="9" spans="1:9" ht="14" x14ac:dyDescent="0.15">
      <c r="A9" s="425" t="s">
        <v>135</v>
      </c>
      <c r="B9" s="425"/>
    </row>
    <row r="10" spans="1:9" ht="14" x14ac:dyDescent="0.15">
      <c r="A10" s="185" t="s">
        <v>139</v>
      </c>
      <c r="B10" s="186">
        <v>4700</v>
      </c>
      <c r="D10" s="424" t="s">
        <v>146</v>
      </c>
      <c r="E10" s="424"/>
      <c r="F10" s="424"/>
      <c r="G10" s="424"/>
      <c r="H10" s="424"/>
      <c r="I10" s="424"/>
    </row>
    <row r="11" spans="1:9" ht="14" x14ac:dyDescent="0.15">
      <c r="A11" s="187" t="s">
        <v>132</v>
      </c>
      <c r="B11" s="187" t="s">
        <v>133</v>
      </c>
    </row>
    <row r="12" spans="1:9" x14ac:dyDescent="0.15">
      <c r="A12" s="188">
        <f>0.5*B10</f>
        <v>2350</v>
      </c>
      <c r="B12" s="189">
        <v>525</v>
      </c>
      <c r="D12" s="424" t="s">
        <v>147</v>
      </c>
      <c r="E12" s="424"/>
      <c r="F12" s="424"/>
      <c r="G12" s="424"/>
      <c r="H12" s="424"/>
      <c r="I12" s="424"/>
    </row>
    <row r="13" spans="1:9" x14ac:dyDescent="0.15">
      <c r="A13" s="190">
        <v>0</v>
      </c>
      <c r="B13" s="191"/>
      <c r="D13" s="424"/>
      <c r="E13" s="424"/>
      <c r="F13" s="424"/>
      <c r="G13" s="424"/>
      <c r="H13" s="424"/>
      <c r="I13" s="424"/>
    </row>
    <row r="14" spans="1:9" x14ac:dyDescent="0.15">
      <c r="A14" s="192">
        <v>0</v>
      </c>
      <c r="B14" s="193"/>
      <c r="D14" s="424"/>
      <c r="E14" s="424"/>
      <c r="F14" s="424"/>
      <c r="G14" s="424"/>
      <c r="H14" s="424"/>
      <c r="I14" s="424"/>
    </row>
    <row r="15" spans="1:9" ht="28" x14ac:dyDescent="0.15">
      <c r="A15" s="194" t="s">
        <v>131</v>
      </c>
      <c r="B15" s="195" t="s">
        <v>134</v>
      </c>
    </row>
    <row r="16" spans="1:9" x14ac:dyDescent="0.15">
      <c r="A16" s="196">
        <f>B10-(SUM('Peanut Price Calculator'!A12:A14))</f>
        <v>2350</v>
      </c>
      <c r="B16" s="197">
        <v>500</v>
      </c>
      <c r="D16" s="424" t="s">
        <v>148</v>
      </c>
      <c r="E16" s="424"/>
      <c r="F16" s="424"/>
      <c r="G16" s="424"/>
      <c r="H16" s="424"/>
      <c r="I16" s="424"/>
    </row>
    <row r="17" spans="1:9" ht="14" x14ac:dyDescent="0.15">
      <c r="A17" s="198" t="s">
        <v>137</v>
      </c>
      <c r="B17" s="199">
        <f>(A12/(SUM(A12:A14,A16:A16))*B12+A13/(SUM(A12:A14,A16:A16))*B13+A14/(SUM(A12:A14,A16:A16))*B14+A16/(SUM(A12:A14,A16:A16))*B16)</f>
        <v>512.5</v>
      </c>
    </row>
    <row r="18" spans="1:9" x14ac:dyDescent="0.15">
      <c r="A18" s="200"/>
      <c r="B18" s="201"/>
    </row>
    <row r="19" spans="1:9" s="179" customFormat="1" x14ac:dyDescent="0.15"/>
    <row r="20" spans="1:9" s="179" customFormat="1" x14ac:dyDescent="0.15">
      <c r="A20" s="423" t="s">
        <v>138</v>
      </c>
      <c r="B20" s="423"/>
    </row>
    <row r="21" spans="1:9" s="179" customFormat="1" ht="14" x14ac:dyDescent="0.15">
      <c r="A21" s="185" t="s">
        <v>140</v>
      </c>
      <c r="B21" s="202">
        <v>3400</v>
      </c>
      <c r="D21" s="424" t="s">
        <v>149</v>
      </c>
      <c r="E21" s="424"/>
      <c r="F21" s="424"/>
      <c r="G21" s="424"/>
      <c r="H21" s="424"/>
      <c r="I21" s="424"/>
    </row>
    <row r="22" spans="1:9" s="179" customFormat="1" ht="14" x14ac:dyDescent="0.15">
      <c r="A22" s="187" t="s">
        <v>132</v>
      </c>
      <c r="B22" s="187" t="s">
        <v>133</v>
      </c>
    </row>
    <row r="23" spans="1:9" s="179" customFormat="1" x14ac:dyDescent="0.15">
      <c r="A23" s="203">
        <f>0.5*B21</f>
        <v>1700</v>
      </c>
      <c r="B23" s="204">
        <f>B12</f>
        <v>525</v>
      </c>
      <c r="D23" s="424" t="s">
        <v>150</v>
      </c>
      <c r="E23" s="424"/>
      <c r="F23" s="424"/>
      <c r="G23" s="424"/>
      <c r="H23" s="424"/>
      <c r="I23" s="424"/>
    </row>
    <row r="24" spans="1:9" s="179" customFormat="1" x14ac:dyDescent="0.15">
      <c r="A24" s="205">
        <v>0</v>
      </c>
      <c r="B24" s="206"/>
      <c r="D24" s="424"/>
      <c r="E24" s="424"/>
      <c r="F24" s="424"/>
      <c r="G24" s="424"/>
      <c r="H24" s="424"/>
      <c r="I24" s="424"/>
    </row>
    <row r="25" spans="1:9" s="179" customFormat="1" x14ac:dyDescent="0.15">
      <c r="A25" s="207">
        <v>0</v>
      </c>
      <c r="B25" s="208"/>
      <c r="D25" s="424"/>
      <c r="E25" s="424"/>
      <c r="F25" s="424"/>
      <c r="G25" s="424"/>
      <c r="H25" s="424"/>
      <c r="I25" s="424"/>
    </row>
    <row r="26" spans="1:9" s="179" customFormat="1" ht="28" x14ac:dyDescent="0.15">
      <c r="A26" s="194" t="s">
        <v>131</v>
      </c>
      <c r="B26" s="195" t="s">
        <v>134</v>
      </c>
    </row>
    <row r="27" spans="1:9" s="179" customFormat="1" ht="15.75" customHeight="1" x14ac:dyDescent="0.15">
      <c r="A27" s="196">
        <f>B21-(SUM('Peanut Price Calculator'!A23:A25))</f>
        <v>1700</v>
      </c>
      <c r="B27" s="209">
        <v>500</v>
      </c>
      <c r="D27" s="421" t="s">
        <v>151</v>
      </c>
      <c r="E27" s="421"/>
      <c r="F27" s="421"/>
      <c r="G27" s="421"/>
      <c r="H27" s="421"/>
      <c r="I27" s="421"/>
    </row>
    <row r="28" spans="1:9" s="179" customFormat="1" ht="14" x14ac:dyDescent="0.15">
      <c r="A28" s="198" t="s">
        <v>136</v>
      </c>
      <c r="B28" s="199">
        <f>(A23/(SUM(A23:A25,A27:A27))*B23+A24/(SUM(A23:A25,A27:A27))*B24+A25/(SUM(A23:A25,A27:A27))*B25+A27/(SUM(A23:A25,A27:A27))*B27)</f>
        <v>512.5</v>
      </c>
      <c r="D28" s="421"/>
      <c r="E28" s="421"/>
      <c r="F28" s="421"/>
      <c r="G28" s="421"/>
      <c r="H28" s="421"/>
      <c r="I28" s="421"/>
    </row>
    <row r="29" spans="1:9" s="179" customFormat="1" x14ac:dyDescent="0.15"/>
    <row r="30" spans="1:9" s="179" customFormat="1" x14ac:dyDescent="0.15"/>
    <row r="31" spans="1:9" s="179" customFormat="1" x14ac:dyDescent="0.15"/>
    <row r="32" spans="1:9" s="179" customFormat="1" x14ac:dyDescent="0.15"/>
    <row r="33" s="179" customFormat="1" x14ac:dyDescent="0.15"/>
    <row r="34" s="179" customFormat="1" x14ac:dyDescent="0.15"/>
    <row r="35" s="179" customFormat="1" x14ac:dyDescent="0.15"/>
    <row r="36" s="179" customFormat="1" x14ac:dyDescent="0.15"/>
    <row r="37" s="179" customFormat="1" x14ac:dyDescent="0.15"/>
    <row r="38" s="179" customFormat="1" x14ac:dyDescent="0.15"/>
    <row r="39" s="179" customFormat="1" x14ac:dyDescent="0.15"/>
    <row r="40" s="179" customFormat="1" x14ac:dyDescent="0.15"/>
    <row r="41" s="179" customFormat="1" x14ac:dyDescent="0.15"/>
    <row r="42" s="179" customFormat="1" x14ac:dyDescent="0.15"/>
    <row r="43" s="179" customFormat="1" x14ac:dyDescent="0.15"/>
    <row r="44" s="179" customFormat="1" x14ac:dyDescent="0.15"/>
    <row r="45" s="179" customFormat="1" x14ac:dyDescent="0.15"/>
    <row r="46" s="179" customFormat="1" x14ac:dyDescent="0.15"/>
    <row r="47" s="179" customFormat="1" x14ac:dyDescent="0.15"/>
    <row r="48" s="179" customFormat="1" x14ac:dyDescent="0.15"/>
    <row r="49" s="179" customFormat="1" x14ac:dyDescent="0.15"/>
    <row r="50" s="179" customFormat="1" x14ac:dyDescent="0.15"/>
    <row r="51" s="179" customFormat="1" x14ac:dyDescent="0.15"/>
    <row r="52" s="179" customFormat="1" x14ac:dyDescent="0.15"/>
    <row r="53" s="179" customFormat="1" x14ac:dyDescent="0.15"/>
    <row r="54" s="179" customFormat="1" x14ac:dyDescent="0.15"/>
    <row r="55" s="179" customFormat="1" x14ac:dyDescent="0.15"/>
    <row r="56" s="179" customFormat="1" x14ac:dyDescent="0.15"/>
    <row r="57" s="179" customFormat="1" x14ac:dyDescent="0.15"/>
    <row r="58" s="179" customFormat="1" x14ac:dyDescent="0.15"/>
    <row r="59" s="179" customFormat="1" x14ac:dyDescent="0.15"/>
    <row r="60" s="179" customFormat="1" x14ac:dyDescent="0.15"/>
    <row r="61" s="179" customFormat="1" x14ac:dyDescent="0.15"/>
    <row r="62" s="179" customFormat="1" x14ac:dyDescent="0.15"/>
    <row r="63" s="179" customFormat="1" x14ac:dyDescent="0.15"/>
    <row r="64" s="179" customFormat="1" x14ac:dyDescent="0.15"/>
  </sheetData>
  <sheetProtection sheet="1" objects="1" scenarios="1"/>
  <mergeCells count="9">
    <mergeCell ref="D27:I28"/>
    <mergeCell ref="A1:B1"/>
    <mergeCell ref="A20:B20"/>
    <mergeCell ref="D23:I25"/>
    <mergeCell ref="A9:B9"/>
    <mergeCell ref="D16:I16"/>
    <mergeCell ref="D12:I14"/>
    <mergeCell ref="D10:I10"/>
    <mergeCell ref="D21:I21"/>
  </mergeCells>
  <phoneticPr fontId="2" type="noConversion"/>
  <pageMargins left="0.7" right="0.7" top="0.75" bottom="0.75" header="0.3" footer="0.3"/>
  <pageSetup scale="90" orientation="landscape" r:id="rId1"/>
  <headerFooter>
    <oddFooter>&amp;LCalculator created by A.R. Smith, UGA Extension Economist&amp;C&amp;G&amp;RAg and Applied Economics, 11/2021</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S46"/>
  <sheetViews>
    <sheetView zoomScale="150" zoomScaleNormal="150" zoomScalePageLayoutView="150" workbookViewId="0">
      <selection activeCell="D3" sqref="D3"/>
    </sheetView>
  </sheetViews>
  <sheetFormatPr baseColWidth="10" defaultColWidth="8.83203125" defaultRowHeight="14" x14ac:dyDescent="0.2"/>
  <cols>
    <col min="1" max="1" width="7.33203125" style="91" customWidth="1"/>
    <col min="2" max="2" width="15.6640625" style="91" bestFit="1" customWidth="1"/>
    <col min="3" max="3" width="6.33203125" style="91" customWidth="1"/>
    <col min="4" max="4" width="15.83203125" style="91" bestFit="1" customWidth="1"/>
    <col min="5" max="5" width="6.33203125" style="91" customWidth="1"/>
    <col min="6" max="6" width="14" style="91" bestFit="1" customWidth="1"/>
    <col min="7" max="7" width="7" style="91" customWidth="1"/>
    <col min="8" max="8" width="15.83203125" style="91" bestFit="1" customWidth="1"/>
    <col min="9" max="9" width="8.5" style="91" customWidth="1"/>
    <col min="10" max="21" width="8.83203125" style="91" customWidth="1"/>
    <col min="22" max="16384" width="8.83203125" style="91"/>
  </cols>
  <sheetData>
    <row r="1" spans="1:19" ht="30" customHeight="1" x14ac:dyDescent="0.2">
      <c r="A1" s="426" t="s">
        <v>118</v>
      </c>
      <c r="B1" s="427"/>
      <c r="C1" s="427"/>
      <c r="D1" s="427"/>
      <c r="E1" s="427"/>
      <c r="F1" s="427"/>
      <c r="G1" s="427"/>
      <c r="H1" s="427"/>
      <c r="I1" s="428"/>
      <c r="J1" s="90"/>
      <c r="K1" s="90"/>
      <c r="L1" s="90"/>
      <c r="M1" s="90"/>
      <c r="N1" s="90"/>
      <c r="O1" s="90"/>
      <c r="P1" s="90"/>
      <c r="Q1" s="90"/>
      <c r="R1" s="90"/>
      <c r="S1" s="90"/>
    </row>
    <row r="2" spans="1:19" ht="30" customHeight="1" thickBot="1" x14ac:dyDescent="0.25">
      <c r="A2" s="429" t="s">
        <v>117</v>
      </c>
      <c r="B2" s="430"/>
      <c r="C2" s="430"/>
      <c r="D2" s="430"/>
      <c r="E2" s="430"/>
      <c r="F2" s="430"/>
      <c r="G2" s="430"/>
      <c r="H2" s="430"/>
      <c r="I2" s="431"/>
      <c r="J2" s="90"/>
      <c r="K2" s="90"/>
      <c r="L2" s="90"/>
      <c r="M2" s="90"/>
      <c r="N2" s="90"/>
      <c r="O2" s="90"/>
      <c r="P2" s="90"/>
      <c r="Q2" s="90"/>
      <c r="R2" s="90"/>
      <c r="S2" s="90"/>
    </row>
    <row r="3" spans="1:19" s="169" customFormat="1" ht="30" customHeight="1" thickBot="1" x14ac:dyDescent="0.2">
      <c r="A3" s="162"/>
      <c r="B3" s="163" t="s">
        <v>105</v>
      </c>
      <c r="C3" s="164"/>
      <c r="D3" s="165" t="s">
        <v>108</v>
      </c>
      <c r="E3" s="164"/>
      <c r="F3" s="166" t="s">
        <v>111</v>
      </c>
      <c r="G3" s="164"/>
      <c r="H3" s="167" t="s">
        <v>114</v>
      </c>
      <c r="I3" s="168"/>
      <c r="J3" s="164"/>
      <c r="K3" s="164"/>
      <c r="L3" s="164"/>
      <c r="M3" s="164"/>
      <c r="N3" s="164"/>
      <c r="O3" s="164"/>
      <c r="P3" s="164"/>
      <c r="Q3" s="164"/>
      <c r="R3" s="164"/>
      <c r="S3" s="164"/>
    </row>
    <row r="4" spans="1:19" s="173" customFormat="1" ht="15" thickBot="1" x14ac:dyDescent="0.2">
      <c r="A4" s="170"/>
      <c r="B4" s="164"/>
      <c r="C4" s="164"/>
      <c r="D4" s="164"/>
      <c r="E4" s="164"/>
      <c r="F4" s="164"/>
      <c r="G4" s="164"/>
      <c r="H4" s="164"/>
      <c r="I4" s="171"/>
      <c r="J4" s="172"/>
      <c r="K4" s="172"/>
      <c r="L4" s="172"/>
      <c r="M4" s="172"/>
      <c r="N4" s="172"/>
      <c r="O4" s="172"/>
      <c r="P4" s="172"/>
      <c r="Q4" s="172"/>
      <c r="R4" s="172"/>
      <c r="S4" s="172"/>
    </row>
    <row r="5" spans="1:19" s="169" customFormat="1" ht="30" customHeight="1" thickBot="1" x14ac:dyDescent="0.2">
      <c r="A5" s="162"/>
      <c r="B5" s="163" t="s">
        <v>106</v>
      </c>
      <c r="C5" s="164"/>
      <c r="D5" s="165" t="s">
        <v>109</v>
      </c>
      <c r="E5" s="164"/>
      <c r="F5" s="166" t="s">
        <v>112</v>
      </c>
      <c r="G5" s="164"/>
      <c r="H5" s="167" t="s">
        <v>115</v>
      </c>
      <c r="I5" s="168"/>
      <c r="J5" s="164"/>
      <c r="K5" s="164"/>
      <c r="L5" s="164"/>
      <c r="M5" s="164"/>
      <c r="N5" s="164"/>
      <c r="O5" s="164"/>
      <c r="P5" s="164"/>
      <c r="Q5" s="164"/>
      <c r="R5" s="164"/>
      <c r="S5" s="164"/>
    </row>
    <row r="6" spans="1:19" s="173" customFormat="1" ht="15" thickBot="1" x14ac:dyDescent="0.2">
      <c r="A6" s="170"/>
      <c r="B6" s="164"/>
      <c r="C6" s="164"/>
      <c r="D6" s="164"/>
      <c r="E6" s="164"/>
      <c r="F6" s="164"/>
      <c r="G6" s="164"/>
      <c r="H6" s="164"/>
      <c r="I6" s="171"/>
      <c r="J6" s="172"/>
      <c r="K6" s="172"/>
      <c r="L6" s="172"/>
      <c r="M6" s="172"/>
      <c r="N6" s="172"/>
      <c r="O6" s="172"/>
      <c r="P6" s="172"/>
      <c r="Q6" s="172"/>
      <c r="R6" s="172"/>
      <c r="S6" s="172"/>
    </row>
    <row r="7" spans="1:19" s="169" customFormat="1" ht="30" customHeight="1" thickBot="1" x14ac:dyDescent="0.2">
      <c r="A7" s="162"/>
      <c r="B7" s="163" t="s">
        <v>107</v>
      </c>
      <c r="C7" s="164"/>
      <c r="D7" s="165" t="s">
        <v>110</v>
      </c>
      <c r="E7" s="164"/>
      <c r="F7" s="166" t="s">
        <v>113</v>
      </c>
      <c r="G7" s="164"/>
      <c r="H7" s="167" t="s">
        <v>116</v>
      </c>
      <c r="I7" s="168"/>
      <c r="J7" s="164"/>
      <c r="K7" s="164"/>
      <c r="L7" s="164"/>
      <c r="M7" s="164"/>
      <c r="N7" s="164"/>
      <c r="O7" s="164"/>
      <c r="P7" s="164"/>
      <c r="Q7" s="164"/>
      <c r="R7" s="164"/>
      <c r="S7" s="164"/>
    </row>
    <row r="8" spans="1:19" ht="30" customHeight="1" thickBot="1" x14ac:dyDescent="0.25">
      <c r="A8" s="174"/>
      <c r="B8" s="175"/>
      <c r="C8" s="175"/>
      <c r="D8" s="175"/>
      <c r="E8" s="175"/>
      <c r="F8" s="175"/>
      <c r="G8" s="175"/>
      <c r="H8" s="175"/>
      <c r="I8" s="176"/>
      <c r="J8" s="90"/>
      <c r="K8" s="90"/>
      <c r="L8" s="90"/>
      <c r="M8" s="90"/>
      <c r="N8" s="90"/>
      <c r="O8" s="90"/>
      <c r="P8" s="90"/>
      <c r="Q8" s="90"/>
      <c r="R8" s="90"/>
      <c r="S8" s="90"/>
    </row>
    <row r="9" spans="1:19" ht="6" customHeight="1" x14ac:dyDescent="0.2">
      <c r="A9" s="90"/>
      <c r="B9" s="90"/>
      <c r="C9" s="90"/>
      <c r="D9" s="90"/>
      <c r="E9" s="90"/>
      <c r="F9" s="90"/>
      <c r="G9" s="90"/>
      <c r="H9" s="90"/>
      <c r="I9" s="90"/>
      <c r="J9" s="90"/>
      <c r="K9" s="90"/>
      <c r="L9" s="90"/>
      <c r="M9" s="90"/>
      <c r="N9" s="90"/>
      <c r="O9" s="90"/>
      <c r="P9" s="90"/>
      <c r="Q9" s="90"/>
      <c r="R9" s="90"/>
      <c r="S9" s="90"/>
    </row>
    <row r="10" spans="1:19" ht="6.5" customHeight="1" thickBot="1" x14ac:dyDescent="0.25">
      <c r="A10" s="90"/>
      <c r="B10" s="90"/>
      <c r="C10" s="90"/>
      <c r="D10" s="90"/>
      <c r="E10" s="90"/>
      <c r="F10" s="90"/>
      <c r="G10" s="90"/>
      <c r="H10" s="90"/>
      <c r="I10" s="90"/>
      <c r="J10" s="90"/>
      <c r="K10" s="90"/>
      <c r="L10" s="90"/>
      <c r="M10" s="90"/>
      <c r="N10" s="90"/>
      <c r="O10" s="90"/>
      <c r="P10" s="90"/>
      <c r="Q10" s="90"/>
      <c r="R10" s="90"/>
      <c r="S10" s="90"/>
    </row>
    <row r="11" spans="1:19" ht="30" customHeight="1" x14ac:dyDescent="0.2">
      <c r="A11" s="426" t="s">
        <v>119</v>
      </c>
      <c r="B11" s="427"/>
      <c r="C11" s="427"/>
      <c r="D11" s="427"/>
      <c r="E11" s="427"/>
      <c r="F11" s="427"/>
      <c r="G11" s="427"/>
      <c r="H11" s="427"/>
      <c r="I11" s="428"/>
      <c r="J11" s="90"/>
      <c r="K11" s="90"/>
      <c r="L11" s="90"/>
      <c r="M11" s="90"/>
      <c r="N11" s="90"/>
      <c r="O11" s="90"/>
      <c r="P11" s="90"/>
      <c r="Q11" s="90"/>
      <c r="R11" s="90"/>
      <c r="S11" s="90"/>
    </row>
    <row r="12" spans="1:19" ht="30" customHeight="1" thickBot="1" x14ac:dyDescent="0.25">
      <c r="A12" s="429" t="s">
        <v>117</v>
      </c>
      <c r="B12" s="430"/>
      <c r="C12" s="430"/>
      <c r="D12" s="430"/>
      <c r="E12" s="430"/>
      <c r="F12" s="430"/>
      <c r="G12" s="430"/>
      <c r="H12" s="430"/>
      <c r="I12" s="431"/>
      <c r="J12" s="90"/>
      <c r="K12" s="90"/>
      <c r="L12" s="90"/>
      <c r="M12" s="90"/>
      <c r="N12" s="90"/>
      <c r="O12" s="90"/>
      <c r="P12" s="90"/>
      <c r="Q12" s="90"/>
      <c r="R12" s="90"/>
      <c r="S12" s="90"/>
    </row>
    <row r="13" spans="1:19" s="178" customFormat="1" ht="30" customHeight="1" thickBot="1" x14ac:dyDescent="0.2">
      <c r="A13" s="162"/>
      <c r="B13" s="163" t="s">
        <v>105</v>
      </c>
      <c r="C13" s="164"/>
      <c r="D13" s="165" t="s">
        <v>108</v>
      </c>
      <c r="E13" s="164"/>
      <c r="F13" s="166" t="s">
        <v>111</v>
      </c>
      <c r="G13" s="164"/>
      <c r="H13" s="167" t="s">
        <v>114</v>
      </c>
      <c r="I13" s="168"/>
      <c r="J13" s="177"/>
      <c r="K13" s="177"/>
      <c r="L13" s="177"/>
      <c r="M13" s="177"/>
      <c r="N13" s="177"/>
      <c r="O13" s="177"/>
      <c r="P13" s="177"/>
      <c r="Q13" s="177"/>
      <c r="R13" s="177"/>
      <c r="S13" s="177"/>
    </row>
    <row r="14" spans="1:19" s="178" customFormat="1" ht="15" thickBot="1" x14ac:dyDescent="0.2">
      <c r="A14" s="162"/>
      <c r="B14" s="164"/>
      <c r="C14" s="164"/>
      <c r="D14" s="164"/>
      <c r="E14" s="164"/>
      <c r="F14" s="164"/>
      <c r="G14" s="164"/>
      <c r="H14" s="164"/>
      <c r="I14" s="168"/>
      <c r="J14" s="177"/>
      <c r="K14" s="177"/>
      <c r="L14" s="177"/>
      <c r="M14" s="177"/>
      <c r="N14" s="177"/>
      <c r="O14" s="177"/>
      <c r="P14" s="177"/>
      <c r="Q14" s="177"/>
      <c r="R14" s="177"/>
      <c r="S14" s="177"/>
    </row>
    <row r="15" spans="1:19" s="178" customFormat="1" ht="30" customHeight="1" thickBot="1" x14ac:dyDescent="0.2">
      <c r="A15" s="162"/>
      <c r="B15" s="163" t="s">
        <v>106</v>
      </c>
      <c r="C15" s="164"/>
      <c r="D15" s="165" t="s">
        <v>109</v>
      </c>
      <c r="E15" s="164"/>
      <c r="F15" s="166" t="s">
        <v>112</v>
      </c>
      <c r="G15" s="164"/>
      <c r="H15" s="167" t="s">
        <v>115</v>
      </c>
      <c r="I15" s="168"/>
      <c r="J15" s="177"/>
      <c r="K15" s="177"/>
      <c r="L15" s="177"/>
      <c r="M15" s="177"/>
      <c r="N15" s="177"/>
      <c r="O15" s="177"/>
      <c r="P15" s="177"/>
      <c r="Q15" s="177"/>
      <c r="R15" s="177"/>
      <c r="S15" s="177"/>
    </row>
    <row r="16" spans="1:19" s="178" customFormat="1" ht="15" thickBot="1" x14ac:dyDescent="0.2">
      <c r="A16" s="162"/>
      <c r="B16" s="164"/>
      <c r="C16" s="164"/>
      <c r="D16" s="164"/>
      <c r="E16" s="164"/>
      <c r="F16" s="164"/>
      <c r="G16" s="164"/>
      <c r="H16" s="164"/>
      <c r="I16" s="168"/>
      <c r="J16" s="177"/>
      <c r="K16" s="177"/>
      <c r="L16" s="177"/>
      <c r="M16" s="177"/>
      <c r="N16" s="177"/>
      <c r="O16" s="177"/>
      <c r="P16" s="177"/>
      <c r="Q16" s="177"/>
      <c r="R16" s="177"/>
      <c r="S16" s="177"/>
    </row>
    <row r="17" spans="1:19" s="178" customFormat="1" ht="30" customHeight="1" thickBot="1" x14ac:dyDescent="0.2">
      <c r="A17" s="162"/>
      <c r="B17" s="163" t="s">
        <v>107</v>
      </c>
      <c r="C17" s="164"/>
      <c r="D17" s="165" t="s">
        <v>110</v>
      </c>
      <c r="E17" s="164"/>
      <c r="F17" s="166" t="s">
        <v>113</v>
      </c>
      <c r="G17" s="164"/>
      <c r="H17" s="167" t="s">
        <v>116</v>
      </c>
      <c r="I17" s="168"/>
      <c r="J17" s="177"/>
      <c r="K17" s="177"/>
      <c r="L17" s="177"/>
      <c r="M17" s="177"/>
      <c r="N17" s="177"/>
      <c r="O17" s="177"/>
      <c r="P17" s="177"/>
      <c r="Q17" s="177"/>
      <c r="R17" s="177"/>
      <c r="S17" s="177"/>
    </row>
    <row r="18" spans="1:19" ht="30" customHeight="1" thickBot="1" x14ac:dyDescent="0.25">
      <c r="A18" s="174"/>
      <c r="B18" s="175"/>
      <c r="C18" s="175"/>
      <c r="D18" s="175"/>
      <c r="E18" s="175"/>
      <c r="F18" s="175"/>
      <c r="G18" s="175"/>
      <c r="H18" s="175"/>
      <c r="I18" s="176"/>
      <c r="J18" s="90"/>
      <c r="K18" s="90"/>
      <c r="L18" s="90"/>
      <c r="M18" s="90"/>
      <c r="N18" s="90"/>
      <c r="O18" s="90"/>
      <c r="P18" s="90"/>
      <c r="Q18" s="90"/>
      <c r="R18" s="90"/>
      <c r="S18" s="90"/>
    </row>
    <row r="19" spans="1:19" x14ac:dyDescent="0.2">
      <c r="A19" s="90"/>
      <c r="B19" s="90"/>
      <c r="C19" s="90"/>
      <c r="D19" s="90"/>
      <c r="E19" s="90"/>
      <c r="F19" s="90"/>
      <c r="G19" s="90"/>
      <c r="H19" s="90"/>
      <c r="I19" s="90"/>
      <c r="J19" s="90"/>
      <c r="K19" s="90"/>
      <c r="L19" s="90"/>
      <c r="M19" s="90"/>
      <c r="N19" s="90"/>
      <c r="O19" s="90"/>
      <c r="P19" s="90"/>
      <c r="Q19" s="90"/>
      <c r="R19" s="90"/>
      <c r="S19" s="90"/>
    </row>
    <row r="20" spans="1:19" x14ac:dyDescent="0.2">
      <c r="A20" s="90"/>
      <c r="B20" s="90"/>
      <c r="C20" s="90"/>
      <c r="D20" s="90"/>
      <c r="E20" s="90"/>
      <c r="F20" s="90"/>
      <c r="G20" s="90"/>
      <c r="H20" s="90"/>
      <c r="I20" s="90"/>
      <c r="J20" s="90"/>
      <c r="K20" s="90"/>
      <c r="L20" s="90"/>
      <c r="M20" s="90"/>
      <c r="N20" s="90"/>
      <c r="O20" s="90"/>
      <c r="P20" s="90"/>
      <c r="Q20" s="90"/>
      <c r="R20" s="90"/>
      <c r="S20" s="90"/>
    </row>
    <row r="21" spans="1:19" x14ac:dyDescent="0.2">
      <c r="A21" s="90"/>
      <c r="B21" s="90"/>
      <c r="C21" s="90"/>
      <c r="D21" s="90"/>
      <c r="E21" s="90"/>
      <c r="F21" s="90"/>
      <c r="G21" s="90"/>
      <c r="H21" s="90"/>
      <c r="I21" s="90"/>
      <c r="J21" s="90"/>
      <c r="K21" s="90"/>
      <c r="L21" s="90"/>
      <c r="M21" s="90"/>
      <c r="N21" s="90"/>
      <c r="O21" s="90"/>
      <c r="P21" s="90"/>
      <c r="Q21" s="90"/>
      <c r="R21" s="90"/>
      <c r="S21" s="90"/>
    </row>
    <row r="22" spans="1:19" x14ac:dyDescent="0.2">
      <c r="A22" s="90"/>
      <c r="B22" s="90"/>
      <c r="C22" s="90"/>
      <c r="D22" s="90"/>
      <c r="E22" s="90"/>
      <c r="F22" s="90"/>
      <c r="G22" s="90"/>
      <c r="H22" s="90"/>
      <c r="I22" s="90"/>
      <c r="J22" s="90"/>
      <c r="K22" s="90"/>
      <c r="L22" s="90"/>
      <c r="M22" s="90"/>
      <c r="N22" s="90"/>
      <c r="O22" s="90"/>
      <c r="P22" s="90"/>
      <c r="Q22" s="90"/>
      <c r="R22" s="90"/>
      <c r="S22" s="90"/>
    </row>
    <row r="23" spans="1:19" x14ac:dyDescent="0.2">
      <c r="A23" s="90"/>
      <c r="B23" s="90"/>
      <c r="C23" s="90"/>
      <c r="D23" s="90"/>
      <c r="E23" s="90"/>
      <c r="F23" s="90"/>
      <c r="G23" s="90"/>
      <c r="H23" s="90"/>
      <c r="I23" s="90"/>
      <c r="J23" s="90"/>
      <c r="K23" s="90"/>
      <c r="L23" s="90"/>
      <c r="M23" s="90"/>
      <c r="N23" s="90"/>
      <c r="O23" s="90"/>
      <c r="P23" s="90"/>
      <c r="Q23" s="90"/>
      <c r="R23" s="90"/>
      <c r="S23" s="90"/>
    </row>
    <row r="24" spans="1:19" x14ac:dyDescent="0.2">
      <c r="A24" s="90"/>
      <c r="B24" s="90"/>
      <c r="C24" s="90"/>
      <c r="D24" s="90"/>
      <c r="E24" s="90"/>
      <c r="F24" s="90"/>
      <c r="G24" s="90"/>
      <c r="H24" s="90"/>
      <c r="I24" s="90"/>
      <c r="J24" s="90"/>
      <c r="K24" s="90"/>
      <c r="L24" s="90"/>
      <c r="M24" s="90"/>
      <c r="N24" s="90"/>
      <c r="O24" s="90"/>
      <c r="P24" s="90"/>
      <c r="Q24" s="90"/>
      <c r="R24" s="90"/>
      <c r="S24" s="90"/>
    </row>
    <row r="25" spans="1:19" x14ac:dyDescent="0.2">
      <c r="A25" s="90"/>
      <c r="B25" s="90"/>
      <c r="C25" s="90"/>
      <c r="D25" s="90"/>
      <c r="E25" s="90"/>
      <c r="F25" s="90"/>
      <c r="G25" s="90"/>
      <c r="H25" s="90"/>
      <c r="I25" s="90"/>
      <c r="J25" s="90"/>
      <c r="K25" s="90"/>
      <c r="L25" s="90"/>
      <c r="M25" s="90"/>
      <c r="N25" s="90"/>
      <c r="O25" s="90"/>
      <c r="P25" s="90"/>
      <c r="Q25" s="90"/>
      <c r="R25" s="90"/>
      <c r="S25" s="90"/>
    </row>
    <row r="26" spans="1:19" x14ac:dyDescent="0.2">
      <c r="A26" s="90"/>
      <c r="B26" s="90"/>
      <c r="C26" s="90"/>
      <c r="D26" s="90"/>
      <c r="E26" s="90"/>
      <c r="F26" s="90"/>
      <c r="G26" s="90"/>
      <c r="H26" s="90"/>
      <c r="I26" s="90"/>
      <c r="J26" s="90"/>
      <c r="K26" s="90"/>
      <c r="L26" s="90"/>
      <c r="M26" s="90"/>
      <c r="N26" s="90"/>
      <c r="O26" s="90"/>
      <c r="P26" s="90"/>
      <c r="Q26" s="90"/>
      <c r="R26" s="90"/>
      <c r="S26" s="90"/>
    </row>
    <row r="27" spans="1:19" x14ac:dyDescent="0.2">
      <c r="A27" s="90"/>
      <c r="B27" s="90"/>
      <c r="C27" s="90"/>
      <c r="D27" s="90"/>
      <c r="E27" s="90"/>
      <c r="F27" s="90"/>
      <c r="G27" s="90"/>
      <c r="H27" s="90"/>
      <c r="I27" s="90"/>
      <c r="J27" s="90"/>
      <c r="K27" s="90"/>
      <c r="L27" s="90"/>
      <c r="M27" s="90"/>
      <c r="N27" s="90"/>
      <c r="O27" s="90"/>
      <c r="P27" s="90"/>
      <c r="Q27" s="90"/>
      <c r="R27" s="90"/>
      <c r="S27" s="90"/>
    </row>
    <row r="28" spans="1:19" x14ac:dyDescent="0.2">
      <c r="A28" s="90"/>
      <c r="B28" s="90"/>
      <c r="C28" s="90"/>
      <c r="D28" s="90"/>
      <c r="E28" s="90"/>
      <c r="F28" s="90"/>
      <c r="G28" s="90"/>
      <c r="H28" s="90"/>
      <c r="I28" s="90"/>
      <c r="J28" s="90"/>
      <c r="K28" s="90"/>
      <c r="L28" s="90"/>
      <c r="M28" s="90"/>
      <c r="N28" s="90"/>
      <c r="O28" s="90"/>
      <c r="P28" s="90"/>
      <c r="Q28" s="90"/>
      <c r="R28" s="90"/>
      <c r="S28" s="90"/>
    </row>
    <row r="29" spans="1:19" x14ac:dyDescent="0.2">
      <c r="A29" s="90"/>
      <c r="B29" s="90"/>
      <c r="C29" s="90"/>
      <c r="D29" s="90"/>
      <c r="E29" s="90"/>
      <c r="F29" s="90"/>
      <c r="G29" s="90"/>
      <c r="H29" s="90"/>
      <c r="I29" s="90"/>
      <c r="J29" s="90"/>
      <c r="K29" s="90"/>
      <c r="L29" s="90"/>
      <c r="M29" s="90"/>
      <c r="N29" s="90"/>
      <c r="O29" s="90"/>
      <c r="P29" s="90"/>
      <c r="Q29" s="90"/>
      <c r="R29" s="90"/>
      <c r="S29" s="90"/>
    </row>
    <row r="30" spans="1:19" x14ac:dyDescent="0.2">
      <c r="A30" s="90"/>
      <c r="B30" s="90"/>
      <c r="C30" s="90"/>
      <c r="D30" s="90"/>
      <c r="E30" s="90"/>
      <c r="F30" s="90"/>
      <c r="G30" s="90"/>
      <c r="H30" s="90"/>
      <c r="I30" s="90"/>
      <c r="J30" s="90"/>
      <c r="K30" s="90"/>
      <c r="L30" s="90"/>
      <c r="M30" s="90"/>
      <c r="N30" s="90"/>
      <c r="O30" s="90"/>
      <c r="P30" s="90"/>
      <c r="Q30" s="90"/>
      <c r="R30" s="90"/>
      <c r="S30" s="90"/>
    </row>
    <row r="31" spans="1:19" x14ac:dyDescent="0.2">
      <c r="A31" s="90"/>
      <c r="B31" s="90"/>
      <c r="C31" s="90"/>
      <c r="D31" s="90"/>
      <c r="E31" s="90"/>
      <c r="F31" s="90"/>
      <c r="G31" s="90"/>
      <c r="H31" s="90"/>
      <c r="I31" s="90"/>
      <c r="J31" s="90"/>
      <c r="K31" s="90"/>
      <c r="L31" s="90"/>
      <c r="M31" s="90"/>
      <c r="N31" s="90"/>
      <c r="O31" s="90"/>
      <c r="P31" s="90"/>
      <c r="Q31" s="90"/>
      <c r="R31" s="90"/>
      <c r="S31" s="90"/>
    </row>
    <row r="32" spans="1:19" x14ac:dyDescent="0.2">
      <c r="A32" s="90"/>
      <c r="B32" s="90"/>
      <c r="C32" s="90"/>
      <c r="D32" s="90"/>
      <c r="E32" s="90"/>
      <c r="F32" s="90"/>
      <c r="G32" s="90"/>
      <c r="H32" s="90"/>
      <c r="I32" s="90"/>
      <c r="J32" s="90"/>
      <c r="K32" s="90"/>
      <c r="L32" s="90"/>
      <c r="M32" s="90"/>
      <c r="N32" s="90"/>
      <c r="O32" s="90"/>
      <c r="P32" s="90"/>
      <c r="Q32" s="90"/>
      <c r="R32" s="90"/>
      <c r="S32" s="90"/>
    </row>
    <row r="33" spans="1:19" x14ac:dyDescent="0.2">
      <c r="A33" s="90"/>
      <c r="B33" s="90"/>
      <c r="C33" s="90"/>
      <c r="D33" s="90"/>
      <c r="E33" s="90"/>
      <c r="F33" s="90"/>
      <c r="G33" s="90"/>
      <c r="H33" s="90"/>
      <c r="I33" s="90"/>
      <c r="J33" s="90"/>
      <c r="K33" s="90"/>
      <c r="L33" s="90"/>
      <c r="M33" s="90"/>
      <c r="N33" s="90"/>
      <c r="O33" s="90"/>
      <c r="P33" s="90"/>
      <c r="Q33" s="90"/>
      <c r="R33" s="90"/>
      <c r="S33" s="90"/>
    </row>
    <row r="34" spans="1:19" x14ac:dyDescent="0.2">
      <c r="A34" s="90"/>
      <c r="B34" s="90"/>
      <c r="C34" s="90"/>
      <c r="D34" s="90"/>
      <c r="E34" s="90"/>
      <c r="F34" s="90"/>
      <c r="G34" s="90"/>
      <c r="H34" s="90"/>
      <c r="I34" s="90"/>
      <c r="J34" s="90"/>
      <c r="K34" s="90"/>
      <c r="L34" s="90"/>
      <c r="M34" s="90"/>
      <c r="N34" s="90"/>
      <c r="O34" s="90"/>
      <c r="P34" s="90"/>
      <c r="Q34" s="90"/>
      <c r="R34" s="90"/>
      <c r="S34" s="90"/>
    </row>
    <row r="35" spans="1:19" x14ac:dyDescent="0.2">
      <c r="A35" s="90"/>
      <c r="B35" s="90"/>
      <c r="C35" s="90"/>
      <c r="D35" s="90"/>
      <c r="E35" s="90"/>
      <c r="F35" s="90"/>
      <c r="G35" s="90"/>
      <c r="H35" s="90"/>
      <c r="I35" s="90"/>
      <c r="J35" s="90"/>
      <c r="K35" s="90"/>
      <c r="L35" s="90"/>
      <c r="M35" s="90"/>
      <c r="N35" s="90"/>
      <c r="O35" s="90"/>
      <c r="P35" s="90"/>
      <c r="Q35" s="90"/>
      <c r="R35" s="90"/>
      <c r="S35" s="90"/>
    </row>
    <row r="36" spans="1:19" x14ac:dyDescent="0.2">
      <c r="A36" s="90"/>
      <c r="B36" s="90"/>
      <c r="C36" s="90"/>
      <c r="D36" s="90"/>
      <c r="E36" s="90"/>
      <c r="F36" s="90"/>
      <c r="G36" s="90"/>
      <c r="H36" s="90"/>
      <c r="I36" s="90"/>
      <c r="J36" s="90"/>
      <c r="K36" s="90"/>
      <c r="L36" s="90"/>
      <c r="M36" s="90"/>
      <c r="N36" s="90"/>
      <c r="O36" s="90"/>
      <c r="P36" s="90"/>
      <c r="Q36" s="90"/>
      <c r="R36" s="90"/>
      <c r="S36" s="90"/>
    </row>
    <row r="37" spans="1:19" x14ac:dyDescent="0.2">
      <c r="A37" s="90"/>
      <c r="B37" s="90"/>
      <c r="C37" s="90"/>
      <c r="D37" s="90"/>
      <c r="E37" s="90"/>
      <c r="F37" s="90"/>
      <c r="G37" s="90"/>
      <c r="H37" s="90"/>
      <c r="I37" s="90"/>
      <c r="J37" s="90"/>
      <c r="K37" s="90"/>
      <c r="L37" s="90"/>
      <c r="M37" s="90"/>
      <c r="N37" s="90"/>
      <c r="O37" s="90"/>
      <c r="P37" s="90"/>
      <c r="Q37" s="90"/>
      <c r="R37" s="90"/>
      <c r="S37" s="90"/>
    </row>
    <row r="38" spans="1:19" x14ac:dyDescent="0.2">
      <c r="A38" s="90"/>
      <c r="B38" s="90"/>
      <c r="C38" s="90"/>
      <c r="D38" s="90"/>
      <c r="E38" s="90"/>
      <c r="F38" s="90"/>
      <c r="G38" s="90"/>
      <c r="H38" s="90"/>
      <c r="I38" s="90"/>
      <c r="J38" s="90"/>
      <c r="K38" s="90"/>
      <c r="L38" s="90"/>
      <c r="M38" s="90"/>
      <c r="N38" s="90"/>
      <c r="O38" s="90"/>
      <c r="P38" s="90"/>
      <c r="Q38" s="90"/>
      <c r="R38" s="90"/>
      <c r="S38" s="90"/>
    </row>
    <row r="39" spans="1:19" x14ac:dyDescent="0.2">
      <c r="A39" s="90"/>
      <c r="B39" s="90"/>
      <c r="C39" s="90"/>
      <c r="D39" s="90"/>
      <c r="E39" s="90"/>
      <c r="F39" s="90"/>
      <c r="G39" s="90"/>
      <c r="H39" s="90"/>
      <c r="I39" s="90"/>
      <c r="J39" s="90"/>
      <c r="K39" s="90"/>
      <c r="L39" s="90"/>
      <c r="M39" s="90"/>
      <c r="N39" s="90"/>
      <c r="O39" s="90"/>
      <c r="P39" s="90"/>
      <c r="Q39" s="90"/>
      <c r="R39" s="90"/>
      <c r="S39" s="90"/>
    </row>
    <row r="40" spans="1:19" x14ac:dyDescent="0.2">
      <c r="A40" s="90"/>
      <c r="B40" s="90"/>
      <c r="C40" s="90"/>
      <c r="D40" s="90"/>
      <c r="E40" s="90"/>
      <c r="F40" s="90"/>
      <c r="G40" s="90"/>
      <c r="H40" s="90"/>
      <c r="I40" s="90"/>
      <c r="J40" s="90"/>
      <c r="K40" s="90"/>
      <c r="L40" s="90"/>
      <c r="M40" s="90"/>
      <c r="N40" s="90"/>
      <c r="O40" s="90"/>
      <c r="P40" s="90"/>
      <c r="Q40" s="90"/>
      <c r="R40" s="90"/>
      <c r="S40" s="90"/>
    </row>
    <row r="41" spans="1:19" x14ac:dyDescent="0.2">
      <c r="A41" s="90"/>
      <c r="B41" s="90"/>
      <c r="C41" s="90"/>
      <c r="D41" s="90"/>
      <c r="E41" s="90"/>
      <c r="F41" s="90"/>
      <c r="G41" s="90"/>
      <c r="H41" s="90"/>
      <c r="I41" s="90"/>
      <c r="J41" s="90"/>
      <c r="K41" s="90"/>
      <c r="L41" s="90"/>
      <c r="M41" s="90"/>
      <c r="N41" s="90"/>
      <c r="O41" s="90"/>
      <c r="P41" s="90"/>
      <c r="Q41" s="90"/>
      <c r="R41" s="90"/>
      <c r="S41" s="90"/>
    </row>
    <row r="42" spans="1:19" x14ac:dyDescent="0.2">
      <c r="A42" s="90"/>
      <c r="B42" s="90"/>
      <c r="C42" s="90"/>
      <c r="D42" s="90"/>
      <c r="E42" s="90"/>
      <c r="F42" s="90"/>
      <c r="G42" s="90"/>
      <c r="H42" s="90"/>
      <c r="I42" s="90"/>
      <c r="J42" s="90"/>
      <c r="K42" s="90"/>
      <c r="L42" s="90"/>
      <c r="M42" s="90"/>
      <c r="N42" s="90"/>
      <c r="O42" s="90"/>
      <c r="P42" s="90"/>
      <c r="Q42" s="90"/>
      <c r="R42" s="90"/>
      <c r="S42" s="90"/>
    </row>
    <row r="43" spans="1:19" x14ac:dyDescent="0.2">
      <c r="A43" s="90"/>
      <c r="B43" s="90"/>
      <c r="C43" s="90"/>
      <c r="D43" s="90"/>
      <c r="E43" s="90"/>
      <c r="F43" s="90"/>
      <c r="G43" s="90"/>
      <c r="H43" s="90"/>
      <c r="I43" s="90"/>
      <c r="J43" s="90"/>
      <c r="K43" s="90"/>
      <c r="L43" s="90"/>
      <c r="M43" s="90"/>
      <c r="N43" s="90"/>
      <c r="O43" s="90"/>
      <c r="P43" s="90"/>
      <c r="Q43" s="90"/>
      <c r="R43" s="90"/>
      <c r="S43" s="90"/>
    </row>
    <row r="44" spans="1:19" x14ac:dyDescent="0.2">
      <c r="A44" s="90"/>
      <c r="B44" s="90"/>
      <c r="C44" s="90"/>
      <c r="D44" s="90"/>
      <c r="E44" s="90"/>
      <c r="F44" s="90"/>
      <c r="G44" s="90"/>
      <c r="H44" s="90"/>
      <c r="I44" s="90"/>
      <c r="J44" s="90"/>
      <c r="K44" s="90"/>
      <c r="L44" s="90"/>
      <c r="M44" s="90"/>
      <c r="N44" s="90"/>
      <c r="O44" s="90"/>
      <c r="P44" s="90"/>
      <c r="Q44" s="90"/>
      <c r="R44" s="90"/>
      <c r="S44" s="90"/>
    </row>
    <row r="45" spans="1:19" x14ac:dyDescent="0.2">
      <c r="A45" s="90"/>
      <c r="B45" s="90"/>
      <c r="C45" s="90"/>
      <c r="D45" s="90"/>
      <c r="E45" s="90"/>
      <c r="F45" s="90"/>
      <c r="G45" s="90"/>
      <c r="H45" s="90"/>
      <c r="I45" s="90"/>
      <c r="J45" s="90"/>
      <c r="K45" s="90"/>
      <c r="L45" s="90"/>
      <c r="M45" s="90"/>
      <c r="N45" s="90"/>
      <c r="O45" s="90"/>
      <c r="P45" s="90"/>
      <c r="Q45" s="90"/>
      <c r="R45" s="90"/>
      <c r="S45" s="90"/>
    </row>
    <row r="46" spans="1:19" x14ac:dyDescent="0.2">
      <c r="A46" s="90"/>
      <c r="B46" s="90"/>
      <c r="C46" s="90"/>
      <c r="D46" s="90"/>
      <c r="E46" s="90"/>
      <c r="F46" s="90"/>
      <c r="G46" s="90"/>
      <c r="H46" s="90"/>
      <c r="I46" s="90"/>
      <c r="J46" s="90"/>
      <c r="K46" s="90"/>
      <c r="L46" s="90"/>
      <c r="M46" s="90"/>
      <c r="N46" s="90"/>
      <c r="O46" s="90"/>
      <c r="P46" s="90"/>
      <c r="Q46" s="90"/>
      <c r="R46" s="90"/>
      <c r="S46" s="90"/>
    </row>
  </sheetData>
  <sheetProtection sheet="1" objects="1" scenarios="1"/>
  <mergeCells count="4">
    <mergeCell ref="A1:I1"/>
    <mergeCell ref="A11:I11"/>
    <mergeCell ref="A2:I2"/>
    <mergeCell ref="A12:I12"/>
  </mergeCells>
  <phoneticPr fontId="2" type="noConversion"/>
  <hyperlinks>
    <hyperlink ref="B7" location="CTillCharts!G97" display="Soybean &amp; Cotton Price Comparison" xr:uid="{00000000-0004-0000-0500-000000000000}"/>
    <hyperlink ref="B5" location="CTillCharts!G63" display="Corn &amp; Cotton Price Comparison" xr:uid="{00000000-0004-0000-0500-000001000000}"/>
    <hyperlink ref="B3" location="CTillCharts!G29" display="Peanut &amp; Cotton Price Comparison" xr:uid="{00000000-0004-0000-0500-000002000000}"/>
    <hyperlink ref="D5" location="CTillCharts!G165" display="Corn &amp; Peanut Price Comparison" xr:uid="{00000000-0004-0000-0500-000003000000}"/>
    <hyperlink ref="D7" location="CTillCharts!G199" display="Soybean &amp; Peanut Price Comparison" xr:uid="{00000000-0004-0000-0500-000004000000}"/>
    <hyperlink ref="F3" location="CTillCharts!G233" display="Cotton &amp; Corn Price Comparison" xr:uid="{00000000-0004-0000-0500-000005000000}"/>
    <hyperlink ref="F5" location="CTillCharts!G267" display="Peanut &amp; Corn Price Comparison" xr:uid="{00000000-0004-0000-0500-000006000000}"/>
    <hyperlink ref="F7" location="CTillCharts!G301" display="Soybean &amp; Corn Price Comparison" xr:uid="{00000000-0004-0000-0500-000007000000}"/>
    <hyperlink ref="H3" location="CTillCharts!G334" display="Cotton &amp; Soybean Price Comparison" xr:uid="{00000000-0004-0000-0500-000008000000}"/>
    <hyperlink ref="H5" location="CTillCharts!G369" display="Peanut &amp; Soybean Price Comparison" xr:uid="{00000000-0004-0000-0500-000009000000}"/>
    <hyperlink ref="H7" location="CTillCharts!G403" display="Corn &amp; Soybean Price Comparison" xr:uid="{00000000-0004-0000-0500-00000A000000}"/>
    <hyperlink ref="D13" location="STillCharts!G131" display="Cotton &amp; Peanut Price Comparison" xr:uid="{00000000-0004-0000-0500-00000B000000}"/>
    <hyperlink ref="B17" location="STillCharts!G97" display="Soybean &amp; Cotton Price Comparison" xr:uid="{00000000-0004-0000-0500-00000C000000}"/>
    <hyperlink ref="B15" location="STillCharts!G63" display="Corn &amp; Cotton Price Comparison" xr:uid="{00000000-0004-0000-0500-00000D000000}"/>
    <hyperlink ref="B13" location="STillCharts!G29" display="Peanut &amp; Cotton Price Comparison" xr:uid="{00000000-0004-0000-0500-00000E000000}"/>
    <hyperlink ref="D15" location="STillCharts!G165" display="Corn &amp; Peanut Price Comparison" xr:uid="{00000000-0004-0000-0500-00000F000000}"/>
    <hyperlink ref="D17" location="STillCharts!G199" display="Soybean &amp; Peanut Price Comparison" xr:uid="{00000000-0004-0000-0500-000010000000}"/>
    <hyperlink ref="F13" location="STillCharts!G233" display="Cotton &amp; Corn Price Comparison" xr:uid="{00000000-0004-0000-0500-000011000000}"/>
    <hyperlink ref="F15" location="STillCharts!G267" display="Peanut &amp; Corn Price Comparison" xr:uid="{00000000-0004-0000-0500-000012000000}"/>
    <hyperlink ref="F17" location="STillCharts!G301" display="Soybean &amp; Corn Price Comparison" xr:uid="{00000000-0004-0000-0500-000013000000}"/>
    <hyperlink ref="H13" location="STillCharts!G334" display="Cotton &amp; Soybean Price Comparison" xr:uid="{00000000-0004-0000-0500-000014000000}"/>
    <hyperlink ref="H15" location="STillCharts!G369" display="Peanut &amp; Soybean Price Comparison" xr:uid="{00000000-0004-0000-0500-000015000000}"/>
    <hyperlink ref="H17" location="STillCharts!G403" display="Corn &amp; Soybean Price Comparison" xr:uid="{00000000-0004-0000-0500-000016000000}"/>
    <hyperlink ref="D3" location="CTillCharts!G131" display="Cotton &amp; Peanut Price Comparison" xr:uid="{00000000-0004-0000-0500-000017000000}"/>
  </hyperlinks>
  <pageMargins left="0.7" right="0.7" top="0.75" bottom="0.75" header="0.3" footer="0.3"/>
  <pageSetup scale="84" orientation="landscape" r:id="rId1"/>
  <headerFooter>
    <oddFooter>&amp;L&amp;G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29:M407"/>
  <sheetViews>
    <sheetView topLeftCell="A93" zoomScale="120" zoomScaleNormal="120" zoomScaleSheetLayoutView="100" zoomScalePageLayoutView="120" workbookViewId="0">
      <selection activeCell="B101" sqref="B101:M101"/>
    </sheetView>
  </sheetViews>
  <sheetFormatPr baseColWidth="10" defaultColWidth="8.83203125" defaultRowHeight="14" x14ac:dyDescent="0.2"/>
  <cols>
    <col min="1" max="26" width="8.83203125" style="90"/>
    <col min="27" max="27" width="8.83203125" style="90" customWidth="1"/>
    <col min="28" max="16384" width="8.83203125" style="90"/>
  </cols>
  <sheetData>
    <row r="29" spans="1:11" x14ac:dyDescent="0.2">
      <c r="A29" s="433" t="s">
        <v>93</v>
      </c>
      <c r="B29" s="433"/>
      <c r="C29" s="433"/>
      <c r="D29" s="433"/>
      <c r="E29" s="433"/>
      <c r="F29" s="433"/>
    </row>
    <row r="30" spans="1:11" x14ac:dyDescent="0.2">
      <c r="A30" s="210" t="s">
        <v>86</v>
      </c>
      <c r="B30" s="432" t="s">
        <v>90</v>
      </c>
      <c r="C30" s="432"/>
      <c r="D30" s="432"/>
      <c r="E30" s="432"/>
      <c r="F30" s="432"/>
      <c r="G30" s="432"/>
      <c r="H30" s="432"/>
      <c r="I30" s="432"/>
      <c r="J30" s="432"/>
      <c r="K30" s="432"/>
    </row>
    <row r="31" spans="1:11" x14ac:dyDescent="0.2">
      <c r="A31" s="210" t="s">
        <v>87</v>
      </c>
      <c r="B31" s="432" t="str">
        <f>CONCATENATE("Irrigated peanut yield is ",Conventional!$D$7," lbs. and irrigated cotton yield is ",Conventional!$B$7," lbs.")</f>
        <v>Irrigated peanut yield is 4700 lbs. and irrigated cotton yield is 1200 lbs.</v>
      </c>
      <c r="C31" s="432"/>
      <c r="D31" s="432"/>
      <c r="E31" s="432"/>
      <c r="F31" s="432"/>
      <c r="G31" s="432"/>
      <c r="H31" s="432"/>
      <c r="I31" s="159"/>
      <c r="J31" s="159"/>
      <c r="K31" s="159"/>
    </row>
    <row r="32" spans="1:11" x14ac:dyDescent="0.2">
      <c r="A32" s="210" t="s">
        <v>88</v>
      </c>
      <c r="B32" s="432" t="str">
        <f>CONCATENATE("Non-irrigated peanut yield is ",Conventional!$N$7," lbs. and non-irrigated cotton yield is ",Conventional!$L$7," lbs.")</f>
        <v>Non-irrigated peanut yield is 3400 lbs. and non-irrigated cotton yield is 750 lbs.</v>
      </c>
      <c r="C32" s="432"/>
      <c r="D32" s="432"/>
      <c r="E32" s="432"/>
      <c r="F32" s="432"/>
      <c r="G32" s="432"/>
      <c r="H32" s="432"/>
      <c r="I32" s="432"/>
      <c r="J32" s="159"/>
      <c r="K32" s="159"/>
    </row>
    <row r="33" spans="1:13" x14ac:dyDescent="0.2">
      <c r="A33" s="210" t="s">
        <v>89</v>
      </c>
      <c r="B33" s="432" t="s">
        <v>104</v>
      </c>
      <c r="C33" s="432"/>
      <c r="D33" s="432"/>
      <c r="E33" s="432"/>
      <c r="F33" s="432"/>
      <c r="G33" s="432"/>
      <c r="H33" s="432"/>
      <c r="I33" s="432"/>
      <c r="J33" s="432"/>
      <c r="K33" s="432"/>
      <c r="L33" s="432"/>
      <c r="M33" s="432"/>
    </row>
    <row r="63" spans="1:11" x14ac:dyDescent="0.2">
      <c r="A63" s="432" t="s">
        <v>93</v>
      </c>
      <c r="B63" s="432"/>
      <c r="C63" s="432"/>
      <c r="D63" s="432"/>
      <c r="E63" s="432"/>
      <c r="F63" s="432"/>
    </row>
    <row r="64" spans="1:11" x14ac:dyDescent="0.2">
      <c r="A64" s="210" t="s">
        <v>86</v>
      </c>
      <c r="B64" s="432" t="s">
        <v>91</v>
      </c>
      <c r="C64" s="432"/>
      <c r="D64" s="432"/>
      <c r="E64" s="432"/>
      <c r="F64" s="432"/>
      <c r="G64" s="432"/>
      <c r="H64" s="432"/>
      <c r="I64" s="432"/>
      <c r="J64" s="432"/>
      <c r="K64" s="432"/>
    </row>
    <row r="65" spans="1:13" x14ac:dyDescent="0.2">
      <c r="A65" s="210" t="s">
        <v>87</v>
      </c>
      <c r="B65" s="432" t="str">
        <f>CONCATENATE("Irrigated corn yield is ",Conventional!$F$7," bu. and irrigated cotton yield is ",Conventional!$B$7," lbs.")</f>
        <v>Irrigated corn yield is 200 bu. and irrigated cotton yield is 1200 lbs.</v>
      </c>
      <c r="C65" s="432"/>
      <c r="D65" s="432"/>
      <c r="E65" s="432"/>
      <c r="F65" s="432"/>
      <c r="G65" s="432"/>
      <c r="H65" s="432"/>
      <c r="I65" s="159"/>
      <c r="J65" s="159"/>
      <c r="K65" s="159"/>
    </row>
    <row r="66" spans="1:13" x14ac:dyDescent="0.2">
      <c r="A66" s="210" t="s">
        <v>88</v>
      </c>
      <c r="B66" s="432" t="str">
        <f>CONCATENATE("Non-irrigated corn yield is ",Conventional!$P$7," bu. and non-irrigated cotton yield is ",Conventional!$L$7," lbs.")</f>
        <v>Non-irrigated corn yield is 85 bu. and non-irrigated cotton yield is 750 lbs.</v>
      </c>
      <c r="C66" s="432"/>
      <c r="D66" s="432"/>
      <c r="E66" s="432"/>
      <c r="F66" s="432"/>
      <c r="G66" s="432"/>
      <c r="H66" s="432"/>
      <c r="I66" s="432"/>
      <c r="J66" s="159"/>
      <c r="K66" s="159"/>
    </row>
    <row r="67" spans="1:13" x14ac:dyDescent="0.2">
      <c r="A67" s="210" t="s">
        <v>89</v>
      </c>
      <c r="B67" s="432" t="s">
        <v>104</v>
      </c>
      <c r="C67" s="432"/>
      <c r="D67" s="432"/>
      <c r="E67" s="432"/>
      <c r="F67" s="432"/>
      <c r="G67" s="432"/>
      <c r="H67" s="432"/>
      <c r="I67" s="432"/>
      <c r="J67" s="432"/>
      <c r="K67" s="432"/>
      <c r="L67" s="432"/>
      <c r="M67" s="432"/>
    </row>
    <row r="97" spans="1:13" x14ac:dyDescent="0.2">
      <c r="A97" s="432" t="s">
        <v>93</v>
      </c>
      <c r="B97" s="432"/>
      <c r="C97" s="432"/>
      <c r="D97" s="432"/>
      <c r="E97" s="432"/>
      <c r="F97" s="432"/>
    </row>
    <row r="98" spans="1:13" x14ac:dyDescent="0.2">
      <c r="A98" s="210" t="s">
        <v>86</v>
      </c>
      <c r="B98" s="432" t="s">
        <v>92</v>
      </c>
      <c r="C98" s="432"/>
      <c r="D98" s="432"/>
      <c r="E98" s="432"/>
      <c r="F98" s="432"/>
      <c r="G98" s="432"/>
      <c r="H98" s="432"/>
      <c r="I98" s="432"/>
      <c r="J98" s="432"/>
      <c r="K98" s="432"/>
      <c r="L98" s="432"/>
    </row>
    <row r="99" spans="1:13" x14ac:dyDescent="0.2">
      <c r="A99" s="210" t="s">
        <v>87</v>
      </c>
      <c r="B99" s="432" t="str">
        <f>CONCATENATE("Irrigated soybean yield is ",Conventional!$H$7," bu. and irrigated cotton yield is ",Conventional!$B$7," lbs.")</f>
        <v>Irrigated soybean yield is 60 bu. and irrigated cotton yield is 1200 lbs.</v>
      </c>
      <c r="C99" s="432"/>
      <c r="D99" s="432"/>
      <c r="E99" s="432"/>
      <c r="F99" s="432"/>
      <c r="G99" s="432"/>
      <c r="H99" s="432"/>
      <c r="I99" s="159"/>
      <c r="J99" s="159"/>
      <c r="K99" s="159"/>
    </row>
    <row r="100" spans="1:13" x14ac:dyDescent="0.2">
      <c r="A100" s="210" t="s">
        <v>88</v>
      </c>
      <c r="B100" s="432" t="str">
        <f>CONCATENATE("Non-irrigated soybean yield is ",Conventional!$R$7," bu. and non-irrigated cotton yield is ",Conventional!$L$7," lbs.")</f>
        <v>Non-irrigated soybean yield is 30 bu. and non-irrigated cotton yield is 750 lbs.</v>
      </c>
      <c r="C100" s="432"/>
      <c r="D100" s="432"/>
      <c r="E100" s="432"/>
      <c r="F100" s="432"/>
      <c r="G100" s="432"/>
      <c r="H100" s="432"/>
      <c r="I100" s="432"/>
      <c r="J100" s="159"/>
      <c r="K100" s="159"/>
    </row>
    <row r="101" spans="1:13" x14ac:dyDescent="0.2">
      <c r="A101" s="210" t="s">
        <v>89</v>
      </c>
      <c r="B101" s="432" t="s">
        <v>104</v>
      </c>
      <c r="C101" s="432"/>
      <c r="D101" s="432"/>
      <c r="E101" s="432"/>
      <c r="F101" s="432"/>
      <c r="G101" s="432"/>
      <c r="H101" s="432"/>
      <c r="I101" s="432"/>
      <c r="J101" s="432"/>
      <c r="K101" s="432"/>
      <c r="L101" s="432"/>
      <c r="M101" s="432"/>
    </row>
    <row r="131" spans="1:13" x14ac:dyDescent="0.2">
      <c r="A131" s="433" t="s">
        <v>93</v>
      </c>
      <c r="B131" s="433"/>
      <c r="C131" s="433"/>
      <c r="D131" s="433"/>
      <c r="E131" s="433"/>
      <c r="F131" s="433"/>
    </row>
    <row r="132" spans="1:13" x14ac:dyDescent="0.2">
      <c r="A132" s="210" t="s">
        <v>86</v>
      </c>
      <c r="B132" s="432" t="s">
        <v>94</v>
      </c>
      <c r="C132" s="432"/>
      <c r="D132" s="432"/>
      <c r="E132" s="432"/>
      <c r="F132" s="432"/>
      <c r="G132" s="432"/>
      <c r="H132" s="432"/>
      <c r="I132" s="432"/>
      <c r="J132" s="432"/>
      <c r="K132" s="432"/>
    </row>
    <row r="133" spans="1:13" x14ac:dyDescent="0.2">
      <c r="A133" s="210" t="s">
        <v>87</v>
      </c>
      <c r="B133" s="432" t="str">
        <f>CONCATENATE("Irrigated cotton yield is ",Conventional!$B$7," lbs. and irrigated peanut yield is ",Conventional!$D$7," lbs.")</f>
        <v>Irrigated cotton yield is 1200 lbs. and irrigated peanut yield is 4700 lbs.</v>
      </c>
      <c r="C133" s="432"/>
      <c r="D133" s="432"/>
      <c r="E133" s="432"/>
      <c r="F133" s="432"/>
      <c r="G133" s="432"/>
      <c r="H133" s="432"/>
      <c r="I133" s="159"/>
      <c r="J133" s="159"/>
      <c r="K133" s="159"/>
    </row>
    <row r="134" spans="1:13" x14ac:dyDescent="0.2">
      <c r="A134" s="210" t="s">
        <v>88</v>
      </c>
      <c r="B134" s="432" t="str">
        <f>CONCATENATE("Non-irrigated cotton yield is ",Conventional!$L$7," lbs. and non-irrigated peanut yield is ",Conventional!$N$7," lbs.")</f>
        <v>Non-irrigated cotton yield is 750 lbs. and non-irrigated peanut yield is 3400 lbs.</v>
      </c>
      <c r="C134" s="432"/>
      <c r="D134" s="432"/>
      <c r="E134" s="432"/>
      <c r="F134" s="432"/>
      <c r="G134" s="432"/>
      <c r="H134" s="432"/>
      <c r="I134" s="432"/>
      <c r="J134" s="159"/>
      <c r="K134" s="159"/>
    </row>
    <row r="135" spans="1:13" x14ac:dyDescent="0.2">
      <c r="A135" s="210" t="s">
        <v>89</v>
      </c>
      <c r="B135" s="432" t="s">
        <v>104</v>
      </c>
      <c r="C135" s="432"/>
      <c r="D135" s="432"/>
      <c r="E135" s="432"/>
      <c r="F135" s="432"/>
      <c r="G135" s="432"/>
      <c r="H135" s="432"/>
      <c r="I135" s="432"/>
      <c r="J135" s="432"/>
      <c r="K135" s="432"/>
      <c r="L135" s="432"/>
      <c r="M135" s="432"/>
    </row>
    <row r="165" spans="1:13" x14ac:dyDescent="0.2">
      <c r="A165" s="432" t="s">
        <v>93</v>
      </c>
      <c r="B165" s="432"/>
      <c r="C165" s="432"/>
      <c r="D165" s="432"/>
      <c r="E165" s="432"/>
      <c r="F165" s="432"/>
    </row>
    <row r="166" spans="1:13" x14ac:dyDescent="0.2">
      <c r="A166" s="210" t="s">
        <v>86</v>
      </c>
      <c r="B166" s="432" t="s">
        <v>95</v>
      </c>
      <c r="C166" s="432"/>
      <c r="D166" s="432"/>
      <c r="E166" s="432"/>
      <c r="F166" s="432"/>
      <c r="G166" s="432"/>
      <c r="H166" s="432"/>
      <c r="I166" s="432"/>
      <c r="J166" s="432"/>
      <c r="K166" s="432"/>
    </row>
    <row r="167" spans="1:13" x14ac:dyDescent="0.2">
      <c r="A167" s="210" t="s">
        <v>87</v>
      </c>
      <c r="B167" s="432" t="str">
        <f>CONCATENATE("Irrigated corn yield is ",Conventional!$F$7," bu. and irrigated peanut yield is ",Conventional!$D$7," lbs.")</f>
        <v>Irrigated corn yield is 200 bu. and irrigated peanut yield is 4700 lbs.</v>
      </c>
      <c r="C167" s="432"/>
      <c r="D167" s="432"/>
      <c r="E167" s="432"/>
      <c r="F167" s="432"/>
      <c r="G167" s="432"/>
      <c r="H167" s="432"/>
      <c r="I167" s="159"/>
      <c r="J167" s="159"/>
      <c r="K167" s="159"/>
    </row>
    <row r="168" spans="1:13" x14ac:dyDescent="0.2">
      <c r="A168" s="210" t="s">
        <v>88</v>
      </c>
      <c r="B168" s="432" t="str">
        <f>CONCATENATE("Non-irrigated corn yield is ",Conventional!$P$7," bu. and non-irrigated peanut yield is ",Conventional!$N$7," lbs.")</f>
        <v>Non-irrigated corn yield is 85 bu. and non-irrigated peanut yield is 3400 lbs.</v>
      </c>
      <c r="C168" s="432"/>
      <c r="D168" s="432"/>
      <c r="E168" s="432"/>
      <c r="F168" s="432"/>
      <c r="G168" s="432"/>
      <c r="H168" s="432"/>
      <c r="I168" s="432"/>
      <c r="J168" s="159"/>
      <c r="K168" s="159"/>
    </row>
    <row r="169" spans="1:13" x14ac:dyDescent="0.2">
      <c r="A169" s="210" t="s">
        <v>89</v>
      </c>
      <c r="B169" s="432" t="s">
        <v>104</v>
      </c>
      <c r="C169" s="432"/>
      <c r="D169" s="432"/>
      <c r="E169" s="432"/>
      <c r="F169" s="432"/>
      <c r="G169" s="432"/>
      <c r="H169" s="432"/>
      <c r="I169" s="432"/>
      <c r="J169" s="432"/>
      <c r="K169" s="432"/>
      <c r="L169" s="432"/>
      <c r="M169" s="432"/>
    </row>
    <row r="199" spans="1:13" x14ac:dyDescent="0.2">
      <c r="A199" s="432" t="s">
        <v>93</v>
      </c>
      <c r="B199" s="432"/>
      <c r="C199" s="432"/>
      <c r="D199" s="432"/>
      <c r="E199" s="432"/>
      <c r="F199" s="432"/>
    </row>
    <row r="200" spans="1:13" x14ac:dyDescent="0.2">
      <c r="A200" s="210" t="s">
        <v>86</v>
      </c>
      <c r="B200" s="432" t="s">
        <v>96</v>
      </c>
      <c r="C200" s="432"/>
      <c r="D200" s="432"/>
      <c r="E200" s="432"/>
      <c r="F200" s="432"/>
      <c r="G200" s="432"/>
      <c r="H200" s="432"/>
      <c r="I200" s="432"/>
      <c r="J200" s="432"/>
      <c r="K200" s="432"/>
      <c r="L200" s="432"/>
    </row>
    <row r="201" spans="1:13" x14ac:dyDescent="0.2">
      <c r="A201" s="210" t="s">
        <v>87</v>
      </c>
      <c r="B201" s="432" t="str">
        <f>CONCATENATE("Irrigated soybean yield is ",Conventional!$H$7," bu. and irrigated peanut yield is ",Conventional!$D$7," lbs.")</f>
        <v>Irrigated soybean yield is 60 bu. and irrigated peanut yield is 4700 lbs.</v>
      </c>
      <c r="C201" s="432"/>
      <c r="D201" s="432"/>
      <c r="E201" s="432"/>
      <c r="F201" s="432"/>
      <c r="G201" s="432"/>
      <c r="H201" s="432"/>
      <c r="I201" s="159"/>
      <c r="J201" s="159"/>
      <c r="K201" s="159"/>
    </row>
    <row r="202" spans="1:13" x14ac:dyDescent="0.2">
      <c r="A202" s="210" t="s">
        <v>88</v>
      </c>
      <c r="B202" s="432" t="str">
        <f>CONCATENATE("Non-irrigated soybean yield is ",Conventional!$R$7," bu. and non-irrigated peanut yield is ",Conventional!$N$7," lbs.")</f>
        <v>Non-irrigated soybean yield is 30 bu. and non-irrigated peanut yield is 3400 lbs.</v>
      </c>
      <c r="C202" s="432"/>
      <c r="D202" s="432"/>
      <c r="E202" s="432"/>
      <c r="F202" s="432"/>
      <c r="G202" s="432"/>
      <c r="H202" s="432"/>
      <c r="I202" s="432"/>
      <c r="J202" s="159"/>
      <c r="K202" s="159"/>
    </row>
    <row r="203" spans="1:13" x14ac:dyDescent="0.2">
      <c r="A203" s="210" t="s">
        <v>89</v>
      </c>
      <c r="B203" s="432" t="s">
        <v>104</v>
      </c>
      <c r="C203" s="432"/>
      <c r="D203" s="432"/>
      <c r="E203" s="432"/>
      <c r="F203" s="432"/>
      <c r="G203" s="432"/>
      <c r="H203" s="432"/>
      <c r="I203" s="432"/>
      <c r="J203" s="432"/>
      <c r="K203" s="432"/>
      <c r="L203" s="432"/>
      <c r="M203" s="432"/>
    </row>
    <row r="233" spans="1:13" x14ac:dyDescent="0.2">
      <c r="A233" s="433" t="s">
        <v>93</v>
      </c>
      <c r="B233" s="433"/>
      <c r="C233" s="433"/>
      <c r="D233" s="433"/>
      <c r="E233" s="433"/>
      <c r="F233" s="433"/>
    </row>
    <row r="234" spans="1:13" x14ac:dyDescent="0.2">
      <c r="A234" s="210" t="s">
        <v>86</v>
      </c>
      <c r="B234" s="432" t="s">
        <v>97</v>
      </c>
      <c r="C234" s="432"/>
      <c r="D234" s="432"/>
      <c r="E234" s="432"/>
      <c r="F234" s="432"/>
      <c r="G234" s="432"/>
      <c r="H234" s="432"/>
      <c r="I234" s="432"/>
      <c r="J234" s="432"/>
      <c r="K234" s="432"/>
    </row>
    <row r="235" spans="1:13" x14ac:dyDescent="0.2">
      <c r="A235" s="210" t="s">
        <v>87</v>
      </c>
      <c r="B235" s="432" t="str">
        <f>CONCATENATE("Irrigated cotton yield is ",Conventional!$B$7," lbs. and irrigated corn yield is ",Conventional!$F$7," bu.")</f>
        <v>Irrigated cotton yield is 1200 lbs. and irrigated corn yield is 200 bu.</v>
      </c>
      <c r="C235" s="432"/>
      <c r="D235" s="432"/>
      <c r="E235" s="432"/>
      <c r="F235" s="432"/>
      <c r="G235" s="432"/>
      <c r="H235" s="432"/>
      <c r="I235" s="159"/>
      <c r="J235" s="159"/>
      <c r="K235" s="159"/>
    </row>
    <row r="236" spans="1:13" x14ac:dyDescent="0.2">
      <c r="A236" s="210" t="s">
        <v>88</v>
      </c>
      <c r="B236" s="432" t="str">
        <f>CONCATENATE("Non-irrigated cotton yield is ",Conventional!$L$7," lbs. and non-irrigated corn yield is ",Conventional!$P$7," bu.")</f>
        <v>Non-irrigated cotton yield is 750 lbs. and non-irrigated corn yield is 85 bu.</v>
      </c>
      <c r="C236" s="432"/>
      <c r="D236" s="432"/>
      <c r="E236" s="432"/>
      <c r="F236" s="432"/>
      <c r="G236" s="432"/>
      <c r="H236" s="432"/>
      <c r="I236" s="432"/>
      <c r="J236" s="159"/>
      <c r="K236" s="159"/>
    </row>
    <row r="237" spans="1:13" x14ac:dyDescent="0.2">
      <c r="A237" s="210" t="s">
        <v>89</v>
      </c>
      <c r="B237" s="432" t="s">
        <v>104</v>
      </c>
      <c r="C237" s="432"/>
      <c r="D237" s="432"/>
      <c r="E237" s="432"/>
      <c r="F237" s="432"/>
      <c r="G237" s="432"/>
      <c r="H237" s="432"/>
      <c r="I237" s="432"/>
      <c r="J237" s="432"/>
      <c r="K237" s="432"/>
      <c r="L237" s="432"/>
      <c r="M237" s="432"/>
    </row>
    <row r="267" spans="1:13" x14ac:dyDescent="0.2">
      <c r="A267" s="432" t="s">
        <v>93</v>
      </c>
      <c r="B267" s="432"/>
      <c r="C267" s="432"/>
      <c r="D267" s="432"/>
      <c r="E267" s="432"/>
      <c r="F267" s="432"/>
    </row>
    <row r="268" spans="1:13" x14ac:dyDescent="0.2">
      <c r="A268" s="210" t="s">
        <v>86</v>
      </c>
      <c r="B268" s="432" t="s">
        <v>98</v>
      </c>
      <c r="C268" s="432"/>
      <c r="D268" s="432"/>
      <c r="E268" s="432"/>
      <c r="F268" s="432"/>
      <c r="G268" s="432"/>
      <c r="H268" s="432"/>
      <c r="I268" s="432"/>
      <c r="J268" s="432"/>
      <c r="K268" s="432"/>
    </row>
    <row r="269" spans="1:13" x14ac:dyDescent="0.2">
      <c r="A269" s="210" t="s">
        <v>87</v>
      </c>
      <c r="B269" s="432" t="str">
        <f>CONCATENATE("Irrigated peanut yield is ",Conventional!$D$7," lbs. and irrigated corn yield is ",Conventional!$F$7," bu.")</f>
        <v>Irrigated peanut yield is 4700 lbs. and irrigated corn yield is 200 bu.</v>
      </c>
      <c r="C269" s="432"/>
      <c r="D269" s="432"/>
      <c r="E269" s="432"/>
      <c r="F269" s="432"/>
      <c r="G269" s="432"/>
      <c r="H269" s="432"/>
      <c r="I269" s="159"/>
      <c r="J269" s="159"/>
      <c r="K269" s="159"/>
    </row>
    <row r="270" spans="1:13" x14ac:dyDescent="0.2">
      <c r="A270" s="210" t="s">
        <v>88</v>
      </c>
      <c r="B270" s="432" t="str">
        <f>CONCATENATE("Non-irrigated peanut yield is ",Conventional!$N$7," lbs. and non-irrigated corn yield is ",Conventional!$P$7," bu.")</f>
        <v>Non-irrigated peanut yield is 3400 lbs. and non-irrigated corn yield is 85 bu.</v>
      </c>
      <c r="C270" s="432"/>
      <c r="D270" s="432"/>
      <c r="E270" s="432"/>
      <c r="F270" s="432"/>
      <c r="G270" s="432"/>
      <c r="H270" s="432"/>
      <c r="I270" s="432"/>
      <c r="J270" s="159"/>
      <c r="K270" s="159"/>
    </row>
    <row r="271" spans="1:13" x14ac:dyDescent="0.2">
      <c r="A271" s="210" t="s">
        <v>89</v>
      </c>
      <c r="B271" s="432" t="s">
        <v>104</v>
      </c>
      <c r="C271" s="432"/>
      <c r="D271" s="432"/>
      <c r="E271" s="432"/>
      <c r="F271" s="432"/>
      <c r="G271" s="432"/>
      <c r="H271" s="432"/>
      <c r="I271" s="432"/>
      <c r="J271" s="432"/>
      <c r="K271" s="432"/>
      <c r="L271" s="432"/>
      <c r="M271" s="432"/>
    </row>
    <row r="301" spans="1:12" x14ac:dyDescent="0.2">
      <c r="A301" s="432" t="s">
        <v>93</v>
      </c>
      <c r="B301" s="432"/>
      <c r="C301" s="432"/>
      <c r="D301" s="432"/>
      <c r="E301" s="432"/>
      <c r="F301" s="432"/>
    </row>
    <row r="302" spans="1:12" x14ac:dyDescent="0.2">
      <c r="A302" s="210" t="s">
        <v>86</v>
      </c>
      <c r="B302" s="432" t="s">
        <v>99</v>
      </c>
      <c r="C302" s="432"/>
      <c r="D302" s="432"/>
      <c r="E302" s="432"/>
      <c r="F302" s="432"/>
      <c r="G302" s="432"/>
      <c r="H302" s="432"/>
      <c r="I302" s="432"/>
      <c r="J302" s="432"/>
      <c r="K302" s="432"/>
      <c r="L302" s="432"/>
    </row>
    <row r="303" spans="1:12" x14ac:dyDescent="0.2">
      <c r="A303" s="210" t="s">
        <v>87</v>
      </c>
      <c r="B303" s="432" t="str">
        <f>CONCATENATE("Irrigated soybean yield is ",Conventional!$H$7," bu. and irrigated corn yield is ",Conventional!$F$7," bu.")</f>
        <v>Irrigated soybean yield is 60 bu. and irrigated corn yield is 200 bu.</v>
      </c>
      <c r="C303" s="432"/>
      <c r="D303" s="432"/>
      <c r="E303" s="432"/>
      <c r="F303" s="432"/>
      <c r="G303" s="432"/>
      <c r="H303" s="432"/>
      <c r="I303" s="159"/>
      <c r="J303" s="159"/>
      <c r="K303" s="159"/>
    </row>
    <row r="304" spans="1:12" x14ac:dyDescent="0.2">
      <c r="A304" s="210" t="s">
        <v>88</v>
      </c>
      <c r="B304" s="432" t="str">
        <f>CONCATENATE("Non-irrigated soybean yield is ",Conventional!$R$7," bu. and non-irrigated corn yield is ",Conventional!$P$7," bu.")</f>
        <v>Non-irrigated soybean yield is 30 bu. and non-irrigated corn yield is 85 bu.</v>
      </c>
      <c r="C304" s="432"/>
      <c r="D304" s="432"/>
      <c r="E304" s="432"/>
      <c r="F304" s="432"/>
      <c r="G304" s="432"/>
      <c r="H304" s="432"/>
      <c r="I304" s="432"/>
      <c r="J304" s="159"/>
      <c r="K304" s="159"/>
    </row>
    <row r="305" spans="1:13" x14ac:dyDescent="0.2">
      <c r="A305" s="210" t="s">
        <v>89</v>
      </c>
      <c r="B305" s="432" t="s">
        <v>104</v>
      </c>
      <c r="C305" s="432"/>
      <c r="D305" s="432"/>
      <c r="E305" s="432"/>
      <c r="F305" s="432"/>
      <c r="G305" s="432"/>
      <c r="H305" s="432"/>
      <c r="I305" s="432"/>
      <c r="J305" s="432"/>
      <c r="K305" s="432"/>
      <c r="L305" s="432"/>
      <c r="M305" s="432"/>
    </row>
    <row r="334" spans="1:12" x14ac:dyDescent="0.2">
      <c r="A334" s="433" t="s">
        <v>93</v>
      </c>
      <c r="B334" s="433"/>
      <c r="C334" s="433"/>
      <c r="D334" s="433"/>
      <c r="E334" s="433"/>
      <c r="F334" s="433"/>
    </row>
    <row r="335" spans="1:12" x14ac:dyDescent="0.2">
      <c r="A335" s="210" t="s">
        <v>86</v>
      </c>
      <c r="B335" s="432" t="s">
        <v>100</v>
      </c>
      <c r="C335" s="432"/>
      <c r="D335" s="432"/>
      <c r="E335" s="432"/>
      <c r="F335" s="432"/>
      <c r="G335" s="432"/>
      <c r="H335" s="432"/>
      <c r="I335" s="432"/>
      <c r="J335" s="432"/>
      <c r="K335" s="432"/>
      <c r="L335" s="432"/>
    </row>
    <row r="336" spans="1:12" x14ac:dyDescent="0.2">
      <c r="A336" s="210" t="s">
        <v>87</v>
      </c>
      <c r="B336" s="432" t="str">
        <f>CONCATENATE("Irrigated cotton yield is ",Conventional!$B$7," lbs. and irrigated soybean yield is ",Conventional!$H$7," bu.")</f>
        <v>Irrigated cotton yield is 1200 lbs. and irrigated soybean yield is 60 bu.</v>
      </c>
      <c r="C336" s="432"/>
      <c r="D336" s="432"/>
      <c r="E336" s="432"/>
      <c r="F336" s="432"/>
      <c r="G336" s="432"/>
      <c r="H336" s="432"/>
      <c r="I336" s="159"/>
      <c r="J336" s="159"/>
      <c r="K336" s="159"/>
    </row>
    <row r="337" spans="1:13" x14ac:dyDescent="0.2">
      <c r="A337" s="210" t="s">
        <v>88</v>
      </c>
      <c r="B337" s="432" t="str">
        <f>CONCATENATE("Non-irrigated cotton yield is ",Conventional!$L$7," lbs. and non-irrigated soybean yield is ",Conventional!$R$7," bu.")</f>
        <v>Non-irrigated cotton yield is 750 lbs. and non-irrigated soybean yield is 30 bu.</v>
      </c>
      <c r="C337" s="432"/>
      <c r="D337" s="432"/>
      <c r="E337" s="432"/>
      <c r="F337" s="432"/>
      <c r="G337" s="432"/>
      <c r="H337" s="432"/>
      <c r="I337" s="432"/>
      <c r="J337" s="159"/>
      <c r="K337" s="159"/>
    </row>
    <row r="338" spans="1:13" x14ac:dyDescent="0.2">
      <c r="A338" s="210" t="s">
        <v>89</v>
      </c>
      <c r="B338" s="432" t="s">
        <v>104</v>
      </c>
      <c r="C338" s="432"/>
      <c r="D338" s="432"/>
      <c r="E338" s="432"/>
      <c r="F338" s="432"/>
      <c r="G338" s="432"/>
      <c r="H338" s="432"/>
      <c r="I338" s="432"/>
      <c r="J338" s="432"/>
      <c r="K338" s="432"/>
      <c r="L338" s="432"/>
      <c r="M338" s="432"/>
    </row>
    <row r="369" spans="1:13" x14ac:dyDescent="0.2">
      <c r="A369" s="432" t="s">
        <v>93</v>
      </c>
      <c r="B369" s="432"/>
      <c r="C369" s="432"/>
      <c r="D369" s="432"/>
      <c r="E369" s="432"/>
      <c r="F369" s="432"/>
    </row>
    <row r="370" spans="1:13" x14ac:dyDescent="0.2">
      <c r="A370" s="210" t="s">
        <v>86</v>
      </c>
      <c r="B370" s="432" t="s">
        <v>101</v>
      </c>
      <c r="C370" s="432"/>
      <c r="D370" s="432"/>
      <c r="E370" s="432"/>
      <c r="F370" s="432"/>
      <c r="G370" s="432"/>
      <c r="H370" s="432"/>
      <c r="I370" s="432"/>
      <c r="J370" s="432"/>
      <c r="K370" s="432"/>
      <c r="L370" s="432"/>
    </row>
    <row r="371" spans="1:13" x14ac:dyDescent="0.2">
      <c r="A371" s="210" t="s">
        <v>87</v>
      </c>
      <c r="B371" s="432" t="str">
        <f>CONCATENATE("Irrigated peanut yield is ",Conventional!$D$7," lbs. and irrigated soybean yield is ",Conventional!$H$7," bu.")</f>
        <v>Irrigated peanut yield is 4700 lbs. and irrigated soybean yield is 60 bu.</v>
      </c>
      <c r="C371" s="432"/>
      <c r="D371" s="432"/>
      <c r="E371" s="432"/>
      <c r="F371" s="432"/>
      <c r="G371" s="432"/>
      <c r="H371" s="432"/>
      <c r="I371" s="159"/>
      <c r="J371" s="159"/>
      <c r="K371" s="159"/>
    </row>
    <row r="372" spans="1:13" x14ac:dyDescent="0.2">
      <c r="A372" s="210" t="s">
        <v>88</v>
      </c>
      <c r="B372" s="432" t="str">
        <f>CONCATENATE("Non-irrigated peanut yield is ",Conventional!$N$7," lbs. and non-irrigated soybean yield is ",Conventional!$R$7," bu.")</f>
        <v>Non-irrigated peanut yield is 3400 lbs. and non-irrigated soybean yield is 30 bu.</v>
      </c>
      <c r="C372" s="432"/>
      <c r="D372" s="432"/>
      <c r="E372" s="432"/>
      <c r="F372" s="432"/>
      <c r="G372" s="432"/>
      <c r="H372" s="432"/>
      <c r="I372" s="432"/>
      <c r="J372" s="159"/>
      <c r="K372" s="159"/>
    </row>
    <row r="373" spans="1:13" x14ac:dyDescent="0.2">
      <c r="A373" s="210" t="s">
        <v>89</v>
      </c>
      <c r="B373" s="432" t="s">
        <v>104</v>
      </c>
      <c r="C373" s="432"/>
      <c r="D373" s="432"/>
      <c r="E373" s="432"/>
      <c r="F373" s="432"/>
      <c r="G373" s="432"/>
      <c r="H373" s="432"/>
      <c r="I373" s="432"/>
      <c r="J373" s="432"/>
      <c r="K373" s="432"/>
      <c r="L373" s="432"/>
      <c r="M373" s="432"/>
    </row>
    <row r="403" spans="1:13" x14ac:dyDescent="0.2">
      <c r="A403" s="432" t="s">
        <v>93</v>
      </c>
      <c r="B403" s="432"/>
      <c r="C403" s="432"/>
      <c r="D403" s="432"/>
      <c r="E403" s="432"/>
      <c r="F403" s="432"/>
    </row>
    <row r="404" spans="1:13" x14ac:dyDescent="0.2">
      <c r="A404" s="210" t="s">
        <v>86</v>
      </c>
      <c r="B404" s="432" t="s">
        <v>102</v>
      </c>
      <c r="C404" s="432"/>
      <c r="D404" s="432"/>
      <c r="E404" s="432"/>
      <c r="F404" s="432"/>
      <c r="G404" s="432"/>
      <c r="H404" s="432"/>
      <c r="I404" s="432"/>
      <c r="J404" s="432"/>
      <c r="K404" s="432"/>
      <c r="L404" s="432"/>
    </row>
    <row r="405" spans="1:13" x14ac:dyDescent="0.2">
      <c r="A405" s="210" t="s">
        <v>87</v>
      </c>
      <c r="B405" s="432" t="str">
        <f>CONCATENATE("Irrigated corn yield is ",Conventional!$F$7," bu. and irrigated soybean yield is ",Conventional!$H$7," bu.")</f>
        <v>Irrigated corn yield is 200 bu. and irrigated soybean yield is 60 bu.</v>
      </c>
      <c r="C405" s="432"/>
      <c r="D405" s="432"/>
      <c r="E405" s="432"/>
      <c r="F405" s="432"/>
      <c r="G405" s="432"/>
      <c r="H405" s="432"/>
      <c r="I405" s="159"/>
      <c r="J405" s="159"/>
      <c r="K405" s="159"/>
    </row>
    <row r="406" spans="1:13" x14ac:dyDescent="0.2">
      <c r="A406" s="210" t="s">
        <v>88</v>
      </c>
      <c r="B406" s="432" t="str">
        <f>CONCATENATE("Non-irrigated corn yield is ",Conventional!$P$7," bu. and non-irrigated soybean yield is ",Conventional!$R$7," bu.")</f>
        <v>Non-irrigated corn yield is 85 bu. and non-irrigated soybean yield is 30 bu.</v>
      </c>
      <c r="C406" s="432"/>
      <c r="D406" s="432"/>
      <c r="E406" s="432"/>
      <c r="F406" s="432"/>
      <c r="G406" s="432"/>
      <c r="H406" s="432"/>
      <c r="I406" s="432"/>
      <c r="J406" s="159"/>
      <c r="K406" s="159"/>
    </row>
    <row r="407" spans="1:13" x14ac:dyDescent="0.2">
      <c r="A407" s="210" t="s">
        <v>89</v>
      </c>
      <c r="B407" s="432" t="s">
        <v>104</v>
      </c>
      <c r="C407" s="432"/>
      <c r="D407" s="432"/>
      <c r="E407" s="432"/>
      <c r="F407" s="432"/>
      <c r="G407" s="432"/>
      <c r="H407" s="432"/>
      <c r="I407" s="432"/>
      <c r="J407" s="432"/>
      <c r="K407" s="432"/>
      <c r="L407" s="432"/>
      <c r="M407" s="432"/>
    </row>
  </sheetData>
  <sheetProtection sheet="1" objects="1" scenarios="1"/>
  <mergeCells count="60">
    <mergeCell ref="B101:M101"/>
    <mergeCell ref="B64:K64"/>
    <mergeCell ref="B65:H65"/>
    <mergeCell ref="B66:I66"/>
    <mergeCell ref="B67:M67"/>
    <mergeCell ref="B99:H99"/>
    <mergeCell ref="B100:I100"/>
    <mergeCell ref="A29:F29"/>
    <mergeCell ref="A63:F63"/>
    <mergeCell ref="A97:F97"/>
    <mergeCell ref="B98:L98"/>
    <mergeCell ref="B30:K30"/>
    <mergeCell ref="B31:H31"/>
    <mergeCell ref="B32:I32"/>
    <mergeCell ref="B33:M33"/>
    <mergeCell ref="B166:K166"/>
    <mergeCell ref="B167:H167"/>
    <mergeCell ref="B168:I168"/>
    <mergeCell ref="B169:M169"/>
    <mergeCell ref="A131:F131"/>
    <mergeCell ref="B132:K132"/>
    <mergeCell ref="B133:H133"/>
    <mergeCell ref="B134:I134"/>
    <mergeCell ref="A165:F165"/>
    <mergeCell ref="B135:M135"/>
    <mergeCell ref="A233:F233"/>
    <mergeCell ref="B234:K234"/>
    <mergeCell ref="B235:H235"/>
    <mergeCell ref="B236:I236"/>
    <mergeCell ref="A267:F267"/>
    <mergeCell ref="B407:M407"/>
    <mergeCell ref="B373:M373"/>
    <mergeCell ref="B338:M338"/>
    <mergeCell ref="A199:F199"/>
    <mergeCell ref="B200:L200"/>
    <mergeCell ref="B201:H201"/>
    <mergeCell ref="B202:I202"/>
    <mergeCell ref="B303:H303"/>
    <mergeCell ref="B237:M237"/>
    <mergeCell ref="B203:M203"/>
    <mergeCell ref="B405:H405"/>
    <mergeCell ref="B337:I337"/>
    <mergeCell ref="A369:F369"/>
    <mergeCell ref="B268:K268"/>
    <mergeCell ref="B269:H269"/>
    <mergeCell ref="B270:I270"/>
    <mergeCell ref="B305:M305"/>
    <mergeCell ref="B271:M271"/>
    <mergeCell ref="B406:I406"/>
    <mergeCell ref="A334:F334"/>
    <mergeCell ref="B336:H336"/>
    <mergeCell ref="A301:F301"/>
    <mergeCell ref="B302:L302"/>
    <mergeCell ref="B371:H371"/>
    <mergeCell ref="B335:L335"/>
    <mergeCell ref="B370:L370"/>
    <mergeCell ref="A403:F403"/>
    <mergeCell ref="B404:L404"/>
    <mergeCell ref="B372:I372"/>
    <mergeCell ref="B304:I304"/>
  </mergeCells>
  <phoneticPr fontId="2" type="noConversion"/>
  <printOptions horizontalCentered="1" verticalCentered="1"/>
  <pageMargins left="0.7" right="0.7" top="0.75" bottom="0.75" header="0.3" footer="0.3"/>
  <pageSetup fitToWidth="3" fitToHeight="3" orientation="landscape" r:id="rId1"/>
  <headerFooter>
    <oddHeader>&amp;LConventional Tillage Chart</oddHeader>
    <oddFooter>&amp;L&amp;G&amp;CCharts by A.R. Smith, Y Liu, and G.A. Hancock&amp;RAg and Applied Economics, 1/2024</oddFooter>
  </headerFooter>
  <rowBreaks count="11" manualBreakCount="11">
    <brk id="34" max="12" man="1"/>
    <brk id="68" max="12" man="1"/>
    <brk id="102" max="12" man="1"/>
    <brk id="136" max="12" man="1"/>
    <brk id="170" max="12" man="1"/>
    <brk id="204" max="12" man="1"/>
    <brk id="238" max="12" man="1"/>
    <brk id="272" max="12" man="1"/>
    <brk id="306" max="12" man="1"/>
    <brk id="340" max="12" man="1"/>
    <brk id="374" max="12" man="1"/>
  </rowBreaks>
  <colBreaks count="2" manualBreakCount="2">
    <brk id="13" max="216" man="1"/>
    <brk id="26" max="216" man="1"/>
  </col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29:M407"/>
  <sheetViews>
    <sheetView zoomScale="110" zoomScaleNormal="110" zoomScaleSheetLayoutView="100" zoomScalePageLayoutView="110" workbookViewId="0">
      <selection activeCell="B33" sqref="B33:M33"/>
    </sheetView>
  </sheetViews>
  <sheetFormatPr baseColWidth="10" defaultColWidth="8.83203125" defaultRowHeight="14" x14ac:dyDescent="0.2"/>
  <cols>
    <col min="1" max="1" width="8.83203125" style="90"/>
    <col min="2" max="2" width="8.83203125" style="159"/>
    <col min="3" max="26" width="8.83203125" style="90"/>
    <col min="27" max="27" width="8.83203125" style="90" customWidth="1"/>
    <col min="28" max="16384" width="8.83203125" style="90"/>
  </cols>
  <sheetData>
    <row r="29" spans="1:11" x14ac:dyDescent="0.2">
      <c r="A29" s="433" t="s">
        <v>93</v>
      </c>
      <c r="B29" s="433"/>
      <c r="C29" s="433"/>
      <c r="D29" s="433"/>
      <c r="E29" s="433"/>
      <c r="F29" s="433"/>
    </row>
    <row r="30" spans="1:11" x14ac:dyDescent="0.2">
      <c r="A30" s="210" t="s">
        <v>86</v>
      </c>
      <c r="B30" s="432" t="s">
        <v>90</v>
      </c>
      <c r="C30" s="432"/>
      <c r="D30" s="432"/>
      <c r="E30" s="432"/>
      <c r="F30" s="432"/>
      <c r="G30" s="432"/>
      <c r="H30" s="432"/>
      <c r="I30" s="432"/>
      <c r="J30" s="432"/>
      <c r="K30" s="432"/>
    </row>
    <row r="31" spans="1:11" x14ac:dyDescent="0.2">
      <c r="A31" s="210" t="s">
        <v>87</v>
      </c>
      <c r="B31" s="432" t="str">
        <f>CONCATENATE("Irrigated peanut yield is ",'Strip-Till'!$D$7," lbs. and irrigated cotton yield is ",'Strip-Till'!B7," lbs.")</f>
        <v>Irrigated peanut yield is 4700 lbs. and irrigated cotton yield is 1200 lbs.</v>
      </c>
      <c r="C31" s="432"/>
      <c r="D31" s="432"/>
      <c r="E31" s="432"/>
      <c r="F31" s="432"/>
      <c r="G31" s="432"/>
      <c r="H31" s="432"/>
      <c r="I31" s="159"/>
      <c r="J31" s="159"/>
      <c r="K31" s="159"/>
    </row>
    <row r="32" spans="1:11" x14ac:dyDescent="0.2">
      <c r="A32" s="210" t="s">
        <v>88</v>
      </c>
      <c r="B32" s="432" t="str">
        <f>CONCATENATE("Non-irrigated peanut yield is ",'Strip-Till'!N7," lbs. and non-irrigated cotton yield is ",'Strip-Till'!L7," lbs.")</f>
        <v>Non-irrigated peanut yield is 3400 lbs. and non-irrigated cotton yield is 750 lbs.</v>
      </c>
      <c r="C32" s="432"/>
      <c r="D32" s="432"/>
      <c r="E32" s="432"/>
      <c r="F32" s="432"/>
      <c r="G32" s="432"/>
      <c r="H32" s="432"/>
      <c r="I32" s="432"/>
      <c r="J32" s="159"/>
      <c r="K32" s="159"/>
    </row>
    <row r="33" spans="1:13" x14ac:dyDescent="0.2">
      <c r="A33" s="210" t="s">
        <v>89</v>
      </c>
      <c r="B33" s="432" t="s">
        <v>103</v>
      </c>
      <c r="C33" s="432"/>
      <c r="D33" s="432"/>
      <c r="E33" s="432"/>
      <c r="F33" s="432"/>
      <c r="G33" s="432"/>
      <c r="H33" s="432"/>
      <c r="I33" s="432"/>
      <c r="J33" s="432"/>
      <c r="K33" s="432"/>
      <c r="L33" s="432"/>
      <c r="M33" s="432"/>
    </row>
    <row r="63" spans="1:11" x14ac:dyDescent="0.2">
      <c r="A63" s="432" t="s">
        <v>93</v>
      </c>
      <c r="B63" s="432"/>
      <c r="C63" s="432"/>
      <c r="D63" s="432"/>
      <c r="E63" s="432"/>
      <c r="F63" s="432"/>
    </row>
    <row r="64" spans="1:11" x14ac:dyDescent="0.2">
      <c r="A64" s="210" t="s">
        <v>86</v>
      </c>
      <c r="B64" s="432" t="s">
        <v>91</v>
      </c>
      <c r="C64" s="432"/>
      <c r="D64" s="432"/>
      <c r="E64" s="432"/>
      <c r="F64" s="432"/>
      <c r="G64" s="432"/>
      <c r="H64" s="432"/>
      <c r="I64" s="432"/>
      <c r="J64" s="432"/>
      <c r="K64" s="432"/>
    </row>
    <row r="65" spans="1:13" x14ac:dyDescent="0.2">
      <c r="A65" s="210" t="s">
        <v>87</v>
      </c>
      <c r="B65" s="432" t="str">
        <f>CONCATENATE("Irrigated corn yield is ",'Strip-Till'!F7," bu. and irrigated cotton yield is ",'Strip-Till'!B7," lbs.")</f>
        <v>Irrigated corn yield is 200 bu. and irrigated cotton yield is 1200 lbs.</v>
      </c>
      <c r="C65" s="432"/>
      <c r="D65" s="432"/>
      <c r="E65" s="432"/>
      <c r="F65" s="432"/>
      <c r="G65" s="432"/>
      <c r="H65" s="432"/>
      <c r="I65" s="159"/>
      <c r="J65" s="159"/>
      <c r="K65" s="159"/>
    </row>
    <row r="66" spans="1:13" x14ac:dyDescent="0.2">
      <c r="A66" s="210" t="s">
        <v>88</v>
      </c>
      <c r="B66" s="432" t="str">
        <f>CONCATENATE("Non-irrigated corn yield is ",'Strip-Till'!P7," bu. and non-irrigated cotton yield is ",'Strip-Till'!L7," lbs.")</f>
        <v>Non-irrigated corn yield is 85 bu. and non-irrigated cotton yield is 750 lbs.</v>
      </c>
      <c r="C66" s="432"/>
      <c r="D66" s="432"/>
      <c r="E66" s="432"/>
      <c r="F66" s="432"/>
      <c r="G66" s="432"/>
      <c r="H66" s="432"/>
      <c r="I66" s="432"/>
      <c r="J66" s="159"/>
      <c r="K66" s="159"/>
    </row>
    <row r="67" spans="1:13" x14ac:dyDescent="0.2">
      <c r="A67" s="210" t="s">
        <v>89</v>
      </c>
      <c r="B67" s="432" t="s">
        <v>103</v>
      </c>
      <c r="C67" s="432"/>
      <c r="D67" s="432"/>
      <c r="E67" s="432"/>
      <c r="F67" s="432"/>
      <c r="G67" s="432"/>
      <c r="H67" s="432"/>
      <c r="I67" s="432"/>
      <c r="J67" s="432"/>
      <c r="K67" s="432"/>
      <c r="L67" s="432"/>
      <c r="M67" s="432"/>
    </row>
    <row r="97" spans="1:13" x14ac:dyDescent="0.2">
      <c r="A97" s="432" t="s">
        <v>93</v>
      </c>
      <c r="B97" s="432"/>
      <c r="C97" s="432"/>
      <c r="D97" s="432"/>
      <c r="E97" s="432"/>
      <c r="F97" s="432"/>
    </row>
    <row r="98" spans="1:13" x14ac:dyDescent="0.2">
      <c r="A98" s="210" t="s">
        <v>86</v>
      </c>
      <c r="B98" s="432" t="s">
        <v>92</v>
      </c>
      <c r="C98" s="432"/>
      <c r="D98" s="432"/>
      <c r="E98" s="432"/>
      <c r="F98" s="432"/>
      <c r="G98" s="432"/>
      <c r="H98" s="432"/>
      <c r="I98" s="432"/>
      <c r="J98" s="432"/>
      <c r="K98" s="432"/>
      <c r="L98" s="432"/>
    </row>
    <row r="99" spans="1:13" x14ac:dyDescent="0.2">
      <c r="A99" s="210" t="s">
        <v>87</v>
      </c>
      <c r="B99" s="432" t="str">
        <f>CONCATENATE("Irrigated soybean yield is ",'Strip-Till'!H7," bu. and irrigated cotton yield is ",'Strip-Till'!B7," lbs.")</f>
        <v>Irrigated soybean yield is 60 bu. and irrigated cotton yield is 1200 lbs.</v>
      </c>
      <c r="C99" s="432"/>
      <c r="D99" s="432"/>
      <c r="E99" s="432"/>
      <c r="F99" s="432"/>
      <c r="G99" s="432"/>
      <c r="H99" s="432"/>
      <c r="I99" s="159"/>
      <c r="J99" s="159"/>
      <c r="K99" s="159"/>
    </row>
    <row r="100" spans="1:13" x14ac:dyDescent="0.2">
      <c r="A100" s="210" t="s">
        <v>88</v>
      </c>
      <c r="B100" s="432" t="str">
        <f>CONCATENATE("Non-irrigated soybean yield is ",'Strip-Till'!R7," bu. and non-irrigated cotton yield is ",'Strip-Till'!L7," lbs.")</f>
        <v>Non-irrigated soybean yield is 30 bu. and non-irrigated cotton yield is 750 lbs.</v>
      </c>
      <c r="C100" s="432"/>
      <c r="D100" s="432"/>
      <c r="E100" s="432"/>
      <c r="F100" s="432"/>
      <c r="G100" s="432"/>
      <c r="H100" s="432"/>
      <c r="I100" s="432"/>
      <c r="J100" s="159"/>
      <c r="K100" s="159"/>
    </row>
    <row r="101" spans="1:13" x14ac:dyDescent="0.2">
      <c r="A101" s="210" t="s">
        <v>89</v>
      </c>
      <c r="B101" s="432" t="s">
        <v>103</v>
      </c>
      <c r="C101" s="432"/>
      <c r="D101" s="432"/>
      <c r="E101" s="432"/>
      <c r="F101" s="432"/>
      <c r="G101" s="432"/>
      <c r="H101" s="432"/>
      <c r="I101" s="432"/>
      <c r="J101" s="432"/>
      <c r="K101" s="432"/>
      <c r="L101" s="432"/>
      <c r="M101" s="432"/>
    </row>
    <row r="131" spans="1:13" x14ac:dyDescent="0.2">
      <c r="A131" s="433" t="s">
        <v>93</v>
      </c>
      <c r="B131" s="433"/>
      <c r="C131" s="433"/>
      <c r="D131" s="433"/>
      <c r="E131" s="433"/>
      <c r="F131" s="433"/>
    </row>
    <row r="132" spans="1:13" x14ac:dyDescent="0.2">
      <c r="A132" s="210" t="s">
        <v>86</v>
      </c>
      <c r="B132" s="432" t="s">
        <v>94</v>
      </c>
      <c r="C132" s="432"/>
      <c r="D132" s="432"/>
      <c r="E132" s="432"/>
      <c r="F132" s="432"/>
      <c r="G132" s="432"/>
      <c r="H132" s="432"/>
      <c r="I132" s="432"/>
      <c r="J132" s="432"/>
      <c r="K132" s="432"/>
    </row>
    <row r="133" spans="1:13" x14ac:dyDescent="0.2">
      <c r="A133" s="210" t="s">
        <v>87</v>
      </c>
      <c r="B133" s="432" t="str">
        <f>CONCATENATE("Irrigated cotton yield is ",'Strip-Till'!B7," lbs. and irrigated peanut yield is ",'Strip-Till'!D7," lbs.")</f>
        <v>Irrigated cotton yield is 1200 lbs. and irrigated peanut yield is 4700 lbs.</v>
      </c>
      <c r="C133" s="432"/>
      <c r="D133" s="432"/>
      <c r="E133" s="432"/>
      <c r="F133" s="432"/>
      <c r="G133" s="432"/>
      <c r="H133" s="432"/>
      <c r="I133" s="159"/>
      <c r="J133" s="159"/>
      <c r="K133" s="159"/>
    </row>
    <row r="134" spans="1:13" x14ac:dyDescent="0.2">
      <c r="A134" s="210" t="s">
        <v>88</v>
      </c>
      <c r="B134" s="432" t="str">
        <f>CONCATENATE("Non-irrigated cotton yield is ",'Strip-Till'!L7," lbs. and non-irrigated peanut yield is ",'Strip-Till'!N7," lbs.")</f>
        <v>Non-irrigated cotton yield is 750 lbs. and non-irrigated peanut yield is 3400 lbs.</v>
      </c>
      <c r="C134" s="432"/>
      <c r="D134" s="432"/>
      <c r="E134" s="432"/>
      <c r="F134" s="432"/>
      <c r="G134" s="432"/>
      <c r="H134" s="432"/>
      <c r="I134" s="432"/>
      <c r="J134" s="159"/>
      <c r="K134" s="159"/>
    </row>
    <row r="135" spans="1:13" x14ac:dyDescent="0.2">
      <c r="A135" s="210" t="s">
        <v>89</v>
      </c>
      <c r="B135" s="432" t="s">
        <v>103</v>
      </c>
      <c r="C135" s="432"/>
      <c r="D135" s="432"/>
      <c r="E135" s="432"/>
      <c r="F135" s="432"/>
      <c r="G135" s="432"/>
      <c r="H135" s="432"/>
      <c r="I135" s="432"/>
      <c r="J135" s="432"/>
      <c r="K135" s="432"/>
      <c r="L135" s="432"/>
      <c r="M135" s="432"/>
    </row>
    <row r="165" spans="1:13" x14ac:dyDescent="0.2">
      <c r="A165" s="432" t="s">
        <v>93</v>
      </c>
      <c r="B165" s="432"/>
      <c r="C165" s="432"/>
      <c r="D165" s="432"/>
      <c r="E165" s="432"/>
      <c r="F165" s="432"/>
    </row>
    <row r="166" spans="1:13" x14ac:dyDescent="0.2">
      <c r="A166" s="210" t="s">
        <v>86</v>
      </c>
      <c r="B166" s="432" t="s">
        <v>95</v>
      </c>
      <c r="C166" s="432"/>
      <c r="D166" s="432"/>
      <c r="E166" s="432"/>
      <c r="F166" s="432"/>
      <c r="G166" s="432"/>
      <c r="H166" s="432"/>
      <c r="I166" s="432"/>
      <c r="J166" s="432"/>
      <c r="K166" s="432"/>
    </row>
    <row r="167" spans="1:13" x14ac:dyDescent="0.2">
      <c r="A167" s="210" t="s">
        <v>87</v>
      </c>
      <c r="B167" s="432" t="str">
        <f>CONCATENATE("Irrigated corn yield is ",'Strip-Till'!$F$7," bu. and irrigated peanut yield is ",'Strip-Till'!$D$7," lbs.")</f>
        <v>Irrigated corn yield is 200 bu. and irrigated peanut yield is 4700 lbs.</v>
      </c>
      <c r="C167" s="432"/>
      <c r="D167" s="432"/>
      <c r="E167" s="432"/>
      <c r="F167" s="432"/>
      <c r="G167" s="432"/>
      <c r="H167" s="432"/>
      <c r="I167" s="159"/>
      <c r="J167" s="159"/>
      <c r="K167" s="159"/>
    </row>
    <row r="168" spans="1:13" x14ac:dyDescent="0.2">
      <c r="A168" s="210" t="s">
        <v>88</v>
      </c>
      <c r="B168" s="432" t="str">
        <f>CONCATENATE("Non-irrigated corn yield is ",'Strip-Till'!$P$7," bu. and non-irrigated peanut yield is ",'Strip-Till'!N7," lbs.")</f>
        <v>Non-irrigated corn yield is 85 bu. and non-irrigated peanut yield is 3400 lbs.</v>
      </c>
      <c r="C168" s="432"/>
      <c r="D168" s="432"/>
      <c r="E168" s="432"/>
      <c r="F168" s="432"/>
      <c r="G168" s="432"/>
      <c r="H168" s="432"/>
      <c r="I168" s="432"/>
      <c r="J168" s="159"/>
      <c r="K168" s="159"/>
    </row>
    <row r="169" spans="1:13" x14ac:dyDescent="0.2">
      <c r="A169" s="210" t="s">
        <v>89</v>
      </c>
      <c r="B169" s="432" t="s">
        <v>103</v>
      </c>
      <c r="C169" s="432"/>
      <c r="D169" s="432"/>
      <c r="E169" s="432"/>
      <c r="F169" s="432"/>
      <c r="G169" s="432"/>
      <c r="H169" s="432"/>
      <c r="I169" s="432"/>
      <c r="J169" s="432"/>
      <c r="K169" s="432"/>
      <c r="L169" s="432"/>
      <c r="M169" s="432"/>
    </row>
    <row r="199" spans="1:13" x14ac:dyDescent="0.2">
      <c r="A199" s="432" t="s">
        <v>93</v>
      </c>
      <c r="B199" s="432"/>
      <c r="C199" s="432"/>
      <c r="D199" s="432"/>
      <c r="E199" s="432"/>
      <c r="F199" s="432"/>
    </row>
    <row r="200" spans="1:13" x14ac:dyDescent="0.2">
      <c r="A200" s="210" t="s">
        <v>86</v>
      </c>
      <c r="B200" s="432" t="s">
        <v>96</v>
      </c>
      <c r="C200" s="432"/>
      <c r="D200" s="432"/>
      <c r="E200" s="432"/>
      <c r="F200" s="432"/>
      <c r="G200" s="432"/>
      <c r="H200" s="432"/>
      <c r="I200" s="432"/>
      <c r="J200" s="432"/>
      <c r="K200" s="432"/>
      <c r="L200" s="432"/>
    </row>
    <row r="201" spans="1:13" x14ac:dyDescent="0.2">
      <c r="A201" s="210" t="s">
        <v>87</v>
      </c>
      <c r="B201" s="432" t="str">
        <f>CONCATENATE("Irrigated soybean yield is ",'Strip-Till'!$H$7," bu. and irrigated peanut yield is ",'Strip-Till'!$D$7," lbs.")</f>
        <v>Irrigated soybean yield is 60 bu. and irrigated peanut yield is 4700 lbs.</v>
      </c>
      <c r="C201" s="432"/>
      <c r="D201" s="432"/>
      <c r="E201" s="432"/>
      <c r="F201" s="432"/>
      <c r="G201" s="432"/>
      <c r="H201" s="432"/>
      <c r="I201" s="159"/>
      <c r="J201" s="159"/>
      <c r="K201" s="159"/>
    </row>
    <row r="202" spans="1:13" x14ac:dyDescent="0.2">
      <c r="A202" s="210" t="s">
        <v>88</v>
      </c>
      <c r="B202" s="432" t="str">
        <f>CONCATENATE("Non-irrigated soybean yield is ",'Strip-Till'!$R$7," bu. and non-irrigated peanut yield is ",'Strip-Till'!$N$7," lbs.")</f>
        <v>Non-irrigated soybean yield is 30 bu. and non-irrigated peanut yield is 3400 lbs.</v>
      </c>
      <c r="C202" s="432"/>
      <c r="D202" s="432"/>
      <c r="E202" s="432"/>
      <c r="F202" s="432"/>
      <c r="G202" s="432"/>
      <c r="H202" s="432"/>
      <c r="I202" s="432"/>
      <c r="J202" s="159"/>
      <c r="K202" s="159"/>
    </row>
    <row r="203" spans="1:13" x14ac:dyDescent="0.2">
      <c r="A203" s="210" t="s">
        <v>89</v>
      </c>
      <c r="B203" s="432" t="s">
        <v>103</v>
      </c>
      <c r="C203" s="432"/>
      <c r="D203" s="432"/>
      <c r="E203" s="432"/>
      <c r="F203" s="432"/>
      <c r="G203" s="432"/>
      <c r="H203" s="432"/>
      <c r="I203" s="432"/>
      <c r="J203" s="432"/>
      <c r="K203" s="432"/>
      <c r="L203" s="432"/>
      <c r="M203" s="432"/>
    </row>
    <row r="233" spans="1:13" x14ac:dyDescent="0.2">
      <c r="A233" s="433" t="s">
        <v>93</v>
      </c>
      <c r="B233" s="433"/>
      <c r="C233" s="433"/>
      <c r="D233" s="433"/>
      <c r="E233" s="433"/>
      <c r="F233" s="433"/>
    </row>
    <row r="234" spans="1:13" x14ac:dyDescent="0.2">
      <c r="A234" s="210" t="s">
        <v>86</v>
      </c>
      <c r="B234" s="432" t="s">
        <v>97</v>
      </c>
      <c r="C234" s="432"/>
      <c r="D234" s="432"/>
      <c r="E234" s="432"/>
      <c r="F234" s="432"/>
      <c r="G234" s="432"/>
      <c r="H234" s="432"/>
      <c r="I234" s="432"/>
      <c r="J234" s="432"/>
      <c r="K234" s="432"/>
    </row>
    <row r="235" spans="1:13" x14ac:dyDescent="0.2">
      <c r="A235" s="210" t="s">
        <v>87</v>
      </c>
      <c r="B235" s="432" t="str">
        <f>CONCATENATE("Irrigated cotton yield is ",'Strip-Till'!$B$7," lbs. and irrigated corn yield is ",'Strip-Till'!$F$7," bu.")</f>
        <v>Irrigated cotton yield is 1200 lbs. and irrigated corn yield is 200 bu.</v>
      </c>
      <c r="C235" s="432"/>
      <c r="D235" s="432"/>
      <c r="E235" s="432"/>
      <c r="F235" s="432"/>
      <c r="G235" s="432"/>
      <c r="H235" s="432"/>
      <c r="I235" s="159"/>
      <c r="J235" s="159"/>
      <c r="K235" s="159"/>
    </row>
    <row r="236" spans="1:13" x14ac:dyDescent="0.2">
      <c r="A236" s="210" t="s">
        <v>88</v>
      </c>
      <c r="B236" s="432" t="str">
        <f>CONCATENATE("Non-irrigated cotton yield is ",'Strip-Till'!$L$7," lbs. and non-irrigated corn yield is ",'Strip-Till'!$P$7," bu.")</f>
        <v>Non-irrigated cotton yield is 750 lbs. and non-irrigated corn yield is 85 bu.</v>
      </c>
      <c r="C236" s="432"/>
      <c r="D236" s="432"/>
      <c r="E236" s="432"/>
      <c r="F236" s="432"/>
      <c r="G236" s="432"/>
      <c r="H236" s="432"/>
      <c r="I236" s="432"/>
      <c r="J236" s="159"/>
      <c r="K236" s="159"/>
    </row>
    <row r="237" spans="1:13" x14ac:dyDescent="0.2">
      <c r="A237" s="210" t="s">
        <v>89</v>
      </c>
      <c r="B237" s="432" t="s">
        <v>103</v>
      </c>
      <c r="C237" s="432"/>
      <c r="D237" s="432"/>
      <c r="E237" s="432"/>
      <c r="F237" s="432"/>
      <c r="G237" s="432"/>
      <c r="H237" s="432"/>
      <c r="I237" s="432"/>
      <c r="J237" s="432"/>
      <c r="K237" s="432"/>
      <c r="L237" s="432"/>
      <c r="M237" s="432"/>
    </row>
    <row r="267" spans="1:13" x14ac:dyDescent="0.2">
      <c r="A267" s="432" t="s">
        <v>93</v>
      </c>
      <c r="B267" s="432"/>
      <c r="C267" s="432"/>
      <c r="D267" s="432"/>
      <c r="E267" s="432"/>
      <c r="F267" s="432"/>
    </row>
    <row r="268" spans="1:13" x14ac:dyDescent="0.2">
      <c r="A268" s="210" t="s">
        <v>86</v>
      </c>
      <c r="B268" s="432" t="s">
        <v>98</v>
      </c>
      <c r="C268" s="432"/>
      <c r="D268" s="432"/>
      <c r="E268" s="432"/>
      <c r="F268" s="432"/>
      <c r="G268" s="432"/>
      <c r="H268" s="432"/>
      <c r="I268" s="432"/>
      <c r="J268" s="432"/>
      <c r="K268" s="432"/>
    </row>
    <row r="269" spans="1:13" x14ac:dyDescent="0.2">
      <c r="A269" s="210" t="s">
        <v>87</v>
      </c>
      <c r="B269" s="432" t="str">
        <f>CONCATENATE("Irrigated peanut yield is ",'Strip-Till'!$D$7," lbs. and irrigated corn yield is ",'Strip-Till'!$F$7," bu.")</f>
        <v>Irrigated peanut yield is 4700 lbs. and irrigated corn yield is 200 bu.</v>
      </c>
      <c r="C269" s="432"/>
      <c r="D269" s="432"/>
      <c r="E269" s="432"/>
      <c r="F269" s="432"/>
      <c r="G269" s="432"/>
      <c r="H269" s="432"/>
      <c r="I269" s="159"/>
      <c r="J269" s="159"/>
      <c r="K269" s="159"/>
    </row>
    <row r="270" spans="1:13" x14ac:dyDescent="0.2">
      <c r="A270" s="210" t="s">
        <v>88</v>
      </c>
      <c r="B270" s="432" t="str">
        <f>CONCATENATE("Non-irrigated peanut yield is ",'Strip-Till'!$N$7," lbs. and non-irrigated corn yield is ",'Strip-Till'!$P$7," bu.")</f>
        <v>Non-irrigated peanut yield is 3400 lbs. and non-irrigated corn yield is 85 bu.</v>
      </c>
      <c r="C270" s="432"/>
      <c r="D270" s="432"/>
      <c r="E270" s="432"/>
      <c r="F270" s="432"/>
      <c r="G270" s="432"/>
      <c r="H270" s="432"/>
      <c r="I270" s="432"/>
      <c r="J270" s="159"/>
      <c r="K270" s="159"/>
    </row>
    <row r="271" spans="1:13" x14ac:dyDescent="0.2">
      <c r="A271" s="210" t="s">
        <v>89</v>
      </c>
      <c r="B271" s="432" t="s">
        <v>103</v>
      </c>
      <c r="C271" s="432"/>
      <c r="D271" s="432"/>
      <c r="E271" s="432"/>
      <c r="F271" s="432"/>
      <c r="G271" s="432"/>
      <c r="H271" s="432"/>
      <c r="I271" s="432"/>
      <c r="J271" s="432"/>
      <c r="K271" s="432"/>
      <c r="L271" s="432"/>
      <c r="M271" s="432"/>
    </row>
    <row r="301" spans="1:12" x14ac:dyDescent="0.2">
      <c r="A301" s="432" t="s">
        <v>93</v>
      </c>
      <c r="B301" s="432"/>
      <c r="C301" s="432"/>
      <c r="D301" s="432"/>
      <c r="E301" s="432"/>
      <c r="F301" s="432"/>
    </row>
    <row r="302" spans="1:12" x14ac:dyDescent="0.2">
      <c r="A302" s="210" t="s">
        <v>86</v>
      </c>
      <c r="B302" s="432" t="s">
        <v>99</v>
      </c>
      <c r="C302" s="432"/>
      <c r="D302" s="432"/>
      <c r="E302" s="432"/>
      <c r="F302" s="432"/>
      <c r="G302" s="432"/>
      <c r="H302" s="432"/>
      <c r="I302" s="432"/>
      <c r="J302" s="432"/>
      <c r="K302" s="432"/>
      <c r="L302" s="432"/>
    </row>
    <row r="303" spans="1:12" x14ac:dyDescent="0.2">
      <c r="A303" s="210" t="s">
        <v>87</v>
      </c>
      <c r="B303" s="432" t="str">
        <f>CONCATENATE("Irrigated soybean yield is ",'Strip-Till'!$H$7," bu. and irrigated corn yield is ",'Strip-Till'!$F$7," bu.")</f>
        <v>Irrigated soybean yield is 60 bu. and irrigated corn yield is 200 bu.</v>
      </c>
      <c r="C303" s="432"/>
      <c r="D303" s="432"/>
      <c r="E303" s="432"/>
      <c r="F303" s="432"/>
      <c r="G303" s="432"/>
      <c r="H303" s="432"/>
      <c r="I303" s="159"/>
      <c r="J303" s="159"/>
      <c r="K303" s="159"/>
    </row>
    <row r="304" spans="1:12" x14ac:dyDescent="0.2">
      <c r="A304" s="210" t="s">
        <v>88</v>
      </c>
      <c r="B304" s="432" t="str">
        <f>CONCATENATE("Non-irrigated soybean yield is ",'Strip-Till'!$R$7," bu. and non-irrigated corn yield is ",'Strip-Till'!$P$7," bu.")</f>
        <v>Non-irrigated soybean yield is 30 bu. and non-irrigated corn yield is 85 bu.</v>
      </c>
      <c r="C304" s="432"/>
      <c r="D304" s="432"/>
      <c r="E304" s="432"/>
      <c r="F304" s="432"/>
      <c r="G304" s="432"/>
      <c r="H304" s="432"/>
      <c r="I304" s="432"/>
      <c r="J304" s="159"/>
      <c r="K304" s="159"/>
    </row>
    <row r="305" spans="1:13" x14ac:dyDescent="0.2">
      <c r="A305" s="210" t="s">
        <v>89</v>
      </c>
      <c r="B305" s="432" t="s">
        <v>103</v>
      </c>
      <c r="C305" s="432"/>
      <c r="D305" s="432"/>
      <c r="E305" s="432"/>
      <c r="F305" s="432"/>
      <c r="G305" s="432"/>
      <c r="H305" s="432"/>
      <c r="I305" s="432"/>
      <c r="J305" s="432"/>
      <c r="K305" s="432"/>
      <c r="L305" s="432"/>
      <c r="M305" s="432"/>
    </row>
    <row r="334" spans="1:12" x14ac:dyDescent="0.2">
      <c r="A334" s="433" t="s">
        <v>93</v>
      </c>
      <c r="B334" s="433"/>
      <c r="C334" s="433"/>
      <c r="D334" s="433"/>
      <c r="E334" s="433"/>
      <c r="F334" s="433"/>
    </row>
    <row r="335" spans="1:12" x14ac:dyDescent="0.2">
      <c r="A335" s="210" t="s">
        <v>86</v>
      </c>
      <c r="B335" s="432" t="s">
        <v>100</v>
      </c>
      <c r="C335" s="432"/>
      <c r="D335" s="432"/>
      <c r="E335" s="432"/>
      <c r="F335" s="432"/>
      <c r="G335" s="432"/>
      <c r="H335" s="432"/>
      <c r="I335" s="432"/>
      <c r="J335" s="432"/>
      <c r="K335" s="432"/>
      <c r="L335" s="432"/>
    </row>
    <row r="336" spans="1:12" x14ac:dyDescent="0.2">
      <c r="A336" s="210" t="s">
        <v>87</v>
      </c>
      <c r="B336" s="432" t="str">
        <f>CONCATENATE("Irrigated cotton yield is ",'Strip-Till'!$B$7," lbs. and irrigated soybean yield is ",'Strip-Till'!$H$7," bu.")</f>
        <v>Irrigated cotton yield is 1200 lbs. and irrigated soybean yield is 60 bu.</v>
      </c>
      <c r="C336" s="432"/>
      <c r="D336" s="432"/>
      <c r="E336" s="432"/>
      <c r="F336" s="432"/>
      <c r="G336" s="432"/>
      <c r="H336" s="432"/>
      <c r="I336" s="159"/>
      <c r="J336" s="159"/>
      <c r="K336" s="159"/>
    </row>
    <row r="337" spans="1:13" x14ac:dyDescent="0.2">
      <c r="A337" s="210" t="s">
        <v>88</v>
      </c>
      <c r="B337" s="432" t="str">
        <f>CONCATENATE("Non-irrigated cotton yield is ",'Strip-Till'!$L$7," lbs. and non-irrigated soybean yield is ",'Strip-Till'!$R$7," bu.")</f>
        <v>Non-irrigated cotton yield is 750 lbs. and non-irrigated soybean yield is 30 bu.</v>
      </c>
      <c r="C337" s="432"/>
      <c r="D337" s="432"/>
      <c r="E337" s="432"/>
      <c r="F337" s="432"/>
      <c r="G337" s="432"/>
      <c r="H337" s="432"/>
      <c r="I337" s="432"/>
      <c r="J337" s="159"/>
      <c r="K337" s="159"/>
    </row>
    <row r="338" spans="1:13" x14ac:dyDescent="0.2">
      <c r="A338" s="210" t="s">
        <v>89</v>
      </c>
      <c r="B338" s="432" t="s">
        <v>103</v>
      </c>
      <c r="C338" s="432"/>
      <c r="D338" s="432"/>
      <c r="E338" s="432"/>
      <c r="F338" s="432"/>
      <c r="G338" s="432"/>
      <c r="H338" s="432"/>
      <c r="I338" s="432"/>
      <c r="J338" s="432"/>
      <c r="K338" s="432"/>
      <c r="L338" s="432"/>
      <c r="M338" s="432"/>
    </row>
    <row r="369" spans="1:13" x14ac:dyDescent="0.2">
      <c r="A369" s="432" t="s">
        <v>93</v>
      </c>
      <c r="B369" s="432"/>
      <c r="C369" s="432"/>
      <c r="D369" s="432"/>
      <c r="E369" s="432"/>
      <c r="F369" s="432"/>
    </row>
    <row r="370" spans="1:13" x14ac:dyDescent="0.2">
      <c r="A370" s="210" t="s">
        <v>86</v>
      </c>
      <c r="B370" s="432" t="s">
        <v>101</v>
      </c>
      <c r="C370" s="432"/>
      <c r="D370" s="432"/>
      <c r="E370" s="432"/>
      <c r="F370" s="432"/>
      <c r="G370" s="432"/>
      <c r="H370" s="432"/>
      <c r="I370" s="432"/>
      <c r="J370" s="432"/>
      <c r="K370" s="432"/>
      <c r="L370" s="432"/>
    </row>
    <row r="371" spans="1:13" x14ac:dyDescent="0.2">
      <c r="A371" s="210" t="s">
        <v>87</v>
      </c>
      <c r="B371" s="432" t="str">
        <f>CONCATENATE("Irrigated peanut yield is ",'Strip-Till'!$D$7," lbs. and irrigated soybean yield is ",'Strip-Till'!$H$7," bu.")</f>
        <v>Irrigated peanut yield is 4700 lbs. and irrigated soybean yield is 60 bu.</v>
      </c>
      <c r="C371" s="432"/>
      <c r="D371" s="432"/>
      <c r="E371" s="432"/>
      <c r="F371" s="432"/>
      <c r="G371" s="432"/>
      <c r="H371" s="432"/>
      <c r="I371" s="159"/>
      <c r="J371" s="159"/>
      <c r="K371" s="159"/>
    </row>
    <row r="372" spans="1:13" x14ac:dyDescent="0.2">
      <c r="A372" s="210" t="s">
        <v>88</v>
      </c>
      <c r="B372" s="432" t="str">
        <f>CONCATENATE("Non-irrigated peanut yield is ",'Strip-Till'!$N$7," lbs. and non-irrigated soybean yield is ",'Strip-Till'!$R$7," bu.")</f>
        <v>Non-irrigated peanut yield is 3400 lbs. and non-irrigated soybean yield is 30 bu.</v>
      </c>
      <c r="C372" s="432"/>
      <c r="D372" s="432"/>
      <c r="E372" s="432"/>
      <c r="F372" s="432"/>
      <c r="G372" s="432"/>
      <c r="H372" s="432"/>
      <c r="I372" s="432"/>
      <c r="J372" s="159"/>
      <c r="K372" s="159"/>
    </row>
    <row r="373" spans="1:13" x14ac:dyDescent="0.2">
      <c r="A373" s="210" t="s">
        <v>89</v>
      </c>
      <c r="B373" s="432" t="s">
        <v>103</v>
      </c>
      <c r="C373" s="432"/>
      <c r="D373" s="432"/>
      <c r="E373" s="432"/>
      <c r="F373" s="432"/>
      <c r="G373" s="432"/>
      <c r="H373" s="432"/>
      <c r="I373" s="432"/>
      <c r="J373" s="432"/>
      <c r="K373" s="432"/>
      <c r="L373" s="432"/>
      <c r="M373" s="432"/>
    </row>
    <row r="403" spans="1:13" x14ac:dyDescent="0.2">
      <c r="A403" s="432" t="s">
        <v>93</v>
      </c>
      <c r="B403" s="432"/>
      <c r="C403" s="432"/>
      <c r="D403" s="432"/>
      <c r="E403" s="432"/>
      <c r="F403" s="432"/>
    </row>
    <row r="404" spans="1:13" x14ac:dyDescent="0.2">
      <c r="A404" s="210" t="s">
        <v>86</v>
      </c>
      <c r="B404" s="432" t="s">
        <v>102</v>
      </c>
      <c r="C404" s="432"/>
      <c r="D404" s="432"/>
      <c r="E404" s="432"/>
      <c r="F404" s="432"/>
      <c r="G404" s="432"/>
      <c r="H404" s="432"/>
      <c r="I404" s="432"/>
      <c r="J404" s="432"/>
      <c r="K404" s="432"/>
      <c r="L404" s="432"/>
    </row>
    <row r="405" spans="1:13" x14ac:dyDescent="0.2">
      <c r="A405" s="210" t="s">
        <v>87</v>
      </c>
      <c r="B405" s="432" t="str">
        <f>CONCATENATE("Irrigated corn yield is ",'Strip-Till'!$F$7," bu. and irrigated soybean yield is ",'Strip-Till'!$H$7," bu.")</f>
        <v>Irrigated corn yield is 200 bu. and irrigated soybean yield is 60 bu.</v>
      </c>
      <c r="C405" s="432"/>
      <c r="D405" s="432"/>
      <c r="E405" s="432"/>
      <c r="F405" s="432"/>
      <c r="G405" s="432"/>
      <c r="H405" s="432"/>
      <c r="I405" s="159"/>
      <c r="J405" s="159"/>
      <c r="K405" s="159"/>
    </row>
    <row r="406" spans="1:13" x14ac:dyDescent="0.2">
      <c r="A406" s="210" t="s">
        <v>88</v>
      </c>
      <c r="B406" s="432" t="str">
        <f>CONCATENATE("Non-irrigated corn yield is ",'Strip-Till'!$P$7," bu. and non-irrigated soybean yield is ",'Strip-Till'!$R$7," bu.")</f>
        <v>Non-irrigated corn yield is 85 bu. and non-irrigated soybean yield is 30 bu.</v>
      </c>
      <c r="C406" s="432"/>
      <c r="D406" s="432"/>
      <c r="E406" s="432"/>
      <c r="F406" s="432"/>
      <c r="G406" s="432"/>
      <c r="H406" s="432"/>
      <c r="I406" s="432"/>
      <c r="J406" s="159"/>
      <c r="K406" s="159"/>
    </row>
    <row r="407" spans="1:13" x14ac:dyDescent="0.2">
      <c r="A407" s="210" t="s">
        <v>89</v>
      </c>
      <c r="B407" s="432" t="s">
        <v>103</v>
      </c>
      <c r="C407" s="432"/>
      <c r="D407" s="432"/>
      <c r="E407" s="432"/>
      <c r="F407" s="432"/>
      <c r="G407" s="432"/>
      <c r="H407" s="432"/>
      <c r="I407" s="432"/>
      <c r="J407" s="432"/>
      <c r="K407" s="432"/>
      <c r="L407" s="432"/>
      <c r="M407" s="432"/>
    </row>
  </sheetData>
  <sheetProtection sheet="1" objects="1" scenarios="1"/>
  <mergeCells count="60">
    <mergeCell ref="A29:F29"/>
    <mergeCell ref="B30:K30"/>
    <mergeCell ref="B31:H31"/>
    <mergeCell ref="B32:I32"/>
    <mergeCell ref="A63:F63"/>
    <mergeCell ref="B33:M33"/>
    <mergeCell ref="B64:K64"/>
    <mergeCell ref="B65:H65"/>
    <mergeCell ref="B66:I66"/>
    <mergeCell ref="A97:F97"/>
    <mergeCell ref="B98:L98"/>
    <mergeCell ref="B67:M67"/>
    <mergeCell ref="B99:H99"/>
    <mergeCell ref="B100:I100"/>
    <mergeCell ref="A131:F131"/>
    <mergeCell ref="B132:K132"/>
    <mergeCell ref="B133:H133"/>
    <mergeCell ref="B101:M101"/>
    <mergeCell ref="B134:I134"/>
    <mergeCell ref="A165:F165"/>
    <mergeCell ref="B166:K166"/>
    <mergeCell ref="B167:H167"/>
    <mergeCell ref="B168:I168"/>
    <mergeCell ref="B135:M135"/>
    <mergeCell ref="B169:M169"/>
    <mergeCell ref="A233:F233"/>
    <mergeCell ref="B234:K234"/>
    <mergeCell ref="B235:H235"/>
    <mergeCell ref="B236:I236"/>
    <mergeCell ref="A199:F199"/>
    <mergeCell ref="B200:L200"/>
    <mergeCell ref="B201:H201"/>
    <mergeCell ref="B202:I202"/>
    <mergeCell ref="B203:M203"/>
    <mergeCell ref="A267:F267"/>
    <mergeCell ref="B237:M237"/>
    <mergeCell ref="B268:K268"/>
    <mergeCell ref="B269:H269"/>
    <mergeCell ref="B270:I270"/>
    <mergeCell ref="B302:L302"/>
    <mergeCell ref="B271:M271"/>
    <mergeCell ref="B303:H303"/>
    <mergeCell ref="B304:I304"/>
    <mergeCell ref="B338:M338"/>
    <mergeCell ref="A334:F334"/>
    <mergeCell ref="B335:L335"/>
    <mergeCell ref="B336:H336"/>
    <mergeCell ref="B305:M305"/>
    <mergeCell ref="B337:I337"/>
    <mergeCell ref="A301:F301"/>
    <mergeCell ref="B407:M407"/>
    <mergeCell ref="A369:F369"/>
    <mergeCell ref="B370:L370"/>
    <mergeCell ref="B371:H371"/>
    <mergeCell ref="B372:I372"/>
    <mergeCell ref="B373:M373"/>
    <mergeCell ref="A403:F403"/>
    <mergeCell ref="B404:L404"/>
    <mergeCell ref="B405:H405"/>
    <mergeCell ref="B406:I406"/>
  </mergeCells>
  <phoneticPr fontId="2" type="noConversion"/>
  <printOptions horizontalCentered="1" verticalCentered="1"/>
  <pageMargins left="0.7" right="0.7" top="0.75" bottom="0.75" header="0.3" footer="0.3"/>
  <pageSetup fitToWidth="3" fitToHeight="3" orientation="landscape" r:id="rId1"/>
  <headerFooter>
    <oddHeader>&amp;LStrip Tillage Chart</oddHeader>
    <oddFooter xml:space="preserve">&amp;L&amp;G&amp;CCharts by A.R. Smith, Y. Liu and G.A. Hancock&amp;RAg and Applied Economics,1/2024
</oddFooter>
  </headerFooter>
  <rowBreaks count="11" manualBreakCount="11">
    <brk id="34" max="12" man="1"/>
    <brk id="68" max="12" man="1"/>
    <brk id="102" max="12" man="1"/>
    <brk id="136" max="12" man="1"/>
    <brk id="170" max="12" man="1"/>
    <brk id="204" max="12" man="1"/>
    <brk id="238" max="12" man="1"/>
    <brk id="272" max="12" man="1"/>
    <brk id="306" max="12" man="1"/>
    <brk id="340" max="12" man="1"/>
    <brk id="374" max="12" man="1"/>
  </rowBreaks>
  <colBreaks count="2" manualBreakCount="2">
    <brk id="13" max="216" man="1"/>
    <brk id="26" max="216" man="1"/>
  </col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1:M59"/>
  <sheetViews>
    <sheetView topLeftCell="A7" workbookViewId="0">
      <selection sqref="A1:I1"/>
    </sheetView>
  </sheetViews>
  <sheetFormatPr baseColWidth="10" defaultColWidth="9.33203125" defaultRowHeight="13" x14ac:dyDescent="0.15"/>
  <cols>
    <col min="1" max="8" width="9.33203125" style="66" customWidth="1"/>
    <col min="9" max="16384" width="9.33203125" style="66"/>
  </cols>
  <sheetData>
    <row r="1" spans="1:13" s="53" customFormat="1" ht="12" hidden="1" x14ac:dyDescent="0.15">
      <c r="A1" s="52"/>
      <c r="B1" s="439" t="s">
        <v>45</v>
      </c>
      <c r="C1" s="439"/>
      <c r="D1" s="439"/>
      <c r="E1" s="439"/>
      <c r="F1" s="439"/>
      <c r="G1" s="439"/>
      <c r="H1" s="52"/>
    </row>
    <row r="2" spans="1:13" s="53" customFormat="1" ht="12" hidden="1" x14ac:dyDescent="0.15">
      <c r="A2" s="54" t="s">
        <v>40</v>
      </c>
      <c r="B2" s="55" t="str">
        <f>Conventional!B6</f>
        <v>Cotton</v>
      </c>
      <c r="C2" s="55" t="str">
        <f>Conventional!D6</f>
        <v>Peanuts</v>
      </c>
      <c r="D2" s="55" t="str">
        <f>Conventional!F6</f>
        <v>Corn</v>
      </c>
      <c r="E2" s="55" t="str">
        <f>Conventional!H6</f>
        <v>Soybeans</v>
      </c>
      <c r="F2" s="55" t="str">
        <f>Conventional!J6</f>
        <v>Sorghum</v>
      </c>
      <c r="G2" s="55" t="str">
        <f>Conventional!V6</f>
        <v>Wheat</v>
      </c>
      <c r="H2" s="52"/>
    </row>
    <row r="3" spans="1:13" s="53" customFormat="1" ht="12" hidden="1" x14ac:dyDescent="0.15">
      <c r="A3" s="54" t="s">
        <v>41</v>
      </c>
      <c r="B3" s="56">
        <f>Conventional!B7</f>
        <v>1200</v>
      </c>
      <c r="C3" s="56">
        <f>Conventional!D7</f>
        <v>4700</v>
      </c>
      <c r="D3" s="56">
        <f>Conventional!F7</f>
        <v>200</v>
      </c>
      <c r="E3" s="56">
        <f>Conventional!H7</f>
        <v>60</v>
      </c>
      <c r="F3" s="56">
        <f>Conventional!J7</f>
        <v>100</v>
      </c>
      <c r="G3" s="56">
        <f>Conventional!V7</f>
        <v>75</v>
      </c>
      <c r="H3" s="57"/>
    </row>
    <row r="4" spans="1:13" s="53" customFormat="1" ht="12" hidden="1" x14ac:dyDescent="0.15">
      <c r="A4" s="53" t="s">
        <v>42</v>
      </c>
      <c r="B4" s="58">
        <f>Conventional!B8</f>
        <v>0.76</v>
      </c>
      <c r="C4" s="59">
        <f>Conventional!D8</f>
        <v>512.5</v>
      </c>
      <c r="D4" s="60">
        <f>Conventional!F8</f>
        <v>5.4</v>
      </c>
      <c r="E4" s="60">
        <f>Conventional!H8</f>
        <v>11.5</v>
      </c>
      <c r="F4" s="60">
        <f>Conventional!J8</f>
        <v>5.2</v>
      </c>
      <c r="G4" s="60">
        <f>Conventional!V8</f>
        <v>5.9</v>
      </c>
      <c r="H4" s="60"/>
    </row>
    <row r="5" spans="1:13" s="53" customFormat="1" ht="12" hidden="1" x14ac:dyDescent="0.15">
      <c r="A5" s="61" t="s">
        <v>44</v>
      </c>
      <c r="B5" s="62">
        <f>B3*B4</f>
        <v>912</v>
      </c>
      <c r="C5" s="62">
        <f>C3*C4/2000</f>
        <v>1204.375</v>
      </c>
      <c r="D5" s="62">
        <f>D3*D4</f>
        <v>1080</v>
      </c>
      <c r="E5" s="62">
        <f>E3*E4</f>
        <v>690</v>
      </c>
      <c r="F5" s="62">
        <f>F3*F4</f>
        <v>520</v>
      </c>
      <c r="G5" s="62">
        <f>G3*G4</f>
        <v>442.5</v>
      </c>
      <c r="H5" s="63"/>
    </row>
    <row r="6" spans="1:13" s="53" customFormat="1" ht="12" hidden="1" x14ac:dyDescent="0.15">
      <c r="A6" s="61" t="s">
        <v>43</v>
      </c>
      <c r="B6" s="64">
        <f>Conventional!B30</f>
        <v>717.57165227272731</v>
      </c>
      <c r="C6" s="64">
        <f>Conventional!D30</f>
        <v>814.93106250000017</v>
      </c>
      <c r="D6" s="64">
        <f>Conventional!F30</f>
        <v>799.43300000000011</v>
      </c>
      <c r="E6" s="64">
        <f>Conventional!H30</f>
        <v>362.09910687500002</v>
      </c>
      <c r="F6" s="64">
        <f>Conventional!J30</f>
        <v>459.01193750000004</v>
      </c>
      <c r="G6" s="64">
        <f>Conventional!V30</f>
        <v>415.90594609375006</v>
      </c>
      <c r="H6" s="59"/>
    </row>
    <row r="7" spans="1:13" s="53" customFormat="1" ht="16" x14ac:dyDescent="0.2">
      <c r="A7" s="440" t="s">
        <v>127</v>
      </c>
      <c r="B7" s="440"/>
      <c r="C7" s="440"/>
      <c r="D7" s="440"/>
      <c r="E7" s="440"/>
      <c r="F7" s="440"/>
      <c r="G7" s="440"/>
      <c r="H7" s="440"/>
      <c r="I7" s="440"/>
      <c r="J7" s="440"/>
      <c r="K7" s="440"/>
      <c r="L7" s="440"/>
      <c r="M7" s="440"/>
    </row>
    <row r="8" spans="1:13" s="53" customFormat="1" ht="16" x14ac:dyDescent="0.2">
      <c r="A8" s="51" t="s">
        <v>35</v>
      </c>
      <c r="B8" s="65"/>
      <c r="C8" s="65"/>
      <c r="D8" s="65"/>
      <c r="E8" s="65"/>
      <c r="F8" s="65"/>
      <c r="G8" s="65"/>
      <c r="H8" s="65"/>
      <c r="I8" s="65"/>
      <c r="J8" s="65"/>
      <c r="K8" s="65"/>
      <c r="L8" s="65"/>
      <c r="M8" s="65"/>
    </row>
    <row r="9" spans="1:13" x14ac:dyDescent="0.15">
      <c r="A9" s="441" t="s">
        <v>153</v>
      </c>
      <c r="B9" s="441"/>
      <c r="C9" s="441"/>
      <c r="D9" s="441"/>
      <c r="E9" s="441"/>
      <c r="F9" s="441"/>
      <c r="G9" s="441"/>
      <c r="H9" s="441"/>
      <c r="I9" s="441"/>
      <c r="J9" s="441"/>
      <c r="K9" s="441"/>
      <c r="L9" s="441"/>
      <c r="M9" s="441"/>
    </row>
    <row r="10" spans="1:13" x14ac:dyDescent="0.15">
      <c r="A10" s="435" t="s">
        <v>47</v>
      </c>
      <c r="B10" s="435"/>
      <c r="C10" s="435"/>
      <c r="D10" s="435"/>
      <c r="E10" s="435"/>
      <c r="F10" s="435"/>
      <c r="H10" s="435" t="s">
        <v>50</v>
      </c>
      <c r="I10" s="435"/>
      <c r="J10" s="435"/>
      <c r="K10" s="435"/>
      <c r="L10" s="435"/>
      <c r="M10" s="435"/>
    </row>
    <row r="11" spans="1:13" s="53" customFormat="1" ht="12" x14ac:dyDescent="0.15">
      <c r="A11" s="434" t="s">
        <v>36</v>
      </c>
      <c r="B11" s="434"/>
      <c r="C11" s="434"/>
      <c r="D11" s="434"/>
      <c r="E11" s="434"/>
      <c r="F11" s="434"/>
      <c r="H11" s="438" t="s">
        <v>36</v>
      </c>
      <c r="I11" s="438"/>
      <c r="J11" s="438"/>
      <c r="K11" s="438"/>
      <c r="L11" s="438"/>
      <c r="M11" s="438"/>
    </row>
    <row r="12" spans="1:13" x14ac:dyDescent="0.15">
      <c r="A12" s="67" t="s">
        <v>41</v>
      </c>
      <c r="B12" s="68">
        <v>-0.25</v>
      </c>
      <c r="C12" s="68">
        <v>-0.1</v>
      </c>
      <c r="D12" s="69" t="s">
        <v>37</v>
      </c>
      <c r="E12" s="70" t="s">
        <v>38</v>
      </c>
      <c r="F12" s="70" t="s">
        <v>39</v>
      </c>
      <c r="H12" s="67" t="s">
        <v>41</v>
      </c>
      <c r="I12" s="71">
        <v>-0.25</v>
      </c>
      <c r="J12" s="71">
        <v>-0.1</v>
      </c>
      <c r="K12" s="72" t="s">
        <v>37</v>
      </c>
      <c r="L12" s="73" t="s">
        <v>38</v>
      </c>
      <c r="M12" s="73" t="s">
        <v>39</v>
      </c>
    </row>
    <row r="13" spans="1:13" x14ac:dyDescent="0.15">
      <c r="A13" s="74" t="s">
        <v>42</v>
      </c>
      <c r="B13" s="69">
        <f>0.75*D13</f>
        <v>150</v>
      </c>
      <c r="C13" s="69">
        <f>0.9*D13</f>
        <v>180</v>
      </c>
      <c r="D13" s="69">
        <f>D3</f>
        <v>200</v>
      </c>
      <c r="E13" s="69">
        <f>D13*1.1</f>
        <v>220.00000000000003</v>
      </c>
      <c r="F13" s="69">
        <f>D13*1.25</f>
        <v>250</v>
      </c>
      <c r="H13" s="74" t="s">
        <v>42</v>
      </c>
      <c r="I13" s="69">
        <f>0.75*K13</f>
        <v>900</v>
      </c>
      <c r="J13" s="69">
        <f>0.9*K13</f>
        <v>1080</v>
      </c>
      <c r="K13" s="69">
        <f>B3</f>
        <v>1200</v>
      </c>
      <c r="L13" s="69">
        <f>K13*1.1</f>
        <v>1320</v>
      </c>
      <c r="M13" s="69">
        <f>K13*1.25</f>
        <v>1500</v>
      </c>
    </row>
    <row r="14" spans="1:13" x14ac:dyDescent="0.15">
      <c r="A14" s="75">
        <f>A16*0.7</f>
        <v>3.78</v>
      </c>
      <c r="B14" s="76">
        <f>$A$14*B$13-$D$6</f>
        <v>-232.43300000000011</v>
      </c>
      <c r="C14" s="76">
        <f>$A$14*C$13-$D$6</f>
        <v>-119.03300000000013</v>
      </c>
      <c r="D14" s="76">
        <f>$A$14*D$13-$D$6</f>
        <v>-43.433000000000106</v>
      </c>
      <c r="E14" s="76">
        <f>$A$14*E$13-$D$6</f>
        <v>32.166999999999916</v>
      </c>
      <c r="F14" s="76">
        <f>$A$14*F$13-$D$6</f>
        <v>145.56699999999989</v>
      </c>
      <c r="H14" s="75">
        <f>H16*0.7</f>
        <v>0.53199999999999992</v>
      </c>
      <c r="I14" s="78">
        <f>$H$14*$I$13-$B$6</f>
        <v>-238.77165227272741</v>
      </c>
      <c r="J14" s="78">
        <f>$H$14*J13-$B$6</f>
        <v>-143.01165227272736</v>
      </c>
      <c r="K14" s="78">
        <f>$H$14*K13-$B$6</f>
        <v>-79.171652272727442</v>
      </c>
      <c r="L14" s="78">
        <f>$H$14*L13-$B$6</f>
        <v>-15.33165227272741</v>
      </c>
      <c r="M14" s="78">
        <f>$H$14*M13-$B$6</f>
        <v>80.42834772727258</v>
      </c>
    </row>
    <row r="15" spans="1:13" x14ac:dyDescent="0.15">
      <c r="A15" s="77">
        <f>A16*0.85</f>
        <v>4.59</v>
      </c>
      <c r="B15" s="78">
        <f>$A$15*B$13-$D$6</f>
        <v>-110.93300000000011</v>
      </c>
      <c r="C15" s="78">
        <f>$A$15*C$13-$D$6</f>
        <v>26.766999999999825</v>
      </c>
      <c r="D15" s="78">
        <f>$A$15*D$13-$D$6</f>
        <v>118.56699999999989</v>
      </c>
      <c r="E15" s="78">
        <f>$A$15*E$13-$D$6</f>
        <v>210.36699999999996</v>
      </c>
      <c r="F15" s="78">
        <f>$A$15*F$13-$D$6</f>
        <v>348.06699999999989</v>
      </c>
      <c r="H15" s="77">
        <f>H16*0.85</f>
        <v>0.64600000000000002</v>
      </c>
      <c r="I15" s="78">
        <f>$H$15*$I$13-$B$6</f>
        <v>-136.17165227272733</v>
      </c>
      <c r="J15" s="78">
        <f>$H$15*J13-$B$6</f>
        <v>-19.891652272727242</v>
      </c>
      <c r="K15" s="78">
        <f>$H$15*K13-$B$6</f>
        <v>57.62834772727274</v>
      </c>
      <c r="L15" s="78">
        <f>$H$15*L13-$B$6</f>
        <v>135.14834772727272</v>
      </c>
      <c r="M15" s="78">
        <f>$H$15*M13-$B$6</f>
        <v>251.42834772727269</v>
      </c>
    </row>
    <row r="16" spans="1:13" x14ac:dyDescent="0.15">
      <c r="A16" s="77">
        <f>D4</f>
        <v>5.4</v>
      </c>
      <c r="B16" s="78">
        <f>$A$16*B$13-$D$6</f>
        <v>10.566999999999894</v>
      </c>
      <c r="C16" s="78">
        <f>$A$16*C$13-$D$6</f>
        <v>172.56700000000001</v>
      </c>
      <c r="D16" s="78">
        <f>$A$16*D$13-$D$6</f>
        <v>280.56699999999989</v>
      </c>
      <c r="E16" s="78">
        <f>$A$16*E$13-$D$6</f>
        <v>388.56700000000012</v>
      </c>
      <c r="F16" s="78">
        <f>$A$16*F$13-$D$6</f>
        <v>550.56699999999989</v>
      </c>
      <c r="H16" s="77">
        <f>B4</f>
        <v>0.76</v>
      </c>
      <c r="I16" s="78">
        <f>$H$16*$I$13-$B$6</f>
        <v>-33.571652272727306</v>
      </c>
      <c r="J16" s="78">
        <f>$H$16*J13-$B$6</f>
        <v>103.22834772727265</v>
      </c>
      <c r="K16" s="78">
        <f>$H$16*K13-$B$6</f>
        <v>194.42834772727269</v>
      </c>
      <c r="L16" s="78">
        <f>$H$16*L13-$B$6</f>
        <v>285.62834772727274</v>
      </c>
      <c r="M16" s="78">
        <f>$H$16*M13-$B$6</f>
        <v>422.42834772727269</v>
      </c>
    </row>
    <row r="17" spans="1:13" x14ac:dyDescent="0.15">
      <c r="A17" s="77">
        <f>A16*1.15</f>
        <v>6.21</v>
      </c>
      <c r="B17" s="78">
        <f>$A$17*B$13-$D$6</f>
        <v>132.06699999999989</v>
      </c>
      <c r="C17" s="78">
        <f>$A$17*C$13-$D$6</f>
        <v>318.36699999999985</v>
      </c>
      <c r="D17" s="78">
        <f>$A$17*D$13-$D$6</f>
        <v>442.56699999999989</v>
      </c>
      <c r="E17" s="78">
        <f>$A$17*E$13-$D$6</f>
        <v>566.76700000000017</v>
      </c>
      <c r="F17" s="78">
        <f>$A$17*F$13-$D$6</f>
        <v>753.06699999999989</v>
      </c>
      <c r="H17" s="77">
        <f>H16*1.15</f>
        <v>0.87399999999999989</v>
      </c>
      <c r="I17" s="78">
        <f>$H$17*$I$13-$B$6</f>
        <v>69.028347727272603</v>
      </c>
      <c r="J17" s="78">
        <f>$H$17*J13-$B$6</f>
        <v>226.34834772727254</v>
      </c>
      <c r="K17" s="78">
        <f>$H$17*K13-$B$6</f>
        <v>331.22834772727265</v>
      </c>
      <c r="L17" s="78">
        <f>$H$17*L13-$B$6</f>
        <v>436.10834772727253</v>
      </c>
      <c r="M17" s="78">
        <f>$H$17*M13-$B$6</f>
        <v>593.42834772727247</v>
      </c>
    </row>
    <row r="18" spans="1:13" x14ac:dyDescent="0.15">
      <c r="A18" s="79">
        <f>A16*1.3</f>
        <v>7.0200000000000005</v>
      </c>
      <c r="B18" s="80">
        <f>$A$18*B$13-$D$6</f>
        <v>253.56699999999989</v>
      </c>
      <c r="C18" s="80">
        <f>$A$18*C$13-$D$6</f>
        <v>464.16700000000003</v>
      </c>
      <c r="D18" s="80">
        <f>$A$18*D$13-$D$6</f>
        <v>604.56699999999989</v>
      </c>
      <c r="E18" s="80">
        <f>$A$18*E$13-$D$6</f>
        <v>744.96700000000021</v>
      </c>
      <c r="F18" s="80">
        <f>$A$18*F$13-$D$6</f>
        <v>955.56700000000012</v>
      </c>
      <c r="H18" s="79">
        <f>H16*1.3</f>
        <v>0.9880000000000001</v>
      </c>
      <c r="I18" s="80">
        <f>$H$18*$I$13-$B$6</f>
        <v>171.62834772727274</v>
      </c>
      <c r="J18" s="80">
        <f>$H$18*J13-$B$6</f>
        <v>349.46834772727289</v>
      </c>
      <c r="K18" s="80">
        <f>$H$18*K13-$B$6</f>
        <v>468.02834772727283</v>
      </c>
      <c r="L18" s="80">
        <f>$H$18*L13-$B$6</f>
        <v>586.58834772727278</v>
      </c>
      <c r="M18" s="80">
        <f>$H$18*M13-$B$6</f>
        <v>764.42834772727292</v>
      </c>
    </row>
    <row r="20" spans="1:13" x14ac:dyDescent="0.15">
      <c r="A20" s="435" t="s">
        <v>48</v>
      </c>
      <c r="B20" s="435"/>
      <c r="C20" s="435"/>
      <c r="D20" s="435"/>
      <c r="E20" s="435"/>
      <c r="F20" s="435"/>
      <c r="H20" s="436" t="s">
        <v>120</v>
      </c>
      <c r="I20" s="436"/>
      <c r="J20" s="436"/>
      <c r="K20" s="436"/>
      <c r="L20" s="436"/>
      <c r="M20" s="436"/>
    </row>
    <row r="21" spans="1:13" s="53" customFormat="1" ht="12" x14ac:dyDescent="0.15">
      <c r="A21" s="434" t="s">
        <v>36</v>
      </c>
      <c r="B21" s="434"/>
      <c r="C21" s="434"/>
      <c r="D21" s="434"/>
      <c r="E21" s="434"/>
      <c r="F21" s="434"/>
      <c r="H21" s="437" t="s">
        <v>36</v>
      </c>
      <c r="I21" s="437"/>
      <c r="J21" s="437"/>
      <c r="K21" s="437"/>
      <c r="L21" s="437"/>
      <c r="M21" s="437"/>
    </row>
    <row r="22" spans="1:13" x14ac:dyDescent="0.15">
      <c r="A22" s="67" t="s">
        <v>41</v>
      </c>
      <c r="B22" s="68">
        <v>-0.25</v>
      </c>
      <c r="C22" s="68">
        <v>-0.1</v>
      </c>
      <c r="D22" s="69" t="s">
        <v>37</v>
      </c>
      <c r="E22" s="70" t="s">
        <v>38</v>
      </c>
      <c r="F22" s="70" t="s">
        <v>39</v>
      </c>
      <c r="H22" s="67" t="s">
        <v>41</v>
      </c>
      <c r="I22" s="68">
        <v>-0.25</v>
      </c>
      <c r="J22" s="68">
        <v>-0.1</v>
      </c>
      <c r="K22" s="69" t="s">
        <v>37</v>
      </c>
      <c r="L22" s="70" t="s">
        <v>38</v>
      </c>
      <c r="M22" s="70" t="s">
        <v>39</v>
      </c>
    </row>
    <row r="23" spans="1:13" x14ac:dyDescent="0.15">
      <c r="A23" s="74" t="s">
        <v>42</v>
      </c>
      <c r="B23" s="69">
        <f>0.75*D23</f>
        <v>75</v>
      </c>
      <c r="C23" s="69">
        <f>0.9*D23</f>
        <v>90</v>
      </c>
      <c r="D23" s="69">
        <f>F3</f>
        <v>100</v>
      </c>
      <c r="E23" s="69">
        <f>D23*1.1</f>
        <v>110.00000000000001</v>
      </c>
      <c r="F23" s="69">
        <f>D23*1.25</f>
        <v>125</v>
      </c>
      <c r="H23" s="74" t="s">
        <v>42</v>
      </c>
      <c r="I23" s="69">
        <f>0.75*K23</f>
        <v>3525</v>
      </c>
      <c r="J23" s="69">
        <f>0.9*K23</f>
        <v>4230</v>
      </c>
      <c r="K23" s="69">
        <f>C3</f>
        <v>4700</v>
      </c>
      <c r="L23" s="69">
        <f>K23*1.1</f>
        <v>5170</v>
      </c>
      <c r="M23" s="69">
        <f>K23*1.25</f>
        <v>5875</v>
      </c>
    </row>
    <row r="24" spans="1:13" x14ac:dyDescent="0.15">
      <c r="A24" s="75">
        <f>A26*0.7</f>
        <v>3.6399999999999997</v>
      </c>
      <c r="B24" s="76">
        <f>$A$24*B$23-$F$6</f>
        <v>-186.01193750000004</v>
      </c>
      <c r="C24" s="76">
        <f>$A$24*C$23-$F$6</f>
        <v>-131.41193750000008</v>
      </c>
      <c r="D24" s="76">
        <f>$A$24*D$23-$F$6</f>
        <v>-95.011937500000101</v>
      </c>
      <c r="E24" s="76">
        <f>$A$24*E$23-$F$6</f>
        <v>-58.61193750000001</v>
      </c>
      <c r="F24" s="76">
        <f>$A$24*F$23-$F$6</f>
        <v>-4.0119375000001014</v>
      </c>
      <c r="H24" s="81">
        <f>H26*0.7</f>
        <v>358.75</v>
      </c>
      <c r="I24" s="76">
        <f>$H$24*I$23/2000-$C$6</f>
        <v>-182.63418750000017</v>
      </c>
      <c r="J24" s="76">
        <f>$H$24*J$23/2000-$C$6</f>
        <v>-56.174812500000144</v>
      </c>
      <c r="K24" s="76">
        <f>$H$24*K$23/2000-$C$6</f>
        <v>28.131437499999834</v>
      </c>
      <c r="L24" s="76">
        <f>$H$24*L$23/2000-$C$6</f>
        <v>112.43768749999981</v>
      </c>
      <c r="M24" s="76">
        <f>$H$24*M$23/2000-$C$6</f>
        <v>238.89706249999983</v>
      </c>
    </row>
    <row r="25" spans="1:13" x14ac:dyDescent="0.15">
      <c r="A25" s="77">
        <f>A26*0.85</f>
        <v>4.42</v>
      </c>
      <c r="B25" s="78">
        <f>$A$25*B$23-$F$6</f>
        <v>-127.51193750000004</v>
      </c>
      <c r="C25" s="78">
        <f>$A$25*C$23-$F$6</f>
        <v>-61.211937500000033</v>
      </c>
      <c r="D25" s="78">
        <f>$A$25*D$23-$F$6</f>
        <v>-17.011937500000045</v>
      </c>
      <c r="E25" s="78">
        <f>$A$25*E$23-$F$6</f>
        <v>27.188062500000001</v>
      </c>
      <c r="F25" s="78">
        <f>$A$25*F$23-$F$6</f>
        <v>93.488062499999955</v>
      </c>
      <c r="H25" s="82">
        <f>H26*0.85</f>
        <v>435.625</v>
      </c>
      <c r="I25" s="78">
        <f>$H$25*I$23/2000-$C$6</f>
        <v>-47.142000000000166</v>
      </c>
      <c r="J25" s="78">
        <f>$H$25*J$23/2000-$C$6</f>
        <v>106.41581249999979</v>
      </c>
      <c r="K25" s="78">
        <f>$H$25*K$23/2000-$C$6</f>
        <v>208.78768749999983</v>
      </c>
      <c r="L25" s="78">
        <f>$H$25*L$23/2000-$C$6</f>
        <v>311.15956249999988</v>
      </c>
      <c r="M25" s="78">
        <f>$H$25*M$23/2000-$C$6</f>
        <v>464.71737499999983</v>
      </c>
    </row>
    <row r="26" spans="1:13" x14ac:dyDescent="0.15">
      <c r="A26" s="77">
        <f>F4</f>
        <v>5.2</v>
      </c>
      <c r="B26" s="78">
        <f>$A$26*B$23-$F$6</f>
        <v>-69.011937500000045</v>
      </c>
      <c r="C26" s="78">
        <f>$A$26*C$23-$F$6</f>
        <v>8.9880624999999554</v>
      </c>
      <c r="D26" s="78">
        <f>$A$26*D$23-$F$6</f>
        <v>60.988062499999955</v>
      </c>
      <c r="E26" s="78">
        <f>$A$26*E$23-$F$6</f>
        <v>112.98806250000007</v>
      </c>
      <c r="F26" s="78">
        <f>$A$26*F$23-$F$6</f>
        <v>190.98806249999996</v>
      </c>
      <c r="H26" s="82">
        <f>C4</f>
        <v>512.5</v>
      </c>
      <c r="I26" s="78">
        <f>$H$26*I$23/2000-$C$6</f>
        <v>88.350187499999834</v>
      </c>
      <c r="J26" s="78">
        <f>$H$26*J$23/2000-$C$6</f>
        <v>269.00643749999983</v>
      </c>
      <c r="K26" s="78">
        <f>$H$26*K$23/2000-$C$6</f>
        <v>389.44393749999983</v>
      </c>
      <c r="L26" s="78">
        <f>$H$26*L$23/2000-$C$6</f>
        <v>509.88143749999983</v>
      </c>
      <c r="M26" s="78">
        <f>$H$26*M$23/2000-$C$6</f>
        <v>690.53768749999983</v>
      </c>
    </row>
    <row r="27" spans="1:13" x14ac:dyDescent="0.15">
      <c r="A27" s="77">
        <f>A26*1.15</f>
        <v>5.9799999999999995</v>
      </c>
      <c r="B27" s="78">
        <f>$A$27*B$23-$F$6</f>
        <v>-10.511937500000101</v>
      </c>
      <c r="C27" s="78">
        <f>$A$27*C$23-$F$6</f>
        <v>79.188062499999887</v>
      </c>
      <c r="D27" s="78">
        <f>$A$27*D$23-$F$6</f>
        <v>138.98806249999996</v>
      </c>
      <c r="E27" s="78">
        <f>$A$27*E$23-$F$6</f>
        <v>198.78806250000002</v>
      </c>
      <c r="F27" s="78">
        <f>$A$27*F$23-$F$6</f>
        <v>288.48806249999984</v>
      </c>
      <c r="H27" s="82">
        <f>H26*1.15</f>
        <v>589.375</v>
      </c>
      <c r="I27" s="78">
        <f>$H$27*I$23/2000-$C$6</f>
        <v>223.84237499999983</v>
      </c>
      <c r="J27" s="78">
        <f>$H$27*J$23/2000-$C$6</f>
        <v>431.59706249999988</v>
      </c>
      <c r="K27" s="78">
        <f>$H$27*K$23/2000-$C$6</f>
        <v>570.10018749999983</v>
      </c>
      <c r="L27" s="78">
        <f>$H$27*L$23/2000-$C$6</f>
        <v>708.60331249999979</v>
      </c>
      <c r="M27" s="78">
        <f>$H$27*M$23/2000-$C$6</f>
        <v>916.35799999999983</v>
      </c>
    </row>
    <row r="28" spans="1:13" x14ac:dyDescent="0.15">
      <c r="A28" s="79">
        <f>A26*1.3</f>
        <v>6.7600000000000007</v>
      </c>
      <c r="B28" s="80">
        <f>$A$28*B$23-$F$6</f>
        <v>47.988062500000012</v>
      </c>
      <c r="C28" s="80">
        <f>$A$28*C$23-$F$6</f>
        <v>149.38806250000005</v>
      </c>
      <c r="D28" s="80">
        <f>$A$28*D$23-$F$6</f>
        <v>216.98806250000007</v>
      </c>
      <c r="E28" s="80">
        <f>$A$28*E$23-$F$6</f>
        <v>284.58806250000009</v>
      </c>
      <c r="F28" s="80">
        <f>$A$28*F$23-$F$6</f>
        <v>385.98806250000007</v>
      </c>
      <c r="H28" s="83">
        <f>H26*1.3</f>
        <v>666.25</v>
      </c>
      <c r="I28" s="80">
        <f>$H$28*I$23/2000-$C$6</f>
        <v>359.33456249999983</v>
      </c>
      <c r="J28" s="80">
        <f>$H$28*J$23/2000-$C$6</f>
        <v>594.18768749999992</v>
      </c>
      <c r="K28" s="80">
        <f>$H$28*K$23/2000-$C$6</f>
        <v>750.75643749999983</v>
      </c>
      <c r="L28" s="80">
        <f>$H$28*L$23/2000-$C$6</f>
        <v>907.32518749999974</v>
      </c>
      <c r="M28" s="80">
        <f>$H$28*M$23/2000-$C$6</f>
        <v>1142.1783124999997</v>
      </c>
    </row>
    <row r="30" spans="1:13" x14ac:dyDescent="0.15">
      <c r="A30" s="435" t="s">
        <v>49</v>
      </c>
      <c r="B30" s="435"/>
      <c r="C30" s="435"/>
      <c r="D30" s="435"/>
      <c r="E30" s="435"/>
      <c r="F30" s="435"/>
      <c r="H30" s="435" t="s">
        <v>64</v>
      </c>
      <c r="I30" s="435"/>
      <c r="J30" s="435"/>
      <c r="K30" s="435"/>
      <c r="L30" s="435"/>
      <c r="M30" s="435"/>
    </row>
    <row r="31" spans="1:13" s="53" customFormat="1" ht="12" x14ac:dyDescent="0.15">
      <c r="A31" s="434" t="s">
        <v>36</v>
      </c>
      <c r="B31" s="434"/>
      <c r="C31" s="434"/>
      <c r="D31" s="434"/>
      <c r="E31" s="434"/>
      <c r="F31" s="434"/>
      <c r="H31" s="434" t="s">
        <v>36</v>
      </c>
      <c r="I31" s="434"/>
      <c r="J31" s="434"/>
      <c r="K31" s="434"/>
      <c r="L31" s="434"/>
      <c r="M31" s="434"/>
    </row>
    <row r="32" spans="1:13" x14ac:dyDescent="0.15">
      <c r="A32" s="67" t="s">
        <v>41</v>
      </c>
      <c r="B32" s="68">
        <v>-0.25</v>
      </c>
      <c r="C32" s="68">
        <v>-0.1</v>
      </c>
      <c r="D32" s="69" t="s">
        <v>37</v>
      </c>
      <c r="E32" s="70" t="s">
        <v>38</v>
      </c>
      <c r="F32" s="70" t="s">
        <v>39</v>
      </c>
      <c r="H32" s="67" t="s">
        <v>41</v>
      </c>
      <c r="I32" s="68">
        <v>-0.25</v>
      </c>
      <c r="J32" s="68">
        <v>-0.1</v>
      </c>
      <c r="K32" s="69" t="s">
        <v>37</v>
      </c>
      <c r="L32" s="70" t="s">
        <v>38</v>
      </c>
      <c r="M32" s="70" t="s">
        <v>39</v>
      </c>
    </row>
    <row r="33" spans="1:13" x14ac:dyDescent="0.15">
      <c r="A33" s="74" t="s">
        <v>42</v>
      </c>
      <c r="B33" s="69">
        <f>0.75*D33</f>
        <v>45</v>
      </c>
      <c r="C33" s="69">
        <f>0.9*D33</f>
        <v>54</v>
      </c>
      <c r="D33" s="69">
        <f>E3</f>
        <v>60</v>
      </c>
      <c r="E33" s="69">
        <f>D33*1.1</f>
        <v>66</v>
      </c>
      <c r="F33" s="69">
        <f>D33*1.25</f>
        <v>75</v>
      </c>
      <c r="H33" s="74" t="s">
        <v>42</v>
      </c>
      <c r="I33" s="69">
        <f>0.75*K33</f>
        <v>56.25</v>
      </c>
      <c r="J33" s="69">
        <f>0.9*K33</f>
        <v>67.5</v>
      </c>
      <c r="K33" s="69">
        <f>G3</f>
        <v>75</v>
      </c>
      <c r="L33" s="69">
        <f>K33*1.1</f>
        <v>82.5</v>
      </c>
      <c r="M33" s="69">
        <f>K33*1.25</f>
        <v>93.75</v>
      </c>
    </row>
    <row r="34" spans="1:13" x14ac:dyDescent="0.15">
      <c r="A34" s="75">
        <f>A36*0.7</f>
        <v>8.0499999999999989</v>
      </c>
      <c r="B34" s="76">
        <f>$A$34*B$33-$E$6</f>
        <v>0.15089312499992502</v>
      </c>
      <c r="C34" s="76">
        <f>$A$34*C$33-$E$6</f>
        <v>72.600893124999914</v>
      </c>
      <c r="D34" s="76">
        <f>$A$34*D$33-$E$6</f>
        <v>120.90089312499993</v>
      </c>
      <c r="E34" s="76">
        <f>$A$34*E$33-$E$6</f>
        <v>169.20089312499994</v>
      </c>
      <c r="F34" s="76">
        <f>$A$34*F$33-$E$6</f>
        <v>241.65089312499987</v>
      </c>
      <c r="H34" s="75">
        <f>H36*0.7</f>
        <v>4.13</v>
      </c>
      <c r="I34" s="76">
        <f>$H$34*I$33-$G$6</f>
        <v>-183.59344609375006</v>
      </c>
      <c r="J34" s="76">
        <f>$H$34*J$33-$G$6</f>
        <v>-137.13094609375008</v>
      </c>
      <c r="K34" s="76">
        <f>$H$34*K$33-$G$6</f>
        <v>-106.15594609375006</v>
      </c>
      <c r="L34" s="76">
        <f>$H$34*L$33-$G$6</f>
        <v>-75.180946093750094</v>
      </c>
      <c r="M34" s="76">
        <f>$H$34*M$33-$G$6</f>
        <v>-28.71844609375006</v>
      </c>
    </row>
    <row r="35" spans="1:13" x14ac:dyDescent="0.15">
      <c r="A35" s="77">
        <f>A36*0.85</f>
        <v>9.7750000000000004</v>
      </c>
      <c r="B35" s="78">
        <f>$A$35*B$33-$E$6</f>
        <v>77.775893124999982</v>
      </c>
      <c r="C35" s="78">
        <f>$A$35*C$33-$E$6</f>
        <v>165.750893125</v>
      </c>
      <c r="D35" s="78">
        <f>$A$35*D$33-$E$6</f>
        <v>224.40089312499998</v>
      </c>
      <c r="E35" s="78">
        <f>$A$35*E$33-$E$6</f>
        <v>283.05089312499996</v>
      </c>
      <c r="F35" s="78">
        <f>$A$35*F$33-$E$6</f>
        <v>371.02589312499998</v>
      </c>
      <c r="H35" s="77">
        <f>H36*0.85</f>
        <v>5.0150000000000006</v>
      </c>
      <c r="I35" s="78">
        <f>$H$35*I$33-$G$6</f>
        <v>-133.81219609375</v>
      </c>
      <c r="J35" s="78">
        <f>$H$35*J$33-$G$6</f>
        <v>-77.393446093750015</v>
      </c>
      <c r="K35" s="78">
        <f>$H$35*K$33-$G$6</f>
        <v>-39.780946093750003</v>
      </c>
      <c r="L35" s="78">
        <f>$H$35*L$33-$G$6</f>
        <v>-2.1684460937499921</v>
      </c>
      <c r="M35" s="78">
        <f>$H$35*M$33-$G$6</f>
        <v>54.250303906249997</v>
      </c>
    </row>
    <row r="36" spans="1:13" x14ac:dyDescent="0.15">
      <c r="A36" s="77">
        <f>E4</f>
        <v>11.5</v>
      </c>
      <c r="B36" s="78">
        <f>$A$36*B$33-$E$6</f>
        <v>155.40089312499998</v>
      </c>
      <c r="C36" s="78">
        <f>$A$36*C$33-$E$6</f>
        <v>258.90089312499998</v>
      </c>
      <c r="D36" s="78">
        <f>$A$36*D$33-$E$6</f>
        <v>327.90089312499998</v>
      </c>
      <c r="E36" s="78">
        <f>$A$36*E$33-$E$6</f>
        <v>396.90089312499998</v>
      </c>
      <c r="F36" s="78">
        <f>$A$36*F$33-$E$6</f>
        <v>500.40089312499998</v>
      </c>
      <c r="H36" s="77">
        <f>G4</f>
        <v>5.9</v>
      </c>
      <c r="I36" s="78">
        <f>$H$36*I$33-$G$6</f>
        <v>-84.03094609375006</v>
      </c>
      <c r="J36" s="78">
        <f>$H$36*J$33-$G$6</f>
        <v>-17.65594609375006</v>
      </c>
      <c r="K36" s="78">
        <f>$H$36*K$33-$G$6</f>
        <v>26.59405390624994</v>
      </c>
      <c r="L36" s="78">
        <f>$H$36*L$33-$G$6</f>
        <v>70.844053906249997</v>
      </c>
      <c r="M36" s="78">
        <f>$H$36*M$33-$G$6</f>
        <v>137.21905390624994</v>
      </c>
    </row>
    <row r="37" spans="1:13" x14ac:dyDescent="0.15">
      <c r="A37" s="77">
        <f>A36*1.15</f>
        <v>13.225</v>
      </c>
      <c r="B37" s="78">
        <f>$A$37*B$33-$E$6</f>
        <v>233.02589312499998</v>
      </c>
      <c r="C37" s="78">
        <f>$A$37*C$33-$E$6</f>
        <v>352.05089312499996</v>
      </c>
      <c r="D37" s="78">
        <f>$A$37*D$33-$E$6</f>
        <v>431.40089312499998</v>
      </c>
      <c r="E37" s="78">
        <f>$A$37*E$33-$E$6</f>
        <v>510.750893125</v>
      </c>
      <c r="F37" s="78">
        <f>$A$37*F$33-$E$6</f>
        <v>629.77589312500004</v>
      </c>
      <c r="H37" s="77">
        <f>H36*1.15</f>
        <v>6.7850000000000001</v>
      </c>
      <c r="I37" s="78">
        <f>$H$37*I$33-$G$6</f>
        <v>-34.24969609375006</v>
      </c>
      <c r="J37" s="78">
        <f>$H$37*J$33-$G$6</f>
        <v>42.081553906249951</v>
      </c>
      <c r="K37" s="78">
        <f>$H$37*K$33-$G$6</f>
        <v>92.96905390624994</v>
      </c>
      <c r="L37" s="78">
        <f>$H$37*L$33-$G$6</f>
        <v>143.85655390624999</v>
      </c>
      <c r="M37" s="78">
        <f>$H$37*M$33-$G$6</f>
        <v>220.18780390624994</v>
      </c>
    </row>
    <row r="38" spans="1:13" x14ac:dyDescent="0.15">
      <c r="A38" s="79">
        <f>A36*1.3</f>
        <v>14.950000000000001</v>
      </c>
      <c r="B38" s="80">
        <f>$A$38*B$33-$E$6</f>
        <v>310.65089312499998</v>
      </c>
      <c r="C38" s="80">
        <f>$A$38*C$33-$E$6</f>
        <v>445.20089312500005</v>
      </c>
      <c r="D38" s="80">
        <f>$A$38*D$33-$E$6</f>
        <v>534.90089312500004</v>
      </c>
      <c r="E38" s="80">
        <f>$A$38*E$33-$E$6</f>
        <v>624.60089312500008</v>
      </c>
      <c r="F38" s="80">
        <f>$A$38*F$33-$E$6</f>
        <v>759.15089312500004</v>
      </c>
      <c r="H38" s="79">
        <f>H36*1.3</f>
        <v>7.6700000000000008</v>
      </c>
      <c r="I38" s="80">
        <f>$H$38*I$33-$G$6</f>
        <v>15.531553906249997</v>
      </c>
      <c r="J38" s="80">
        <f>$H$38*J$33-$G$6</f>
        <v>101.81905390624996</v>
      </c>
      <c r="K38" s="80">
        <f>$H$38*K$33-$G$6</f>
        <v>159.34405390625005</v>
      </c>
      <c r="L38" s="80">
        <f>$H$38*L$33-$G$6</f>
        <v>216.86905390625003</v>
      </c>
      <c r="M38" s="80">
        <f>$H$38*M$33-$G$6</f>
        <v>303.15655390625005</v>
      </c>
    </row>
    <row r="39" spans="1:13" s="53" customFormat="1" ht="12" x14ac:dyDescent="0.15"/>
    <row r="49" s="53" customFormat="1" ht="12" x14ac:dyDescent="0.15"/>
    <row r="59" s="53" customFormat="1" ht="12" x14ac:dyDescent="0.15"/>
  </sheetData>
  <sheetProtection sheet="1" objects="1" scenarios="1"/>
  <mergeCells count="15">
    <mergeCell ref="A10:F10"/>
    <mergeCell ref="A11:F11"/>
    <mergeCell ref="H11:M11"/>
    <mergeCell ref="B1:G1"/>
    <mergeCell ref="H10:M10"/>
    <mergeCell ref="A7:M7"/>
    <mergeCell ref="A9:M9"/>
    <mergeCell ref="H31:M31"/>
    <mergeCell ref="A30:F30"/>
    <mergeCell ref="A31:F31"/>
    <mergeCell ref="A20:F20"/>
    <mergeCell ref="A21:F21"/>
    <mergeCell ref="H20:M20"/>
    <mergeCell ref="H21:M21"/>
    <mergeCell ref="H30:M30"/>
  </mergeCells>
  <phoneticPr fontId="2" type="noConversion"/>
  <conditionalFormatting sqref="B14:F18 I14:M18 B24:F28 I24:M28 B34:F38 I34:M38">
    <cfRule type="cellIs" dxfId="3" priority="1" stopIfTrue="1" operator="greaterThanOrEqual">
      <formula>0</formula>
    </cfRule>
  </conditionalFormatting>
  <printOptions horizontalCentered="1" verticalCentered="1"/>
  <pageMargins left="0.5" right="0.5" top="0.5" bottom="0.5" header="0.5" footer="0.5"/>
  <pageSetup orientation="landscape" horizontalDpi="300" verticalDpi="300"/>
  <headerFooter alignWithMargins="0">
    <oddFooter xml:space="preserve">&amp;L&amp;G&amp;C
</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Sheet1</vt:lpstr>
      <vt:lpstr>Conventional</vt:lpstr>
      <vt:lpstr>Prices</vt:lpstr>
      <vt:lpstr>Strip-Till</vt:lpstr>
      <vt:lpstr>Peanut Price Calculator</vt:lpstr>
      <vt:lpstr>Price Comparison</vt:lpstr>
      <vt:lpstr>CTillCharts</vt:lpstr>
      <vt:lpstr>STillCharts</vt:lpstr>
      <vt:lpstr>Irrigated</vt:lpstr>
      <vt:lpstr>Dryland</vt:lpstr>
      <vt:lpstr>Irrigated ST</vt:lpstr>
      <vt:lpstr>Dryland ST</vt:lpstr>
      <vt:lpstr>Conventional!Print_Area</vt:lpstr>
      <vt:lpstr>CTillCharts!Print_Area</vt:lpstr>
      <vt:lpstr>Dryland!Print_Area</vt:lpstr>
      <vt:lpstr>'Dryland ST'!Print_Area</vt:lpstr>
      <vt:lpstr>Irrigated!Print_Area</vt:lpstr>
      <vt:lpstr>'Irrigated ST'!Print_Area</vt:lpstr>
      <vt:lpstr>'Peanut Price Calculator'!Print_Area</vt:lpstr>
      <vt:lpstr>'Price Comparison'!Print_Area</vt:lpstr>
      <vt:lpstr>STillCharts!Print_Area</vt:lpstr>
      <vt:lpstr>'Strip-Till'!Print_Area</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Smith</dc:creator>
  <cp:lastModifiedBy>Amanda R Smith</cp:lastModifiedBy>
  <cp:lastPrinted>2019-03-04T16:28:48Z</cp:lastPrinted>
  <dcterms:created xsi:type="dcterms:W3CDTF">2007-11-26T00:37:18Z</dcterms:created>
  <dcterms:modified xsi:type="dcterms:W3CDTF">2024-01-21T22:43:58Z</dcterms:modified>
</cp:coreProperties>
</file>