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2DA4B17F-C07C-9D40-8E8F-D2E3E78F6745}" xr6:coauthVersionLast="47" xr6:coauthVersionMax="47" xr10:uidLastSave="{00000000-0000-0000-0000-000000000000}"/>
  <bookViews>
    <workbookView xWindow="3080" yWindow="500" windowWidth="128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 r:id="rId13"/>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Main!$B$1:$H$80</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Main!$F$30</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7" l="1"/>
  <c r="D26" i="7"/>
  <c r="D14" i="7"/>
  <c r="K27" i="7"/>
  <c r="K17" i="7"/>
  <c r="K16" i="7"/>
  <c r="K25" i="7"/>
  <c r="K15" i="7"/>
  <c r="K26" i="7"/>
  <c r="D16" i="7"/>
  <c r="K18" i="7"/>
  <c r="K24" i="7"/>
  <c r="K14" i="7"/>
  <c r="D15" i="7"/>
  <c r="H54" i="1" l="1"/>
  <c r="B4" i="2"/>
  <c r="B5" i="2"/>
  <c r="B6" i="2"/>
  <c r="B7" i="2"/>
  <c r="B8" i="2"/>
  <c r="B9" i="2"/>
  <c r="B10" i="2"/>
  <c r="B11" i="2"/>
  <c r="B12" i="2"/>
  <c r="B13" i="2"/>
  <c r="B14" i="2"/>
  <c r="B15" i="2"/>
  <c r="B16" i="2"/>
  <c r="B17" i="2"/>
  <c r="B18" i="2"/>
  <c r="B19" i="2"/>
  <c r="B20" i="2"/>
  <c r="B21" i="2"/>
  <c r="B22" i="2"/>
  <c r="B23" i="2"/>
  <c r="B24" i="2"/>
  <c r="G36" i="2" l="1"/>
  <c r="G35" i="2"/>
  <c r="G34" i="2"/>
  <c r="G33" i="2"/>
  <c r="G32" i="2"/>
  <c r="G31" i="2"/>
  <c r="G30" i="2"/>
  <c r="G29" i="2"/>
  <c r="G28" i="2"/>
  <c r="G27" i="2"/>
  <c r="G26" i="2"/>
  <c r="G25" i="2"/>
  <c r="S24" i="2"/>
  <c r="M24" i="2"/>
  <c r="Y24" i="2"/>
  <c r="Z24" i="2" s="1"/>
  <c r="G24" i="2"/>
  <c r="S23" i="2"/>
  <c r="M23" i="2"/>
  <c r="G23" i="2"/>
  <c r="AA22" i="2"/>
  <c r="AC22" i="2" s="1"/>
  <c r="Y22" i="2"/>
  <c r="Z22" i="2" s="1"/>
  <c r="W22" i="2"/>
  <c r="X22" i="2" s="1"/>
  <c r="S22" i="2"/>
  <c r="M22" i="2"/>
  <c r="G22" i="2"/>
  <c r="AA21" i="2"/>
  <c r="AC21" i="2" s="1"/>
  <c r="AE21" i="2" s="1"/>
  <c r="Y21" i="2"/>
  <c r="Z21" i="2" s="1"/>
  <c r="W21" i="2"/>
  <c r="X21" i="2" s="1"/>
  <c r="S21" i="2"/>
  <c r="M21" i="2"/>
  <c r="G21" i="2"/>
  <c r="AA20" i="2"/>
  <c r="AC20" i="2" s="1"/>
  <c r="AE20" i="2" s="1"/>
  <c r="Y20" i="2"/>
  <c r="Z20" i="2" s="1"/>
  <c r="W20" i="2"/>
  <c r="X20" i="2" s="1"/>
  <c r="S20" i="2"/>
  <c r="M20" i="2"/>
  <c r="G20" i="2"/>
  <c r="AA19" i="2"/>
  <c r="AC19" i="2" s="1"/>
  <c r="Y19" i="2"/>
  <c r="Z19" i="2" s="1"/>
  <c r="W19" i="2"/>
  <c r="X19" i="2" s="1"/>
  <c r="S19" i="2"/>
  <c r="M19" i="2"/>
  <c r="G19" i="2"/>
  <c r="AA18" i="2"/>
  <c r="AB18" i="2" s="1"/>
  <c r="Y18" i="2"/>
  <c r="Z18" i="2" s="1"/>
  <c r="W18" i="2"/>
  <c r="X18" i="2" s="1"/>
  <c r="S18" i="2"/>
  <c r="M18" i="2"/>
  <c r="G18" i="2"/>
  <c r="AA17" i="2"/>
  <c r="AC17" i="2" s="1"/>
  <c r="AE17" i="2" s="1"/>
  <c r="Y17" i="2"/>
  <c r="Z17" i="2" s="1"/>
  <c r="W17" i="2"/>
  <c r="X17" i="2" s="1"/>
  <c r="S17" i="2"/>
  <c r="M17" i="2"/>
  <c r="G17" i="2"/>
  <c r="AA16" i="2"/>
  <c r="AC16" i="2" s="1"/>
  <c r="Y16" i="2"/>
  <c r="Z16" i="2" s="1"/>
  <c r="W16" i="2"/>
  <c r="X16" i="2" s="1"/>
  <c r="S16" i="2"/>
  <c r="M16" i="2"/>
  <c r="G16" i="2"/>
  <c r="AA15" i="2"/>
  <c r="AC15" i="2" s="1"/>
  <c r="Y15" i="2"/>
  <c r="Z15" i="2" s="1"/>
  <c r="W15" i="2"/>
  <c r="X15" i="2" s="1"/>
  <c r="S15" i="2"/>
  <c r="M15" i="2"/>
  <c r="G15" i="2"/>
  <c r="S14" i="2"/>
  <c r="M14" i="2"/>
  <c r="Y14" i="2"/>
  <c r="Z14" i="2" s="1"/>
  <c r="G14" i="2"/>
  <c r="S13" i="2"/>
  <c r="M13" i="2"/>
  <c r="W13" i="2"/>
  <c r="X13" i="2" s="1"/>
  <c r="G13" i="2"/>
  <c r="AA12" i="2"/>
  <c r="AC12" i="2" s="1"/>
  <c r="AE12" i="2" s="1"/>
  <c r="W12" i="2"/>
  <c r="X12" i="2" s="1"/>
  <c r="S12" i="2"/>
  <c r="M12" i="2"/>
  <c r="G12" i="2"/>
  <c r="AA11" i="2"/>
  <c r="AB11" i="2" s="1"/>
  <c r="Y11" i="2"/>
  <c r="Z11" i="2" s="1"/>
  <c r="W11" i="2"/>
  <c r="X11" i="2" s="1"/>
  <c r="S11" i="2"/>
  <c r="M11" i="2"/>
  <c r="G11" i="2"/>
  <c r="Y10" i="2"/>
  <c r="Z10" i="2" s="1"/>
  <c r="S10" i="2"/>
  <c r="M10" i="2"/>
  <c r="G10" i="2"/>
  <c r="AA9" i="2"/>
  <c r="AC9" i="2" s="1"/>
  <c r="AE9" i="2" s="1"/>
  <c r="Y9" i="2"/>
  <c r="Z9" i="2" s="1"/>
  <c r="W9" i="2"/>
  <c r="X9" i="2" s="1"/>
  <c r="S9" i="2"/>
  <c r="M9" i="2"/>
  <c r="G9" i="2"/>
  <c r="AA8" i="2"/>
  <c r="AC8" i="2" s="1"/>
  <c r="Y8" i="2"/>
  <c r="Z8" i="2" s="1"/>
  <c r="W8" i="2"/>
  <c r="X8" i="2" s="1"/>
  <c r="S8" i="2"/>
  <c r="M8" i="2"/>
  <c r="G8" i="2"/>
  <c r="AA7" i="2"/>
  <c r="AC7" i="2" s="1"/>
  <c r="Y7" i="2"/>
  <c r="Z7" i="2" s="1"/>
  <c r="W7" i="2"/>
  <c r="X7" i="2" s="1"/>
  <c r="S7" i="2"/>
  <c r="M7" i="2"/>
  <c r="G7" i="2"/>
  <c r="AA6" i="2"/>
  <c r="AB6" i="2" s="1"/>
  <c r="Y6" i="2"/>
  <c r="Z6" i="2" s="1"/>
  <c r="W6" i="2"/>
  <c r="X6" i="2" s="1"/>
  <c r="S6" i="2"/>
  <c r="M6" i="2"/>
  <c r="G6" i="2"/>
  <c r="AA5" i="2"/>
  <c r="AC5" i="2" s="1"/>
  <c r="AE5" i="2" s="1"/>
  <c r="Y5" i="2"/>
  <c r="Z5" i="2" s="1"/>
  <c r="W5" i="2"/>
  <c r="X5" i="2" s="1"/>
  <c r="S5" i="2"/>
  <c r="M5" i="2"/>
  <c r="G5" i="2"/>
  <c r="AA4" i="2"/>
  <c r="AC4" i="2" s="1"/>
  <c r="Y4" i="2"/>
  <c r="Z4" i="2" s="1"/>
  <c r="W4" i="2"/>
  <c r="X4" i="2" s="1"/>
  <c r="S4" i="2"/>
  <c r="M4" i="2"/>
  <c r="G4" i="2"/>
  <c r="Z43" i="3"/>
  <c r="AA43" i="3" s="1"/>
  <c r="S43" i="3"/>
  <c r="U43" i="3" s="1"/>
  <c r="Q43" i="3"/>
  <c r="R43" i="3" s="1"/>
  <c r="O43" i="3"/>
  <c r="G43" i="3"/>
  <c r="B43" i="3"/>
  <c r="Q42" i="3"/>
  <c r="R42" i="3" s="1"/>
  <c r="O42" i="3"/>
  <c r="G42" i="3"/>
  <c r="B42" i="3"/>
  <c r="Z41" i="3"/>
  <c r="AC41" i="3" s="1"/>
  <c r="S41" i="3"/>
  <c r="U41" i="3" s="1"/>
  <c r="W41" i="3" s="1"/>
  <c r="Q41" i="3"/>
  <c r="R41" i="3" s="1"/>
  <c r="O41" i="3"/>
  <c r="G41" i="3"/>
  <c r="B41" i="3"/>
  <c r="Z40" i="3"/>
  <c r="AC40" i="3" s="1"/>
  <c r="S40" i="3"/>
  <c r="U40" i="3" s="1"/>
  <c r="Q40" i="3"/>
  <c r="R40" i="3" s="1"/>
  <c r="O40" i="3"/>
  <c r="G40" i="3"/>
  <c r="B40" i="3"/>
  <c r="Z39" i="3"/>
  <c r="AC39" i="3" s="1"/>
  <c r="S39" i="3"/>
  <c r="T39" i="3" s="1"/>
  <c r="Q39" i="3"/>
  <c r="R39" i="3" s="1"/>
  <c r="O39" i="3"/>
  <c r="G39" i="3"/>
  <c r="B39" i="3"/>
  <c r="Z38" i="3"/>
  <c r="AC38" i="3" s="1"/>
  <c r="S38" i="3"/>
  <c r="Q38" i="3"/>
  <c r="R38" i="3" s="1"/>
  <c r="O38" i="3"/>
  <c r="G38" i="3"/>
  <c r="B38" i="3"/>
  <c r="Z37" i="3"/>
  <c r="AB37" i="3" s="1"/>
  <c r="S37" i="3"/>
  <c r="U37" i="3" s="1"/>
  <c r="Q37" i="3"/>
  <c r="R37" i="3" s="1"/>
  <c r="O37" i="3"/>
  <c r="G37" i="3"/>
  <c r="B37" i="3"/>
  <c r="Z36" i="3"/>
  <c r="AC36" i="3" s="1"/>
  <c r="S36" i="3"/>
  <c r="Q36" i="3"/>
  <c r="R36" i="3" s="1"/>
  <c r="O36" i="3"/>
  <c r="G36" i="3"/>
  <c r="B36" i="3"/>
  <c r="Z35" i="3"/>
  <c r="AC35" i="3" s="1"/>
  <c r="S35" i="3"/>
  <c r="U35" i="3" s="1"/>
  <c r="Q35" i="3"/>
  <c r="R35" i="3" s="1"/>
  <c r="O35" i="3"/>
  <c r="G35" i="3"/>
  <c r="B35" i="3"/>
  <c r="Z34" i="3"/>
  <c r="AC34" i="3" s="1"/>
  <c r="S34" i="3"/>
  <c r="Q34" i="3"/>
  <c r="R34" i="3" s="1"/>
  <c r="O34" i="3"/>
  <c r="G34" i="3"/>
  <c r="B34" i="3"/>
  <c r="O33" i="3"/>
  <c r="Q33" i="3"/>
  <c r="R33" i="3" s="1"/>
  <c r="G33" i="3"/>
  <c r="B33" i="3"/>
  <c r="Z32" i="3"/>
  <c r="AC32" i="3" s="1"/>
  <c r="S32" i="3"/>
  <c r="U32" i="3" s="1"/>
  <c r="Q32" i="3"/>
  <c r="R32" i="3" s="1"/>
  <c r="O32" i="3"/>
  <c r="G32" i="3"/>
  <c r="B32" i="3"/>
  <c r="Z31" i="3"/>
  <c r="S31" i="3"/>
  <c r="U31" i="3" s="1"/>
  <c r="Q31" i="3"/>
  <c r="R31" i="3" s="1"/>
  <c r="O31" i="3"/>
  <c r="G31" i="3"/>
  <c r="B31" i="3"/>
  <c r="Z30" i="3"/>
  <c r="AC30" i="3" s="1"/>
  <c r="S30" i="3"/>
  <c r="U30" i="3" s="1"/>
  <c r="Q30" i="3"/>
  <c r="R30" i="3" s="1"/>
  <c r="O30" i="3"/>
  <c r="G30" i="3"/>
  <c r="B30" i="3"/>
  <c r="Z29" i="3"/>
  <c r="S29" i="3"/>
  <c r="U29" i="3" s="1"/>
  <c r="Q29" i="3"/>
  <c r="R29" i="3" s="1"/>
  <c r="O29" i="3"/>
  <c r="G29" i="3"/>
  <c r="B29" i="3"/>
  <c r="Z28" i="3"/>
  <c r="AC28" i="3" s="1"/>
  <c r="S28" i="3"/>
  <c r="U28" i="3" s="1"/>
  <c r="Q28" i="3"/>
  <c r="R28" i="3" s="1"/>
  <c r="O28" i="3"/>
  <c r="G28" i="3"/>
  <c r="B28" i="3"/>
  <c r="Z27" i="3"/>
  <c r="S27" i="3"/>
  <c r="U27" i="3" s="1"/>
  <c r="Q27" i="3"/>
  <c r="R27" i="3" s="1"/>
  <c r="O27" i="3"/>
  <c r="G27" i="3"/>
  <c r="B27" i="3"/>
  <c r="Z26" i="3"/>
  <c r="AC26" i="3" s="1"/>
  <c r="S26" i="3"/>
  <c r="U26" i="3" s="1"/>
  <c r="Q26" i="3"/>
  <c r="R26" i="3" s="1"/>
  <c r="O26" i="3"/>
  <c r="G26" i="3"/>
  <c r="B26" i="3"/>
  <c r="Z25" i="3"/>
  <c r="S25" i="3"/>
  <c r="T25" i="3" s="1"/>
  <c r="Q25" i="3"/>
  <c r="R25" i="3" s="1"/>
  <c r="O25" i="3"/>
  <c r="G25" i="3"/>
  <c r="B25" i="3"/>
  <c r="Z24" i="3"/>
  <c r="AC24" i="3" s="1"/>
  <c r="S24" i="3"/>
  <c r="U24" i="3" s="1"/>
  <c r="V24" i="3" s="1"/>
  <c r="Q24" i="3"/>
  <c r="R24" i="3" s="1"/>
  <c r="O24" i="3"/>
  <c r="G24" i="3"/>
  <c r="B24" i="3"/>
  <c r="Z23" i="3"/>
  <c r="S23" i="3"/>
  <c r="U23" i="3" s="1"/>
  <c r="W23" i="3" s="1"/>
  <c r="Q23" i="3"/>
  <c r="R23" i="3" s="1"/>
  <c r="O23" i="3"/>
  <c r="G23" i="3"/>
  <c r="B23" i="3"/>
  <c r="Z22" i="3"/>
  <c r="AC22" i="3" s="1"/>
  <c r="S22" i="3"/>
  <c r="U22" i="3" s="1"/>
  <c r="V22" i="3" s="1"/>
  <c r="Q22" i="3"/>
  <c r="R22" i="3" s="1"/>
  <c r="O22" i="3"/>
  <c r="G22" i="3"/>
  <c r="B22" i="3"/>
  <c r="Z21" i="3"/>
  <c r="S21" i="3"/>
  <c r="U21" i="3" s="1"/>
  <c r="W21" i="3" s="1"/>
  <c r="Q21" i="3"/>
  <c r="R21" i="3" s="1"/>
  <c r="O21" i="3"/>
  <c r="G21" i="3"/>
  <c r="B21" i="3"/>
  <c r="Z20" i="3"/>
  <c r="AC20" i="3" s="1"/>
  <c r="S20" i="3"/>
  <c r="U20" i="3" s="1"/>
  <c r="V20" i="3" s="1"/>
  <c r="Q20" i="3"/>
  <c r="R20" i="3" s="1"/>
  <c r="O20" i="3"/>
  <c r="G20" i="3"/>
  <c r="B20" i="3"/>
  <c r="Z19" i="3"/>
  <c r="AA19" i="3" s="1"/>
  <c r="S19" i="3"/>
  <c r="T19" i="3" s="1"/>
  <c r="Q19" i="3"/>
  <c r="R19" i="3" s="1"/>
  <c r="O19" i="3"/>
  <c r="G19" i="3"/>
  <c r="B19" i="3"/>
  <c r="Z18" i="3"/>
  <c r="AC18" i="3" s="1"/>
  <c r="S18" i="3"/>
  <c r="U18" i="3" s="1"/>
  <c r="W18" i="3" s="1"/>
  <c r="Q18" i="3"/>
  <c r="R18" i="3" s="1"/>
  <c r="O18" i="3"/>
  <c r="G18" i="3"/>
  <c r="B18" i="3"/>
  <c r="Z17" i="3"/>
  <c r="AA17" i="3" s="1"/>
  <c r="S17" i="3"/>
  <c r="U17" i="3" s="1"/>
  <c r="Q17" i="3"/>
  <c r="R17" i="3" s="1"/>
  <c r="O17" i="3"/>
  <c r="G17" i="3"/>
  <c r="B17" i="3"/>
  <c r="Z16" i="3"/>
  <c r="AC16" i="3" s="1"/>
  <c r="S16" i="3"/>
  <c r="U16" i="3" s="1"/>
  <c r="Q16" i="3"/>
  <c r="R16" i="3" s="1"/>
  <c r="O16" i="3"/>
  <c r="G16" i="3"/>
  <c r="B16" i="3"/>
  <c r="Z15" i="3"/>
  <c r="AA15" i="3" s="1"/>
  <c r="S15" i="3"/>
  <c r="U15" i="3" s="1"/>
  <c r="W15" i="3" s="1"/>
  <c r="Q15" i="3"/>
  <c r="R15" i="3" s="1"/>
  <c r="O15" i="3"/>
  <c r="G15" i="3"/>
  <c r="B15" i="3"/>
  <c r="Z14" i="3"/>
  <c r="AC14" i="3" s="1"/>
  <c r="S14" i="3"/>
  <c r="U14" i="3" s="1"/>
  <c r="Q14" i="3"/>
  <c r="R14" i="3" s="1"/>
  <c r="O14" i="3"/>
  <c r="G14" i="3"/>
  <c r="B14" i="3"/>
  <c r="Z13" i="3"/>
  <c r="AA13" i="3" s="1"/>
  <c r="S13" i="3"/>
  <c r="U13" i="3" s="1"/>
  <c r="W13" i="3" s="1"/>
  <c r="Q13" i="3"/>
  <c r="R13" i="3" s="1"/>
  <c r="O13" i="3"/>
  <c r="G13" i="3"/>
  <c r="B13" i="3"/>
  <c r="Z12" i="3"/>
  <c r="AC12" i="3" s="1"/>
  <c r="S12" i="3"/>
  <c r="U12" i="3" s="1"/>
  <c r="Q12" i="3"/>
  <c r="R12" i="3" s="1"/>
  <c r="O12" i="3"/>
  <c r="G12" i="3"/>
  <c r="B12" i="3"/>
  <c r="Z11" i="3"/>
  <c r="AA11" i="3" s="1"/>
  <c r="S11" i="3"/>
  <c r="U11" i="3" s="1"/>
  <c r="W11" i="3" s="1"/>
  <c r="Q11" i="3"/>
  <c r="R11" i="3" s="1"/>
  <c r="O11" i="3"/>
  <c r="G11" i="3"/>
  <c r="B11" i="3"/>
  <c r="O10" i="3"/>
  <c r="Q10" i="3"/>
  <c r="R10" i="3" s="1"/>
  <c r="G10" i="3"/>
  <c r="B10" i="3"/>
  <c r="Z9" i="3"/>
  <c r="AB9" i="3" s="1"/>
  <c r="S9" i="3"/>
  <c r="T9" i="3" s="1"/>
  <c r="Q9" i="3"/>
  <c r="R9" i="3" s="1"/>
  <c r="O9" i="3"/>
  <c r="G9" i="3"/>
  <c r="B9" i="3"/>
  <c r="Z8" i="3"/>
  <c r="AA8" i="3" s="1"/>
  <c r="S8" i="3"/>
  <c r="U8" i="3" s="1"/>
  <c r="Q8" i="3"/>
  <c r="R8" i="3" s="1"/>
  <c r="O8" i="3"/>
  <c r="G8" i="3"/>
  <c r="B8" i="3"/>
  <c r="Z7" i="3"/>
  <c r="AB7" i="3" s="1"/>
  <c r="S7" i="3"/>
  <c r="T7" i="3" s="1"/>
  <c r="Q7" i="3"/>
  <c r="R7" i="3" s="1"/>
  <c r="O7" i="3"/>
  <c r="G7" i="3"/>
  <c r="B7" i="3"/>
  <c r="Z6" i="3"/>
  <c r="AC6" i="3" s="1"/>
  <c r="S6" i="3"/>
  <c r="U6" i="3" s="1"/>
  <c r="Q6" i="3"/>
  <c r="R6" i="3" s="1"/>
  <c r="O6" i="3"/>
  <c r="G6" i="3"/>
  <c r="B6" i="3"/>
  <c r="Z5" i="3"/>
  <c r="AB5" i="3" s="1"/>
  <c r="S5" i="3"/>
  <c r="T5" i="3" s="1"/>
  <c r="Q5" i="3"/>
  <c r="R5" i="3" s="1"/>
  <c r="O5" i="3"/>
  <c r="G5" i="3"/>
  <c r="B5" i="3"/>
  <c r="O4" i="3"/>
  <c r="Z4" i="3"/>
  <c r="G4" i="3"/>
  <c r="B4" i="3"/>
  <c r="Z477" i="1"/>
  <c r="AB477" i="1" s="1"/>
  <c r="AD477" i="1" s="1"/>
  <c r="X477" i="1"/>
  <c r="Y477" i="1" s="1"/>
  <c r="V477" i="1"/>
  <c r="W477" i="1" s="1"/>
  <c r="R477" i="1"/>
  <c r="L477" i="1"/>
  <c r="G477" i="1"/>
  <c r="B477" i="1"/>
  <c r="Z476" i="1"/>
  <c r="AA476" i="1" s="1"/>
  <c r="X476" i="1"/>
  <c r="Y476" i="1" s="1"/>
  <c r="V476" i="1"/>
  <c r="W476" i="1" s="1"/>
  <c r="R476" i="1"/>
  <c r="L476" i="1"/>
  <c r="G476" i="1"/>
  <c r="B476" i="1"/>
  <c r="Z475" i="1"/>
  <c r="AA475" i="1" s="1"/>
  <c r="X475" i="1"/>
  <c r="Y475" i="1" s="1"/>
  <c r="V475" i="1"/>
  <c r="W475" i="1" s="1"/>
  <c r="R475" i="1"/>
  <c r="L475" i="1"/>
  <c r="G475" i="1"/>
  <c r="B475" i="1"/>
  <c r="Z474" i="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X470" i="1"/>
  <c r="Y470" i="1" s="1"/>
  <c r="V470" i="1"/>
  <c r="W470" i="1" s="1"/>
  <c r="R470" i="1"/>
  <c r="L470" i="1"/>
  <c r="G470" i="1"/>
  <c r="B470" i="1"/>
  <c r="Z469" i="1"/>
  <c r="AB469" i="1" s="1"/>
  <c r="AD469" i="1" s="1"/>
  <c r="X469" i="1"/>
  <c r="Y469" i="1" s="1"/>
  <c r="V469" i="1"/>
  <c r="W469" i="1" s="1"/>
  <c r="R469" i="1"/>
  <c r="L469" i="1"/>
  <c r="G469" i="1"/>
  <c r="B469" i="1"/>
  <c r="Z468" i="1"/>
  <c r="AA468" i="1" s="1"/>
  <c r="X468" i="1"/>
  <c r="Y468" i="1" s="1"/>
  <c r="V468" i="1"/>
  <c r="W468" i="1" s="1"/>
  <c r="R468" i="1"/>
  <c r="L468" i="1"/>
  <c r="G468" i="1"/>
  <c r="B468" i="1"/>
  <c r="Z467" i="1"/>
  <c r="AB467" i="1" s="1"/>
  <c r="AD467" i="1" s="1"/>
  <c r="X467" i="1"/>
  <c r="Y467" i="1" s="1"/>
  <c r="V467" i="1"/>
  <c r="W467" i="1" s="1"/>
  <c r="R467" i="1"/>
  <c r="L467" i="1"/>
  <c r="G467" i="1"/>
  <c r="B467" i="1"/>
  <c r="Z466" i="1"/>
  <c r="X466" i="1"/>
  <c r="Y466" i="1" s="1"/>
  <c r="V466" i="1"/>
  <c r="W466" i="1" s="1"/>
  <c r="R466" i="1"/>
  <c r="L466" i="1"/>
  <c r="G466" i="1"/>
  <c r="B466" i="1"/>
  <c r="Z465" i="1"/>
  <c r="AB465" i="1" s="1"/>
  <c r="AD465" i="1" s="1"/>
  <c r="X465" i="1"/>
  <c r="Y465" i="1" s="1"/>
  <c r="V465" i="1"/>
  <c r="W465" i="1" s="1"/>
  <c r="R465" i="1"/>
  <c r="L465" i="1"/>
  <c r="G465" i="1"/>
  <c r="B465" i="1"/>
  <c r="Z464" i="1"/>
  <c r="AA464" i="1" s="1"/>
  <c r="X464" i="1"/>
  <c r="Y464" i="1" s="1"/>
  <c r="V464" i="1"/>
  <c r="W464" i="1" s="1"/>
  <c r="R464" i="1"/>
  <c r="L464" i="1"/>
  <c r="G464" i="1"/>
  <c r="B464" i="1"/>
  <c r="Z463" i="1"/>
  <c r="AB463" i="1" s="1"/>
  <c r="X463" i="1"/>
  <c r="Y463" i="1" s="1"/>
  <c r="V463" i="1"/>
  <c r="W463" i="1" s="1"/>
  <c r="R463" i="1"/>
  <c r="L463" i="1"/>
  <c r="G463" i="1"/>
  <c r="B463" i="1"/>
  <c r="Z462" i="1"/>
  <c r="X462" i="1"/>
  <c r="Y462" i="1" s="1"/>
  <c r="V462" i="1"/>
  <c r="W462" i="1" s="1"/>
  <c r="R462" i="1"/>
  <c r="L462" i="1"/>
  <c r="G462" i="1"/>
  <c r="B462" i="1"/>
  <c r="Z461" i="1"/>
  <c r="AB461" i="1" s="1"/>
  <c r="AD461" i="1" s="1"/>
  <c r="X461" i="1"/>
  <c r="Y461" i="1" s="1"/>
  <c r="V461" i="1"/>
  <c r="W461" i="1" s="1"/>
  <c r="R461" i="1"/>
  <c r="L461" i="1"/>
  <c r="G461" i="1"/>
  <c r="B461" i="1"/>
  <c r="Z460" i="1"/>
  <c r="AA460" i="1" s="1"/>
  <c r="X460" i="1"/>
  <c r="Y460" i="1" s="1"/>
  <c r="V460" i="1"/>
  <c r="W460" i="1" s="1"/>
  <c r="R460" i="1"/>
  <c r="L460" i="1"/>
  <c r="G460" i="1"/>
  <c r="B460" i="1"/>
  <c r="Z459" i="1"/>
  <c r="AB459" i="1" s="1"/>
  <c r="AD459" i="1" s="1"/>
  <c r="X459" i="1"/>
  <c r="Y459" i="1" s="1"/>
  <c r="V459" i="1"/>
  <c r="W459" i="1" s="1"/>
  <c r="R459" i="1"/>
  <c r="L459" i="1"/>
  <c r="G459" i="1"/>
  <c r="B459" i="1"/>
  <c r="Z458" i="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X455" i="1"/>
  <c r="Y455" i="1" s="1"/>
  <c r="V455" i="1"/>
  <c r="W455" i="1" s="1"/>
  <c r="R455" i="1"/>
  <c r="L455" i="1"/>
  <c r="G455" i="1"/>
  <c r="B455" i="1"/>
  <c r="Z454" i="1"/>
  <c r="X454" i="1"/>
  <c r="Y454" i="1" s="1"/>
  <c r="V454" i="1"/>
  <c r="W454" i="1" s="1"/>
  <c r="R454" i="1"/>
  <c r="L454" i="1"/>
  <c r="G454" i="1"/>
  <c r="B454" i="1"/>
  <c r="Z453" i="1"/>
  <c r="AB453" i="1" s="1"/>
  <c r="AD453" i="1" s="1"/>
  <c r="X453" i="1"/>
  <c r="Y453" i="1" s="1"/>
  <c r="V453" i="1"/>
  <c r="W453" i="1" s="1"/>
  <c r="R453" i="1"/>
  <c r="L453" i="1"/>
  <c r="G453" i="1"/>
  <c r="B453" i="1"/>
  <c r="Z452" i="1"/>
  <c r="AA452" i="1" s="1"/>
  <c r="X452" i="1"/>
  <c r="Y452" i="1" s="1"/>
  <c r="V452" i="1"/>
  <c r="W452" i="1" s="1"/>
  <c r="R452" i="1"/>
  <c r="L452" i="1"/>
  <c r="G452" i="1"/>
  <c r="B452" i="1"/>
  <c r="Z451" i="1"/>
  <c r="AB451" i="1" s="1"/>
  <c r="X451" i="1"/>
  <c r="Y451" i="1" s="1"/>
  <c r="V451" i="1"/>
  <c r="W451" i="1" s="1"/>
  <c r="R451" i="1"/>
  <c r="L451" i="1"/>
  <c r="G451" i="1"/>
  <c r="B451" i="1"/>
  <c r="Z450" i="1"/>
  <c r="X450" i="1"/>
  <c r="Y450" i="1" s="1"/>
  <c r="V450" i="1"/>
  <c r="W450" i="1" s="1"/>
  <c r="R450" i="1"/>
  <c r="L450" i="1"/>
  <c r="G450" i="1"/>
  <c r="B450" i="1"/>
  <c r="Z449" i="1"/>
  <c r="AB449" i="1" s="1"/>
  <c r="AD449" i="1" s="1"/>
  <c r="X449" i="1"/>
  <c r="Y449" i="1" s="1"/>
  <c r="V449" i="1"/>
  <c r="W449" i="1" s="1"/>
  <c r="R449" i="1"/>
  <c r="L449" i="1"/>
  <c r="G449" i="1"/>
  <c r="B449" i="1"/>
  <c r="Z448" i="1"/>
  <c r="AA448" i="1" s="1"/>
  <c r="X448" i="1"/>
  <c r="Y448" i="1" s="1"/>
  <c r="V448" i="1"/>
  <c r="W448" i="1" s="1"/>
  <c r="R448" i="1"/>
  <c r="L448" i="1"/>
  <c r="G448" i="1"/>
  <c r="B448" i="1"/>
  <c r="Z447" i="1"/>
  <c r="AB447" i="1" s="1"/>
  <c r="X447" i="1"/>
  <c r="Y447" i="1" s="1"/>
  <c r="V447" i="1"/>
  <c r="W447" i="1" s="1"/>
  <c r="R447" i="1"/>
  <c r="L447" i="1"/>
  <c r="G447" i="1"/>
  <c r="B447" i="1"/>
  <c r="Z446" i="1"/>
  <c r="X446" i="1"/>
  <c r="Y446" i="1" s="1"/>
  <c r="V446" i="1"/>
  <c r="W446" i="1" s="1"/>
  <c r="R446" i="1"/>
  <c r="L446" i="1"/>
  <c r="G446" i="1"/>
  <c r="B446" i="1"/>
  <c r="Z445" i="1"/>
  <c r="AA445" i="1" s="1"/>
  <c r="X445" i="1"/>
  <c r="Y445" i="1" s="1"/>
  <c r="V445" i="1"/>
  <c r="W445" i="1" s="1"/>
  <c r="R445" i="1"/>
  <c r="L445" i="1"/>
  <c r="G445" i="1"/>
  <c r="B445" i="1"/>
  <c r="Z444" i="1"/>
  <c r="AA444" i="1" s="1"/>
  <c r="X444" i="1"/>
  <c r="Y444" i="1" s="1"/>
  <c r="V444" i="1"/>
  <c r="W444" i="1" s="1"/>
  <c r="R444" i="1"/>
  <c r="L444" i="1"/>
  <c r="G444" i="1"/>
  <c r="B444" i="1"/>
  <c r="Z443" i="1"/>
  <c r="AB443" i="1" s="1"/>
  <c r="X443" i="1"/>
  <c r="Y443" i="1" s="1"/>
  <c r="V443" i="1"/>
  <c r="W443" i="1" s="1"/>
  <c r="R443" i="1"/>
  <c r="L443" i="1"/>
  <c r="G443" i="1"/>
  <c r="B443" i="1"/>
  <c r="Z442" i="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B439" i="1" s="1"/>
  <c r="X439" i="1"/>
  <c r="Y439" i="1" s="1"/>
  <c r="V439" i="1"/>
  <c r="W439" i="1" s="1"/>
  <c r="R439" i="1"/>
  <c r="L439" i="1"/>
  <c r="G439" i="1"/>
  <c r="B439" i="1"/>
  <c r="Z438" i="1"/>
  <c r="X438" i="1"/>
  <c r="Y438" i="1" s="1"/>
  <c r="V438" i="1"/>
  <c r="W438" i="1" s="1"/>
  <c r="R438" i="1"/>
  <c r="L438" i="1"/>
  <c r="G438" i="1"/>
  <c r="B438" i="1"/>
  <c r="Z437" i="1"/>
  <c r="AA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X434" i="1"/>
  <c r="Y434" i="1" s="1"/>
  <c r="V434" i="1"/>
  <c r="W434" i="1" s="1"/>
  <c r="R434" i="1"/>
  <c r="L434" i="1"/>
  <c r="G434" i="1"/>
  <c r="B434" i="1"/>
  <c r="Z433" i="1"/>
  <c r="AA433" i="1" s="1"/>
  <c r="X433" i="1"/>
  <c r="Y433" i="1" s="1"/>
  <c r="V433" i="1"/>
  <c r="W433" i="1" s="1"/>
  <c r="R433" i="1"/>
  <c r="L433" i="1"/>
  <c r="G433" i="1"/>
  <c r="B433" i="1"/>
  <c r="Z432" i="1"/>
  <c r="AA432" i="1" s="1"/>
  <c r="X432" i="1"/>
  <c r="Y432" i="1" s="1"/>
  <c r="V432" i="1"/>
  <c r="W432" i="1" s="1"/>
  <c r="R432" i="1"/>
  <c r="L432" i="1"/>
  <c r="G432" i="1"/>
  <c r="B432" i="1"/>
  <c r="Z431" i="1"/>
  <c r="X431" i="1"/>
  <c r="Y431" i="1" s="1"/>
  <c r="V431" i="1"/>
  <c r="W431" i="1" s="1"/>
  <c r="R431" i="1"/>
  <c r="L431" i="1"/>
  <c r="G431" i="1"/>
  <c r="B431" i="1"/>
  <c r="Z430" i="1"/>
  <c r="AA430" i="1" s="1"/>
  <c r="X430" i="1"/>
  <c r="Y430" i="1" s="1"/>
  <c r="V430" i="1"/>
  <c r="W430" i="1" s="1"/>
  <c r="R430" i="1"/>
  <c r="L430" i="1"/>
  <c r="G430" i="1"/>
  <c r="B430" i="1"/>
  <c r="Z429" i="1"/>
  <c r="X429" i="1"/>
  <c r="Y429" i="1" s="1"/>
  <c r="V429" i="1"/>
  <c r="W429" i="1" s="1"/>
  <c r="R429" i="1"/>
  <c r="L429" i="1"/>
  <c r="G429" i="1"/>
  <c r="B429" i="1"/>
  <c r="Z428" i="1"/>
  <c r="X428" i="1"/>
  <c r="Y428" i="1" s="1"/>
  <c r="V428" i="1"/>
  <c r="W428" i="1" s="1"/>
  <c r="R428" i="1"/>
  <c r="L428" i="1"/>
  <c r="G428" i="1"/>
  <c r="B428" i="1"/>
  <c r="Z427" i="1"/>
  <c r="AA427" i="1" s="1"/>
  <c r="X427" i="1"/>
  <c r="Y427" i="1" s="1"/>
  <c r="V427" i="1"/>
  <c r="W427" i="1" s="1"/>
  <c r="R427" i="1"/>
  <c r="L427" i="1"/>
  <c r="G427" i="1"/>
  <c r="B427" i="1"/>
  <c r="Z426" i="1"/>
  <c r="AB426" i="1" s="1"/>
  <c r="X426" i="1"/>
  <c r="Y426" i="1" s="1"/>
  <c r="V426" i="1"/>
  <c r="W426" i="1" s="1"/>
  <c r="R426" i="1"/>
  <c r="L426" i="1"/>
  <c r="G426" i="1"/>
  <c r="B426" i="1"/>
  <c r="Z425" i="1"/>
  <c r="X425" i="1"/>
  <c r="Y425" i="1" s="1"/>
  <c r="V425" i="1"/>
  <c r="W425" i="1" s="1"/>
  <c r="R425" i="1"/>
  <c r="L425" i="1"/>
  <c r="G425" i="1"/>
  <c r="B425" i="1"/>
  <c r="Z424" i="1"/>
  <c r="X424" i="1"/>
  <c r="Y424" i="1" s="1"/>
  <c r="V424" i="1"/>
  <c r="W424" i="1" s="1"/>
  <c r="R424" i="1"/>
  <c r="L424" i="1"/>
  <c r="G424" i="1"/>
  <c r="B424" i="1"/>
  <c r="Z423" i="1"/>
  <c r="AA423" i="1" s="1"/>
  <c r="X423" i="1"/>
  <c r="Y423" i="1" s="1"/>
  <c r="V423" i="1"/>
  <c r="W423" i="1" s="1"/>
  <c r="R423" i="1"/>
  <c r="G423" i="1"/>
  <c r="B423" i="1"/>
  <c r="Z422" i="1"/>
  <c r="AB422" i="1" s="1"/>
  <c r="AC422" i="1" s="1"/>
  <c r="X422" i="1"/>
  <c r="Y422" i="1" s="1"/>
  <c r="V422" i="1"/>
  <c r="W422" i="1" s="1"/>
  <c r="R422" i="1"/>
  <c r="G422" i="1"/>
  <c r="B422" i="1"/>
  <c r="Z421" i="1"/>
  <c r="X421" i="1"/>
  <c r="Y421" i="1" s="1"/>
  <c r="V421" i="1"/>
  <c r="W421" i="1" s="1"/>
  <c r="R421" i="1"/>
  <c r="G421" i="1"/>
  <c r="B421" i="1"/>
  <c r="Z420" i="1"/>
  <c r="X420" i="1"/>
  <c r="Y420" i="1" s="1"/>
  <c r="V420" i="1"/>
  <c r="W420" i="1" s="1"/>
  <c r="R420" i="1"/>
  <c r="G420" i="1"/>
  <c r="B420" i="1"/>
  <c r="Z419" i="1"/>
  <c r="AA419" i="1" s="1"/>
  <c r="X419" i="1"/>
  <c r="Y419" i="1" s="1"/>
  <c r="V419" i="1"/>
  <c r="W419" i="1" s="1"/>
  <c r="R419" i="1"/>
  <c r="G419" i="1"/>
  <c r="B419" i="1"/>
  <c r="Z418" i="1"/>
  <c r="AB418" i="1" s="1"/>
  <c r="AC418" i="1" s="1"/>
  <c r="X418" i="1"/>
  <c r="Y418" i="1" s="1"/>
  <c r="V418" i="1"/>
  <c r="W418" i="1" s="1"/>
  <c r="R418" i="1"/>
  <c r="G418" i="1"/>
  <c r="B418" i="1"/>
  <c r="Z417" i="1"/>
  <c r="AA417" i="1" s="1"/>
  <c r="X417" i="1"/>
  <c r="Y417" i="1" s="1"/>
  <c r="V417" i="1"/>
  <c r="W417" i="1" s="1"/>
  <c r="R417" i="1"/>
  <c r="G417" i="1"/>
  <c r="B417" i="1"/>
  <c r="Z416" i="1"/>
  <c r="AA416" i="1" s="1"/>
  <c r="X416" i="1"/>
  <c r="Y416" i="1" s="1"/>
  <c r="V416" i="1"/>
  <c r="W416" i="1" s="1"/>
  <c r="R416" i="1"/>
  <c r="G416" i="1"/>
  <c r="B416" i="1"/>
  <c r="Z415" i="1"/>
  <c r="AA415" i="1" s="1"/>
  <c r="X415" i="1"/>
  <c r="Y415" i="1" s="1"/>
  <c r="V415" i="1"/>
  <c r="W415" i="1" s="1"/>
  <c r="R415" i="1"/>
  <c r="G415" i="1"/>
  <c r="B415" i="1"/>
  <c r="Z414" i="1"/>
  <c r="AA414" i="1" s="1"/>
  <c r="X414" i="1"/>
  <c r="Y414" i="1" s="1"/>
  <c r="V414" i="1"/>
  <c r="W414" i="1" s="1"/>
  <c r="R414" i="1"/>
  <c r="L414" i="1"/>
  <c r="G414" i="1"/>
  <c r="B414" i="1"/>
  <c r="Z413" i="1"/>
  <c r="X413" i="1"/>
  <c r="Y413" i="1" s="1"/>
  <c r="V413" i="1"/>
  <c r="W413" i="1" s="1"/>
  <c r="R413" i="1"/>
  <c r="L413" i="1"/>
  <c r="G413" i="1"/>
  <c r="B413" i="1"/>
  <c r="Z412" i="1"/>
  <c r="AA412" i="1" s="1"/>
  <c r="X412" i="1"/>
  <c r="Y412" i="1" s="1"/>
  <c r="V412" i="1"/>
  <c r="W412" i="1" s="1"/>
  <c r="R412" i="1"/>
  <c r="L412" i="1"/>
  <c r="G412" i="1"/>
  <c r="B412" i="1"/>
  <c r="Z411" i="1"/>
  <c r="AA411" i="1" s="1"/>
  <c r="X411" i="1"/>
  <c r="Y411" i="1" s="1"/>
  <c r="V411" i="1"/>
  <c r="W411" i="1" s="1"/>
  <c r="R411" i="1"/>
  <c r="L411" i="1"/>
  <c r="G411" i="1"/>
  <c r="B411" i="1"/>
  <c r="AB410" i="1"/>
  <c r="AC410" i="1" s="1"/>
  <c r="Z410" i="1"/>
  <c r="AA410" i="1" s="1"/>
  <c r="X410" i="1"/>
  <c r="Y410" i="1" s="1"/>
  <c r="V410" i="1"/>
  <c r="W410" i="1" s="1"/>
  <c r="R410" i="1"/>
  <c r="L410" i="1"/>
  <c r="G410" i="1"/>
  <c r="B410" i="1"/>
  <c r="Z409" i="1"/>
  <c r="X409" i="1"/>
  <c r="Y409" i="1" s="1"/>
  <c r="V409" i="1"/>
  <c r="W409" i="1" s="1"/>
  <c r="R409" i="1"/>
  <c r="L409" i="1"/>
  <c r="G409" i="1"/>
  <c r="B409" i="1"/>
  <c r="Z408" i="1"/>
  <c r="AA408" i="1" s="1"/>
  <c r="X408" i="1"/>
  <c r="Y408" i="1" s="1"/>
  <c r="V408" i="1"/>
  <c r="W408" i="1" s="1"/>
  <c r="R408" i="1"/>
  <c r="L408" i="1"/>
  <c r="G408" i="1"/>
  <c r="B408" i="1"/>
  <c r="Z407" i="1"/>
  <c r="AA407" i="1" s="1"/>
  <c r="X407" i="1"/>
  <c r="Y407" i="1" s="1"/>
  <c r="V407" i="1"/>
  <c r="W407" i="1" s="1"/>
  <c r="R407" i="1"/>
  <c r="L407" i="1"/>
  <c r="G407" i="1"/>
  <c r="B407" i="1"/>
  <c r="Z406" i="1"/>
  <c r="X406" i="1"/>
  <c r="Y406" i="1" s="1"/>
  <c r="V406" i="1"/>
  <c r="W406" i="1" s="1"/>
  <c r="R406" i="1"/>
  <c r="L406" i="1"/>
  <c r="G406" i="1"/>
  <c r="B406" i="1"/>
  <c r="Z405" i="1"/>
  <c r="AB405" i="1" s="1"/>
  <c r="AD405" i="1" s="1"/>
  <c r="X405" i="1"/>
  <c r="Y405" i="1" s="1"/>
  <c r="V405" i="1"/>
  <c r="W405" i="1" s="1"/>
  <c r="R405" i="1"/>
  <c r="L405" i="1"/>
  <c r="G405" i="1"/>
  <c r="B405" i="1"/>
  <c r="Z404" i="1"/>
  <c r="AA404" i="1" s="1"/>
  <c r="X404" i="1"/>
  <c r="Y404" i="1" s="1"/>
  <c r="V404" i="1"/>
  <c r="W404" i="1" s="1"/>
  <c r="R404" i="1"/>
  <c r="L404" i="1"/>
  <c r="G404" i="1"/>
  <c r="B404" i="1"/>
  <c r="Z403" i="1"/>
  <c r="AB403" i="1" s="1"/>
  <c r="X403" i="1"/>
  <c r="Y403" i="1" s="1"/>
  <c r="V403" i="1"/>
  <c r="W403" i="1" s="1"/>
  <c r="R403" i="1"/>
  <c r="L403" i="1"/>
  <c r="G403" i="1"/>
  <c r="B403" i="1"/>
  <c r="Z402" i="1"/>
  <c r="AB402" i="1" s="1"/>
  <c r="AC402" i="1" s="1"/>
  <c r="X402" i="1"/>
  <c r="Y402" i="1" s="1"/>
  <c r="V402" i="1"/>
  <c r="W402" i="1" s="1"/>
  <c r="R402" i="1"/>
  <c r="L402" i="1"/>
  <c r="G402" i="1"/>
  <c r="B402" i="1"/>
  <c r="Z401" i="1"/>
  <c r="AB401" i="1" s="1"/>
  <c r="AC401" i="1" s="1"/>
  <c r="X401" i="1"/>
  <c r="Y401" i="1" s="1"/>
  <c r="V401" i="1"/>
  <c r="W401" i="1" s="1"/>
  <c r="R401" i="1"/>
  <c r="L401" i="1"/>
  <c r="G401" i="1"/>
  <c r="B401" i="1"/>
  <c r="Z400" i="1"/>
  <c r="X400" i="1"/>
  <c r="Y400" i="1" s="1"/>
  <c r="V400" i="1"/>
  <c r="W400" i="1" s="1"/>
  <c r="R400" i="1"/>
  <c r="L400" i="1"/>
  <c r="G400" i="1"/>
  <c r="B400" i="1"/>
  <c r="Z399" i="1"/>
  <c r="AB399" i="1" s="1"/>
  <c r="AD399" i="1" s="1"/>
  <c r="X399" i="1"/>
  <c r="Y399" i="1" s="1"/>
  <c r="V399" i="1"/>
  <c r="W399" i="1" s="1"/>
  <c r="R399" i="1"/>
  <c r="L399" i="1"/>
  <c r="G399" i="1"/>
  <c r="B399" i="1"/>
  <c r="Z398" i="1"/>
  <c r="AA398" i="1" s="1"/>
  <c r="X398" i="1"/>
  <c r="Y398" i="1" s="1"/>
  <c r="V398" i="1"/>
  <c r="W398" i="1" s="1"/>
  <c r="R398" i="1"/>
  <c r="L398" i="1"/>
  <c r="G398" i="1"/>
  <c r="B398" i="1"/>
  <c r="Z397" i="1"/>
  <c r="AB397" i="1" s="1"/>
  <c r="X397" i="1"/>
  <c r="Y397" i="1" s="1"/>
  <c r="V397" i="1"/>
  <c r="W397" i="1" s="1"/>
  <c r="R397" i="1"/>
  <c r="L397" i="1"/>
  <c r="G397" i="1"/>
  <c r="B397" i="1"/>
  <c r="Z396" i="1"/>
  <c r="X396" i="1"/>
  <c r="Y396" i="1" s="1"/>
  <c r="V396" i="1"/>
  <c r="W396" i="1" s="1"/>
  <c r="R396" i="1"/>
  <c r="L396" i="1"/>
  <c r="G396" i="1"/>
  <c r="B396" i="1"/>
  <c r="Z395" i="1"/>
  <c r="AB395" i="1" s="1"/>
  <c r="X395" i="1"/>
  <c r="Y395" i="1" s="1"/>
  <c r="V395" i="1"/>
  <c r="W395" i="1" s="1"/>
  <c r="R395" i="1"/>
  <c r="L395" i="1"/>
  <c r="G395" i="1"/>
  <c r="B395" i="1"/>
  <c r="Z394" i="1"/>
  <c r="AA394" i="1" s="1"/>
  <c r="X394" i="1"/>
  <c r="Y394" i="1" s="1"/>
  <c r="V394" i="1"/>
  <c r="W394" i="1" s="1"/>
  <c r="R394" i="1"/>
  <c r="L394" i="1"/>
  <c r="G394" i="1"/>
  <c r="B394" i="1"/>
  <c r="Z393" i="1"/>
  <c r="AB393" i="1" s="1"/>
  <c r="AD393" i="1" s="1"/>
  <c r="X393" i="1"/>
  <c r="Y393" i="1" s="1"/>
  <c r="V393" i="1"/>
  <c r="W393" i="1" s="1"/>
  <c r="R393" i="1"/>
  <c r="L393" i="1"/>
  <c r="G393" i="1"/>
  <c r="B393" i="1"/>
  <c r="Z390" i="1"/>
  <c r="X390" i="1"/>
  <c r="Y390" i="1" s="1"/>
  <c r="V390" i="1"/>
  <c r="W390" i="1" s="1"/>
  <c r="R390" i="1"/>
  <c r="L390" i="1"/>
  <c r="G390" i="1"/>
  <c r="B390" i="1"/>
  <c r="Z389" i="1"/>
  <c r="AB389" i="1" s="1"/>
  <c r="AD389" i="1" s="1"/>
  <c r="X389" i="1"/>
  <c r="Y389" i="1" s="1"/>
  <c r="V389" i="1"/>
  <c r="W389" i="1" s="1"/>
  <c r="R389" i="1"/>
  <c r="L389" i="1"/>
  <c r="G389" i="1"/>
  <c r="B389" i="1"/>
  <c r="Z388" i="1"/>
  <c r="AA388" i="1" s="1"/>
  <c r="X388" i="1"/>
  <c r="Y388" i="1" s="1"/>
  <c r="V388" i="1"/>
  <c r="W388" i="1" s="1"/>
  <c r="R388" i="1"/>
  <c r="L388" i="1"/>
  <c r="G388" i="1"/>
  <c r="B388" i="1"/>
  <c r="Z387" i="1"/>
  <c r="AB387" i="1" s="1"/>
  <c r="X387" i="1"/>
  <c r="Y387" i="1" s="1"/>
  <c r="V387" i="1"/>
  <c r="W387" i="1" s="1"/>
  <c r="R387" i="1"/>
  <c r="L387" i="1"/>
  <c r="G387" i="1"/>
  <c r="B387" i="1"/>
  <c r="Z386" i="1"/>
  <c r="X386" i="1"/>
  <c r="Y386" i="1" s="1"/>
  <c r="V386" i="1"/>
  <c r="W386" i="1" s="1"/>
  <c r="R386" i="1"/>
  <c r="L386" i="1"/>
  <c r="G386" i="1"/>
  <c r="B386" i="1"/>
  <c r="Z385" i="1"/>
  <c r="AB385" i="1" s="1"/>
  <c r="AC385" i="1" s="1"/>
  <c r="X385" i="1"/>
  <c r="Y385" i="1" s="1"/>
  <c r="V385" i="1"/>
  <c r="W385" i="1" s="1"/>
  <c r="R385" i="1"/>
  <c r="L385" i="1"/>
  <c r="G385" i="1"/>
  <c r="B385" i="1"/>
  <c r="Z384" i="1"/>
  <c r="X384" i="1"/>
  <c r="Y384" i="1" s="1"/>
  <c r="V384" i="1"/>
  <c r="W384" i="1" s="1"/>
  <c r="R384" i="1"/>
  <c r="L384" i="1"/>
  <c r="G384" i="1"/>
  <c r="B384" i="1"/>
  <c r="Z383" i="1"/>
  <c r="AA383" i="1" s="1"/>
  <c r="X383" i="1"/>
  <c r="Y383" i="1" s="1"/>
  <c r="V383" i="1"/>
  <c r="W383" i="1" s="1"/>
  <c r="R383" i="1"/>
  <c r="L383" i="1"/>
  <c r="G383" i="1"/>
  <c r="B383" i="1"/>
  <c r="Z382" i="1"/>
  <c r="AB382" i="1" s="1"/>
  <c r="AC382" i="1" s="1"/>
  <c r="X382" i="1"/>
  <c r="Y382" i="1" s="1"/>
  <c r="V382" i="1"/>
  <c r="W382" i="1" s="1"/>
  <c r="R382" i="1"/>
  <c r="L382" i="1"/>
  <c r="G382" i="1"/>
  <c r="B382" i="1"/>
  <c r="Z381" i="1"/>
  <c r="AB381" i="1" s="1"/>
  <c r="AC381" i="1" s="1"/>
  <c r="X381" i="1"/>
  <c r="Y381" i="1" s="1"/>
  <c r="V381" i="1"/>
  <c r="W381" i="1" s="1"/>
  <c r="R381" i="1"/>
  <c r="L381" i="1"/>
  <c r="G381" i="1"/>
  <c r="B381" i="1"/>
  <c r="Z380" i="1"/>
  <c r="X380" i="1"/>
  <c r="Y380" i="1" s="1"/>
  <c r="V380" i="1"/>
  <c r="W380" i="1" s="1"/>
  <c r="R380" i="1"/>
  <c r="L380" i="1"/>
  <c r="G380" i="1"/>
  <c r="B380" i="1"/>
  <c r="Z379" i="1"/>
  <c r="AB379" i="1" s="1"/>
  <c r="AD379" i="1" s="1"/>
  <c r="X379" i="1"/>
  <c r="Y379" i="1" s="1"/>
  <c r="V379" i="1"/>
  <c r="W379" i="1" s="1"/>
  <c r="R379" i="1"/>
  <c r="L379" i="1"/>
  <c r="G379" i="1"/>
  <c r="B379" i="1"/>
  <c r="Z378" i="1"/>
  <c r="AB378" i="1" s="1"/>
  <c r="AC378" i="1" s="1"/>
  <c r="X378" i="1"/>
  <c r="Y378" i="1" s="1"/>
  <c r="V378" i="1"/>
  <c r="W378" i="1" s="1"/>
  <c r="R378" i="1"/>
  <c r="L378" i="1"/>
  <c r="G378" i="1"/>
  <c r="B378" i="1"/>
  <c r="Z377" i="1"/>
  <c r="AB377" i="1" s="1"/>
  <c r="AC377" i="1" s="1"/>
  <c r="X377" i="1"/>
  <c r="Y377" i="1" s="1"/>
  <c r="V377" i="1"/>
  <c r="W377" i="1" s="1"/>
  <c r="R377" i="1"/>
  <c r="L377" i="1"/>
  <c r="G377" i="1"/>
  <c r="B377" i="1"/>
  <c r="Z376" i="1"/>
  <c r="X376" i="1"/>
  <c r="Y376" i="1" s="1"/>
  <c r="V376" i="1"/>
  <c r="W376" i="1" s="1"/>
  <c r="R376" i="1"/>
  <c r="L376" i="1"/>
  <c r="G376" i="1"/>
  <c r="B376" i="1"/>
  <c r="Z375" i="1"/>
  <c r="AB375" i="1" s="1"/>
  <c r="AD375" i="1" s="1"/>
  <c r="X375" i="1"/>
  <c r="Y375" i="1" s="1"/>
  <c r="V375" i="1"/>
  <c r="W375" i="1" s="1"/>
  <c r="R375" i="1"/>
  <c r="L375" i="1"/>
  <c r="G375" i="1"/>
  <c r="B375" i="1"/>
  <c r="Z374" i="1"/>
  <c r="AB374" i="1" s="1"/>
  <c r="AC374" i="1" s="1"/>
  <c r="X374" i="1"/>
  <c r="Y374" i="1" s="1"/>
  <c r="V374" i="1"/>
  <c r="W374" i="1" s="1"/>
  <c r="R374" i="1"/>
  <c r="L374" i="1"/>
  <c r="G374" i="1"/>
  <c r="B374" i="1"/>
  <c r="Z373" i="1"/>
  <c r="AB373" i="1" s="1"/>
  <c r="AC373" i="1" s="1"/>
  <c r="X373" i="1"/>
  <c r="Y373" i="1" s="1"/>
  <c r="V373" i="1"/>
  <c r="W373" i="1" s="1"/>
  <c r="R373" i="1"/>
  <c r="L373" i="1"/>
  <c r="G373" i="1"/>
  <c r="B373" i="1"/>
  <c r="Z372" i="1"/>
  <c r="X372" i="1"/>
  <c r="Y372" i="1" s="1"/>
  <c r="V372" i="1"/>
  <c r="W372" i="1" s="1"/>
  <c r="R372" i="1"/>
  <c r="L372" i="1"/>
  <c r="G372" i="1"/>
  <c r="B372" i="1"/>
  <c r="Z371" i="1"/>
  <c r="AB371" i="1" s="1"/>
  <c r="AD371" i="1" s="1"/>
  <c r="X371" i="1"/>
  <c r="Y371" i="1" s="1"/>
  <c r="V371" i="1"/>
  <c r="W371" i="1" s="1"/>
  <c r="R371" i="1"/>
  <c r="L371" i="1"/>
  <c r="G371" i="1"/>
  <c r="B371" i="1"/>
  <c r="Z370" i="1"/>
  <c r="AB370" i="1" s="1"/>
  <c r="AC370" i="1" s="1"/>
  <c r="X370" i="1"/>
  <c r="Y370" i="1" s="1"/>
  <c r="V370" i="1"/>
  <c r="W370" i="1" s="1"/>
  <c r="R370" i="1"/>
  <c r="L370" i="1"/>
  <c r="G370" i="1"/>
  <c r="B370" i="1"/>
  <c r="Z369" i="1"/>
  <c r="AB369" i="1" s="1"/>
  <c r="AC369" i="1" s="1"/>
  <c r="X369" i="1"/>
  <c r="Y369" i="1" s="1"/>
  <c r="V369" i="1"/>
  <c r="W369" i="1" s="1"/>
  <c r="R369" i="1"/>
  <c r="L369" i="1"/>
  <c r="G369" i="1"/>
  <c r="B369" i="1"/>
  <c r="Z368" i="1"/>
  <c r="X368" i="1"/>
  <c r="Y368" i="1" s="1"/>
  <c r="V368" i="1"/>
  <c r="W368" i="1" s="1"/>
  <c r="R368" i="1"/>
  <c r="L368" i="1"/>
  <c r="G368" i="1"/>
  <c r="B368" i="1"/>
  <c r="Z367" i="1"/>
  <c r="AA367" i="1" s="1"/>
  <c r="X367" i="1"/>
  <c r="Y367" i="1" s="1"/>
  <c r="V367" i="1"/>
  <c r="W367" i="1" s="1"/>
  <c r="R367" i="1"/>
  <c r="L367" i="1"/>
  <c r="G367" i="1"/>
  <c r="B367" i="1"/>
  <c r="Z366" i="1"/>
  <c r="AB366" i="1" s="1"/>
  <c r="AC366" i="1" s="1"/>
  <c r="X366" i="1"/>
  <c r="Y366" i="1" s="1"/>
  <c r="V366" i="1"/>
  <c r="W366" i="1" s="1"/>
  <c r="R366" i="1"/>
  <c r="L366" i="1"/>
  <c r="G366" i="1"/>
  <c r="B366" i="1"/>
  <c r="Z365" i="1"/>
  <c r="AB365" i="1" s="1"/>
  <c r="AC365" i="1" s="1"/>
  <c r="X365" i="1"/>
  <c r="Y365" i="1" s="1"/>
  <c r="V365" i="1"/>
  <c r="W365" i="1" s="1"/>
  <c r="R365" i="1"/>
  <c r="L365" i="1"/>
  <c r="G365" i="1"/>
  <c r="B365" i="1"/>
  <c r="Z364" i="1"/>
  <c r="X364" i="1"/>
  <c r="Y364" i="1" s="1"/>
  <c r="V364" i="1"/>
  <c r="W364" i="1" s="1"/>
  <c r="R364" i="1"/>
  <c r="L364" i="1"/>
  <c r="G364" i="1"/>
  <c r="B364" i="1"/>
  <c r="Z363" i="1"/>
  <c r="AB363" i="1" s="1"/>
  <c r="AD363" i="1" s="1"/>
  <c r="X363" i="1"/>
  <c r="Y363" i="1" s="1"/>
  <c r="V363" i="1"/>
  <c r="W363" i="1" s="1"/>
  <c r="R363" i="1"/>
  <c r="L363" i="1"/>
  <c r="G363" i="1"/>
  <c r="B363" i="1"/>
  <c r="Z362" i="1"/>
  <c r="AB362" i="1" s="1"/>
  <c r="AC362" i="1" s="1"/>
  <c r="X362" i="1"/>
  <c r="Y362" i="1" s="1"/>
  <c r="V362" i="1"/>
  <c r="W362" i="1" s="1"/>
  <c r="R362" i="1"/>
  <c r="L362" i="1"/>
  <c r="G362" i="1"/>
  <c r="B362" i="1"/>
  <c r="Z361" i="1"/>
  <c r="AB361" i="1" s="1"/>
  <c r="AC361" i="1" s="1"/>
  <c r="X361" i="1"/>
  <c r="Y361" i="1" s="1"/>
  <c r="V361" i="1"/>
  <c r="W361" i="1" s="1"/>
  <c r="R361" i="1"/>
  <c r="L361" i="1"/>
  <c r="G361" i="1"/>
  <c r="B361" i="1"/>
  <c r="Z360" i="1"/>
  <c r="X360" i="1"/>
  <c r="Y360" i="1" s="1"/>
  <c r="V360" i="1"/>
  <c r="W360" i="1" s="1"/>
  <c r="R360" i="1"/>
  <c r="L360" i="1"/>
  <c r="G360" i="1"/>
  <c r="B360" i="1"/>
  <c r="Z359" i="1"/>
  <c r="AB359" i="1" s="1"/>
  <c r="AD359" i="1" s="1"/>
  <c r="X359" i="1"/>
  <c r="Y359" i="1" s="1"/>
  <c r="V359" i="1"/>
  <c r="W359" i="1" s="1"/>
  <c r="R359" i="1"/>
  <c r="L359" i="1"/>
  <c r="G359" i="1"/>
  <c r="B359" i="1"/>
  <c r="Z358" i="1"/>
  <c r="AB358" i="1" s="1"/>
  <c r="AC358" i="1" s="1"/>
  <c r="X358" i="1"/>
  <c r="Y358" i="1" s="1"/>
  <c r="V358" i="1"/>
  <c r="W358" i="1" s="1"/>
  <c r="R358" i="1"/>
  <c r="L358" i="1"/>
  <c r="G358" i="1"/>
  <c r="B358" i="1"/>
  <c r="Z357" i="1"/>
  <c r="AB357" i="1" s="1"/>
  <c r="AC357" i="1" s="1"/>
  <c r="X357" i="1"/>
  <c r="Y357" i="1" s="1"/>
  <c r="V357" i="1"/>
  <c r="W357" i="1" s="1"/>
  <c r="R357" i="1"/>
  <c r="L357" i="1"/>
  <c r="G357" i="1"/>
  <c r="B357" i="1"/>
  <c r="Z356" i="1"/>
  <c r="X356" i="1"/>
  <c r="Y356" i="1" s="1"/>
  <c r="V356" i="1"/>
  <c r="W356" i="1" s="1"/>
  <c r="R356" i="1"/>
  <c r="L356" i="1"/>
  <c r="G356" i="1"/>
  <c r="B356" i="1"/>
  <c r="Z355" i="1"/>
  <c r="AA355" i="1" s="1"/>
  <c r="X355" i="1"/>
  <c r="Y355" i="1" s="1"/>
  <c r="V355" i="1"/>
  <c r="W355" i="1" s="1"/>
  <c r="R355" i="1"/>
  <c r="L355" i="1"/>
  <c r="G355" i="1"/>
  <c r="B355" i="1"/>
  <c r="Z354" i="1"/>
  <c r="X354" i="1"/>
  <c r="Y354" i="1" s="1"/>
  <c r="V354" i="1"/>
  <c r="W354" i="1" s="1"/>
  <c r="R354" i="1"/>
  <c r="L354" i="1"/>
  <c r="G354" i="1"/>
  <c r="B354" i="1"/>
  <c r="Z353" i="1"/>
  <c r="X353" i="1"/>
  <c r="Y353" i="1" s="1"/>
  <c r="V353" i="1"/>
  <c r="W353" i="1" s="1"/>
  <c r="R353" i="1"/>
  <c r="L353" i="1"/>
  <c r="G353" i="1"/>
  <c r="B353" i="1"/>
  <c r="Z352" i="1"/>
  <c r="AA352" i="1" s="1"/>
  <c r="X352" i="1"/>
  <c r="Y352" i="1" s="1"/>
  <c r="V352" i="1"/>
  <c r="W352" i="1" s="1"/>
  <c r="R352" i="1"/>
  <c r="L352" i="1"/>
  <c r="G352" i="1"/>
  <c r="B352" i="1"/>
  <c r="Z351" i="1"/>
  <c r="AB351" i="1" s="1"/>
  <c r="X351" i="1"/>
  <c r="Y351" i="1" s="1"/>
  <c r="V351" i="1"/>
  <c r="W351" i="1" s="1"/>
  <c r="R351" i="1"/>
  <c r="L351" i="1"/>
  <c r="G351" i="1"/>
  <c r="B351" i="1"/>
  <c r="Z350" i="1"/>
  <c r="X350" i="1"/>
  <c r="Y350" i="1" s="1"/>
  <c r="V350" i="1"/>
  <c r="W350" i="1" s="1"/>
  <c r="R350" i="1"/>
  <c r="L350" i="1"/>
  <c r="G350" i="1"/>
  <c r="B350" i="1"/>
  <c r="Z349" i="1"/>
  <c r="X349" i="1"/>
  <c r="Y349" i="1" s="1"/>
  <c r="V349" i="1"/>
  <c r="W349" i="1" s="1"/>
  <c r="R349" i="1"/>
  <c r="L349" i="1"/>
  <c r="G349" i="1"/>
  <c r="B349" i="1"/>
  <c r="Z348" i="1"/>
  <c r="AA348" i="1" s="1"/>
  <c r="X348" i="1"/>
  <c r="Y348" i="1" s="1"/>
  <c r="V348" i="1"/>
  <c r="W348" i="1" s="1"/>
  <c r="R348" i="1"/>
  <c r="L348" i="1"/>
  <c r="G348" i="1"/>
  <c r="B348" i="1"/>
  <c r="Z347" i="1"/>
  <c r="AA347" i="1" s="1"/>
  <c r="X347" i="1"/>
  <c r="Y347" i="1" s="1"/>
  <c r="V347" i="1"/>
  <c r="W347" i="1" s="1"/>
  <c r="R347" i="1"/>
  <c r="L347" i="1"/>
  <c r="G347" i="1"/>
  <c r="B347" i="1"/>
  <c r="Z346" i="1"/>
  <c r="X346" i="1"/>
  <c r="Y346" i="1" s="1"/>
  <c r="V346" i="1"/>
  <c r="W346" i="1" s="1"/>
  <c r="R346" i="1"/>
  <c r="L346" i="1"/>
  <c r="G346" i="1"/>
  <c r="B346" i="1"/>
  <c r="Z345" i="1"/>
  <c r="X345" i="1"/>
  <c r="Y345" i="1" s="1"/>
  <c r="V345" i="1"/>
  <c r="W345" i="1" s="1"/>
  <c r="R345" i="1"/>
  <c r="L345" i="1"/>
  <c r="G345" i="1"/>
  <c r="B345" i="1"/>
  <c r="Z344" i="1"/>
  <c r="AA344" i="1" s="1"/>
  <c r="X344" i="1"/>
  <c r="Y344" i="1" s="1"/>
  <c r="V344" i="1"/>
  <c r="W344" i="1" s="1"/>
  <c r="R344" i="1"/>
  <c r="L344" i="1"/>
  <c r="G344" i="1"/>
  <c r="B344" i="1"/>
  <c r="Z343" i="1"/>
  <c r="AB343" i="1" s="1"/>
  <c r="AD343" i="1" s="1"/>
  <c r="X343" i="1"/>
  <c r="Y343" i="1" s="1"/>
  <c r="V343" i="1"/>
  <c r="W343" i="1" s="1"/>
  <c r="R343" i="1"/>
  <c r="L343" i="1"/>
  <c r="G343" i="1"/>
  <c r="B343" i="1"/>
  <c r="Z342" i="1"/>
  <c r="AB342" i="1" s="1"/>
  <c r="AC342" i="1" s="1"/>
  <c r="X342" i="1"/>
  <c r="Y342" i="1" s="1"/>
  <c r="V342" i="1"/>
  <c r="W342" i="1" s="1"/>
  <c r="R342" i="1"/>
  <c r="L342" i="1"/>
  <c r="G342" i="1"/>
  <c r="B342" i="1"/>
  <c r="Z341" i="1"/>
  <c r="X341" i="1"/>
  <c r="Y341" i="1" s="1"/>
  <c r="V341" i="1"/>
  <c r="W341" i="1" s="1"/>
  <c r="R341" i="1"/>
  <c r="L341" i="1"/>
  <c r="G341" i="1"/>
  <c r="B341" i="1"/>
  <c r="Z340" i="1"/>
  <c r="X340" i="1"/>
  <c r="Y340" i="1" s="1"/>
  <c r="V340" i="1"/>
  <c r="W340" i="1" s="1"/>
  <c r="R340" i="1"/>
  <c r="L340" i="1"/>
  <c r="G340" i="1"/>
  <c r="B340" i="1"/>
  <c r="Z339" i="1"/>
  <c r="AB339" i="1" s="1"/>
  <c r="X339" i="1"/>
  <c r="Y339" i="1" s="1"/>
  <c r="V339" i="1"/>
  <c r="W339" i="1" s="1"/>
  <c r="R339" i="1"/>
  <c r="L339" i="1"/>
  <c r="G339" i="1"/>
  <c r="B339" i="1"/>
  <c r="Z338" i="1"/>
  <c r="X338" i="1"/>
  <c r="Y338" i="1" s="1"/>
  <c r="V338" i="1"/>
  <c r="W338" i="1" s="1"/>
  <c r="R338" i="1"/>
  <c r="L338" i="1"/>
  <c r="G338" i="1"/>
  <c r="B338" i="1"/>
  <c r="Z337" i="1"/>
  <c r="AB337" i="1" s="1"/>
  <c r="AC337" i="1" s="1"/>
  <c r="X337" i="1"/>
  <c r="Y337" i="1" s="1"/>
  <c r="V337" i="1"/>
  <c r="W337" i="1" s="1"/>
  <c r="R337" i="1"/>
  <c r="L337" i="1"/>
  <c r="G337" i="1"/>
  <c r="B337" i="1"/>
  <c r="Z336" i="1"/>
  <c r="AA336" i="1" s="1"/>
  <c r="X336" i="1"/>
  <c r="Y336" i="1" s="1"/>
  <c r="V336" i="1"/>
  <c r="W336" i="1" s="1"/>
  <c r="R336" i="1"/>
  <c r="L336" i="1"/>
  <c r="G336" i="1"/>
  <c r="B336" i="1"/>
  <c r="Z335" i="1"/>
  <c r="AA335" i="1" s="1"/>
  <c r="X335" i="1"/>
  <c r="Y335" i="1" s="1"/>
  <c r="V335" i="1"/>
  <c r="W335" i="1" s="1"/>
  <c r="R335" i="1"/>
  <c r="L335" i="1"/>
  <c r="G335" i="1"/>
  <c r="B335" i="1"/>
  <c r="Z334" i="1"/>
  <c r="AB334" i="1" s="1"/>
  <c r="AC334" i="1" s="1"/>
  <c r="X334" i="1"/>
  <c r="Y334" i="1" s="1"/>
  <c r="V334" i="1"/>
  <c r="W334" i="1" s="1"/>
  <c r="R334" i="1"/>
  <c r="L334" i="1"/>
  <c r="G334" i="1"/>
  <c r="B334" i="1"/>
  <c r="Z333" i="1"/>
  <c r="X333" i="1"/>
  <c r="Y333" i="1" s="1"/>
  <c r="V333" i="1"/>
  <c r="W333" i="1" s="1"/>
  <c r="R333" i="1"/>
  <c r="L333" i="1"/>
  <c r="G333" i="1"/>
  <c r="B333" i="1"/>
  <c r="Z332" i="1"/>
  <c r="AA332" i="1" s="1"/>
  <c r="X332" i="1"/>
  <c r="Y332" i="1" s="1"/>
  <c r="V332" i="1"/>
  <c r="W332" i="1" s="1"/>
  <c r="R332" i="1"/>
  <c r="L332" i="1"/>
  <c r="G332" i="1"/>
  <c r="B332" i="1"/>
  <c r="Z331" i="1"/>
  <c r="AB331" i="1" s="1"/>
  <c r="AC331" i="1" s="1"/>
  <c r="X331" i="1"/>
  <c r="Y331" i="1" s="1"/>
  <c r="V331" i="1"/>
  <c r="W331" i="1" s="1"/>
  <c r="R331" i="1"/>
  <c r="L331" i="1"/>
  <c r="G331" i="1"/>
  <c r="B331" i="1"/>
  <c r="Z330" i="1"/>
  <c r="AB330" i="1" s="1"/>
  <c r="AC330" i="1" s="1"/>
  <c r="X330" i="1"/>
  <c r="Y330" i="1" s="1"/>
  <c r="V330" i="1"/>
  <c r="W330" i="1" s="1"/>
  <c r="R330" i="1"/>
  <c r="L330" i="1"/>
  <c r="G330" i="1"/>
  <c r="B330" i="1"/>
  <c r="Z329" i="1"/>
  <c r="X329" i="1"/>
  <c r="Y329" i="1" s="1"/>
  <c r="V329" i="1"/>
  <c r="W329" i="1" s="1"/>
  <c r="R329" i="1"/>
  <c r="L329" i="1"/>
  <c r="G329" i="1"/>
  <c r="B329" i="1"/>
  <c r="Z328" i="1"/>
  <c r="AB328" i="1" s="1"/>
  <c r="AD328" i="1" s="1"/>
  <c r="X328" i="1"/>
  <c r="Y328" i="1" s="1"/>
  <c r="V328" i="1"/>
  <c r="W328" i="1" s="1"/>
  <c r="R328" i="1"/>
  <c r="L328" i="1"/>
  <c r="G328" i="1"/>
  <c r="B328" i="1"/>
  <c r="Z327" i="1"/>
  <c r="AB327" i="1" s="1"/>
  <c r="AC327" i="1" s="1"/>
  <c r="X327" i="1"/>
  <c r="Y327" i="1" s="1"/>
  <c r="V327" i="1"/>
  <c r="W327" i="1" s="1"/>
  <c r="R327" i="1"/>
  <c r="L327" i="1"/>
  <c r="G327" i="1"/>
  <c r="B327" i="1"/>
  <c r="Z326" i="1"/>
  <c r="AB326" i="1" s="1"/>
  <c r="AC326" i="1" s="1"/>
  <c r="X326" i="1"/>
  <c r="Y326" i="1" s="1"/>
  <c r="V326" i="1"/>
  <c r="W326" i="1" s="1"/>
  <c r="R326" i="1"/>
  <c r="L326" i="1"/>
  <c r="G326" i="1"/>
  <c r="B326" i="1"/>
  <c r="Z325" i="1"/>
  <c r="X325" i="1"/>
  <c r="Y325" i="1" s="1"/>
  <c r="V325" i="1"/>
  <c r="W325" i="1" s="1"/>
  <c r="R325" i="1"/>
  <c r="L325" i="1"/>
  <c r="G325" i="1"/>
  <c r="B325" i="1"/>
  <c r="Z324" i="1"/>
  <c r="AB324" i="1" s="1"/>
  <c r="AD324" i="1" s="1"/>
  <c r="X324" i="1"/>
  <c r="Y324" i="1" s="1"/>
  <c r="V324" i="1"/>
  <c r="W324" i="1" s="1"/>
  <c r="R324" i="1"/>
  <c r="L324" i="1"/>
  <c r="G324" i="1"/>
  <c r="B324" i="1"/>
  <c r="Z323" i="1"/>
  <c r="AB323" i="1" s="1"/>
  <c r="AC323" i="1" s="1"/>
  <c r="X323" i="1"/>
  <c r="Y323" i="1" s="1"/>
  <c r="V323" i="1"/>
  <c r="W323" i="1" s="1"/>
  <c r="R323" i="1"/>
  <c r="L323" i="1"/>
  <c r="G323" i="1"/>
  <c r="B323" i="1"/>
  <c r="Z322" i="1"/>
  <c r="AB322" i="1" s="1"/>
  <c r="AC322" i="1" s="1"/>
  <c r="X322" i="1"/>
  <c r="Y322" i="1" s="1"/>
  <c r="V322" i="1"/>
  <c r="W322" i="1" s="1"/>
  <c r="R322" i="1"/>
  <c r="L322" i="1"/>
  <c r="G322" i="1"/>
  <c r="B322" i="1"/>
  <c r="Z321" i="1"/>
  <c r="X321" i="1"/>
  <c r="Y321" i="1" s="1"/>
  <c r="V321" i="1"/>
  <c r="W321" i="1" s="1"/>
  <c r="R321" i="1"/>
  <c r="L321" i="1"/>
  <c r="G321" i="1"/>
  <c r="B321" i="1"/>
  <c r="Z320" i="1"/>
  <c r="AB320" i="1" s="1"/>
  <c r="X320" i="1"/>
  <c r="Y320" i="1" s="1"/>
  <c r="V320" i="1"/>
  <c r="W320" i="1" s="1"/>
  <c r="R320" i="1"/>
  <c r="L320" i="1"/>
  <c r="G320" i="1"/>
  <c r="B320" i="1"/>
  <c r="Z319" i="1"/>
  <c r="AB319" i="1" s="1"/>
  <c r="X319" i="1"/>
  <c r="Y319" i="1" s="1"/>
  <c r="V319" i="1"/>
  <c r="W319" i="1" s="1"/>
  <c r="R319" i="1"/>
  <c r="L319" i="1"/>
  <c r="G319" i="1"/>
  <c r="B319" i="1"/>
  <c r="Z318" i="1"/>
  <c r="AB318" i="1" s="1"/>
  <c r="AC318" i="1" s="1"/>
  <c r="X318" i="1"/>
  <c r="Y318" i="1" s="1"/>
  <c r="V318" i="1"/>
  <c r="W318" i="1" s="1"/>
  <c r="R318" i="1"/>
  <c r="L318" i="1"/>
  <c r="G318" i="1"/>
  <c r="B318" i="1"/>
  <c r="Z317" i="1"/>
  <c r="X317" i="1"/>
  <c r="Y317" i="1" s="1"/>
  <c r="V317" i="1"/>
  <c r="W317" i="1" s="1"/>
  <c r="R317" i="1"/>
  <c r="L317" i="1"/>
  <c r="G317" i="1"/>
  <c r="B317" i="1"/>
  <c r="Z316" i="1"/>
  <c r="AA316" i="1" s="1"/>
  <c r="X316" i="1"/>
  <c r="Y316" i="1" s="1"/>
  <c r="V316" i="1"/>
  <c r="W316" i="1" s="1"/>
  <c r="R316" i="1"/>
  <c r="L316" i="1"/>
  <c r="G316" i="1"/>
  <c r="B316" i="1"/>
  <c r="Z315" i="1"/>
  <c r="AB315" i="1" s="1"/>
  <c r="AC315" i="1" s="1"/>
  <c r="X315" i="1"/>
  <c r="Y315" i="1" s="1"/>
  <c r="V315" i="1"/>
  <c r="W315" i="1" s="1"/>
  <c r="R315" i="1"/>
  <c r="L315" i="1"/>
  <c r="G315" i="1"/>
  <c r="B315" i="1"/>
  <c r="Z314" i="1"/>
  <c r="AB314" i="1" s="1"/>
  <c r="AC314" i="1" s="1"/>
  <c r="X314" i="1"/>
  <c r="Y314" i="1" s="1"/>
  <c r="V314" i="1"/>
  <c r="W314" i="1" s="1"/>
  <c r="R314" i="1"/>
  <c r="L314" i="1"/>
  <c r="G314" i="1"/>
  <c r="B314" i="1"/>
  <c r="Z313" i="1"/>
  <c r="X313" i="1"/>
  <c r="Y313" i="1" s="1"/>
  <c r="V313" i="1"/>
  <c r="W313" i="1" s="1"/>
  <c r="R313" i="1"/>
  <c r="L313" i="1"/>
  <c r="G313" i="1"/>
  <c r="B313" i="1"/>
  <c r="Z312" i="1"/>
  <c r="AB312" i="1" s="1"/>
  <c r="AD312" i="1" s="1"/>
  <c r="X312" i="1"/>
  <c r="Y312" i="1" s="1"/>
  <c r="V312" i="1"/>
  <c r="W312" i="1" s="1"/>
  <c r="R312" i="1"/>
  <c r="L312" i="1"/>
  <c r="G312" i="1"/>
  <c r="B312" i="1"/>
  <c r="Z311" i="1"/>
  <c r="AB311" i="1" s="1"/>
  <c r="AC311" i="1" s="1"/>
  <c r="X311" i="1"/>
  <c r="Y311" i="1" s="1"/>
  <c r="V311" i="1"/>
  <c r="W311" i="1" s="1"/>
  <c r="R311" i="1"/>
  <c r="L311" i="1"/>
  <c r="G311" i="1"/>
  <c r="B311" i="1"/>
  <c r="Z310" i="1"/>
  <c r="AB310" i="1" s="1"/>
  <c r="AC310" i="1" s="1"/>
  <c r="X310" i="1"/>
  <c r="Y310" i="1" s="1"/>
  <c r="V310" i="1"/>
  <c r="W310" i="1" s="1"/>
  <c r="R310" i="1"/>
  <c r="L310" i="1"/>
  <c r="G310" i="1"/>
  <c r="B310" i="1"/>
  <c r="Z309" i="1"/>
  <c r="X309" i="1"/>
  <c r="Y309" i="1" s="1"/>
  <c r="V309" i="1"/>
  <c r="W309" i="1" s="1"/>
  <c r="R309" i="1"/>
  <c r="L309" i="1"/>
  <c r="G309" i="1"/>
  <c r="B309" i="1"/>
  <c r="Z308" i="1"/>
  <c r="AB308" i="1" s="1"/>
  <c r="AD308" i="1" s="1"/>
  <c r="X308" i="1"/>
  <c r="Y308" i="1" s="1"/>
  <c r="V308" i="1"/>
  <c r="W308" i="1" s="1"/>
  <c r="R308" i="1"/>
  <c r="L308" i="1"/>
  <c r="G308" i="1"/>
  <c r="B308" i="1"/>
  <c r="Z307" i="1"/>
  <c r="AB307" i="1" s="1"/>
  <c r="AC307" i="1" s="1"/>
  <c r="X307" i="1"/>
  <c r="Y307" i="1" s="1"/>
  <c r="V307" i="1"/>
  <c r="W307" i="1" s="1"/>
  <c r="R307" i="1"/>
  <c r="L307" i="1"/>
  <c r="G307" i="1"/>
  <c r="B307" i="1"/>
  <c r="Z306" i="1"/>
  <c r="AB306" i="1" s="1"/>
  <c r="AC306" i="1" s="1"/>
  <c r="X306" i="1"/>
  <c r="Y306" i="1" s="1"/>
  <c r="V306" i="1"/>
  <c r="W306" i="1" s="1"/>
  <c r="R306" i="1"/>
  <c r="L306" i="1"/>
  <c r="G306" i="1"/>
  <c r="B306" i="1"/>
  <c r="Z305" i="1"/>
  <c r="X305" i="1"/>
  <c r="Y305" i="1" s="1"/>
  <c r="V305" i="1"/>
  <c r="W305" i="1" s="1"/>
  <c r="R305" i="1"/>
  <c r="L305" i="1"/>
  <c r="G305" i="1"/>
  <c r="B305" i="1"/>
  <c r="Z304" i="1"/>
  <c r="AB304" i="1" s="1"/>
  <c r="X304" i="1"/>
  <c r="Y304" i="1" s="1"/>
  <c r="V304" i="1"/>
  <c r="W304" i="1" s="1"/>
  <c r="R304" i="1"/>
  <c r="L304" i="1"/>
  <c r="G304" i="1"/>
  <c r="B304" i="1"/>
  <c r="Z303" i="1"/>
  <c r="AB303" i="1" s="1"/>
  <c r="X303" i="1"/>
  <c r="Y303" i="1" s="1"/>
  <c r="V303" i="1"/>
  <c r="W303" i="1" s="1"/>
  <c r="R303" i="1"/>
  <c r="L303" i="1"/>
  <c r="G303" i="1"/>
  <c r="B303" i="1"/>
  <c r="Z302" i="1"/>
  <c r="AB302" i="1" s="1"/>
  <c r="AC302" i="1" s="1"/>
  <c r="X302" i="1"/>
  <c r="Y302" i="1" s="1"/>
  <c r="V302" i="1"/>
  <c r="W302" i="1" s="1"/>
  <c r="R302" i="1"/>
  <c r="L302" i="1"/>
  <c r="G302" i="1"/>
  <c r="B302" i="1"/>
  <c r="Z301" i="1"/>
  <c r="X301" i="1"/>
  <c r="Y301" i="1" s="1"/>
  <c r="V301" i="1"/>
  <c r="W301" i="1" s="1"/>
  <c r="R301" i="1"/>
  <c r="L301" i="1"/>
  <c r="G301" i="1"/>
  <c r="B301" i="1"/>
  <c r="Z300" i="1"/>
  <c r="AA300" i="1" s="1"/>
  <c r="X300" i="1"/>
  <c r="Y300" i="1" s="1"/>
  <c r="V300" i="1"/>
  <c r="W300" i="1" s="1"/>
  <c r="R300" i="1"/>
  <c r="L300" i="1"/>
  <c r="G300" i="1"/>
  <c r="B300" i="1"/>
  <c r="Z299" i="1"/>
  <c r="AB299" i="1" s="1"/>
  <c r="X299" i="1"/>
  <c r="Y299" i="1" s="1"/>
  <c r="V299" i="1"/>
  <c r="W299" i="1" s="1"/>
  <c r="R299" i="1"/>
  <c r="L299" i="1"/>
  <c r="G299" i="1"/>
  <c r="B299" i="1"/>
  <c r="Z298" i="1"/>
  <c r="AB298" i="1" s="1"/>
  <c r="AC298" i="1" s="1"/>
  <c r="X298" i="1"/>
  <c r="Y298" i="1" s="1"/>
  <c r="V298" i="1"/>
  <c r="W298" i="1" s="1"/>
  <c r="R298" i="1"/>
  <c r="L298" i="1"/>
  <c r="G298" i="1"/>
  <c r="B298" i="1"/>
  <c r="Z297" i="1"/>
  <c r="X297" i="1"/>
  <c r="Y297" i="1" s="1"/>
  <c r="V297" i="1"/>
  <c r="W297" i="1" s="1"/>
  <c r="R297" i="1"/>
  <c r="L297" i="1"/>
  <c r="G297" i="1"/>
  <c r="B297" i="1"/>
  <c r="Z296" i="1"/>
  <c r="AB296" i="1" s="1"/>
  <c r="X296" i="1"/>
  <c r="Y296" i="1" s="1"/>
  <c r="V296" i="1"/>
  <c r="W296" i="1" s="1"/>
  <c r="R296" i="1"/>
  <c r="L296" i="1"/>
  <c r="G296" i="1"/>
  <c r="B296" i="1"/>
  <c r="Z295" i="1"/>
  <c r="X295" i="1"/>
  <c r="Y295" i="1" s="1"/>
  <c r="V295" i="1"/>
  <c r="W295" i="1" s="1"/>
  <c r="R295" i="1"/>
  <c r="L295" i="1"/>
  <c r="G295" i="1"/>
  <c r="B295" i="1"/>
  <c r="Z294" i="1"/>
  <c r="AB294" i="1" s="1"/>
  <c r="AC294" i="1" s="1"/>
  <c r="X294" i="1"/>
  <c r="Y294" i="1" s="1"/>
  <c r="V294" i="1"/>
  <c r="W294" i="1" s="1"/>
  <c r="R294" i="1"/>
  <c r="L294" i="1"/>
  <c r="G294" i="1"/>
  <c r="B294" i="1"/>
  <c r="Z293" i="1"/>
  <c r="AA293" i="1" s="1"/>
  <c r="X293" i="1"/>
  <c r="Y293" i="1" s="1"/>
  <c r="V293" i="1"/>
  <c r="W293" i="1" s="1"/>
  <c r="R293" i="1"/>
  <c r="L293" i="1"/>
  <c r="G293" i="1"/>
  <c r="B293" i="1"/>
  <c r="Z292" i="1"/>
  <c r="AA292" i="1" s="1"/>
  <c r="X292" i="1"/>
  <c r="Y292" i="1" s="1"/>
  <c r="V292" i="1"/>
  <c r="W292" i="1" s="1"/>
  <c r="R292" i="1"/>
  <c r="L292" i="1"/>
  <c r="G292" i="1"/>
  <c r="B292" i="1"/>
  <c r="Z291" i="1"/>
  <c r="AB291" i="1" s="1"/>
  <c r="AC291" i="1" s="1"/>
  <c r="X291" i="1"/>
  <c r="Y291" i="1" s="1"/>
  <c r="V291" i="1"/>
  <c r="W291" i="1" s="1"/>
  <c r="R291" i="1"/>
  <c r="L291" i="1"/>
  <c r="G291" i="1"/>
  <c r="B291" i="1"/>
  <c r="Z290" i="1"/>
  <c r="X290" i="1"/>
  <c r="Y290" i="1" s="1"/>
  <c r="V290" i="1"/>
  <c r="W290" i="1" s="1"/>
  <c r="R290" i="1"/>
  <c r="L290" i="1"/>
  <c r="G290" i="1"/>
  <c r="B290" i="1"/>
  <c r="Z289" i="1"/>
  <c r="X289" i="1"/>
  <c r="Y289" i="1" s="1"/>
  <c r="V289" i="1"/>
  <c r="W289" i="1" s="1"/>
  <c r="R289" i="1"/>
  <c r="L289" i="1"/>
  <c r="G289" i="1"/>
  <c r="B289" i="1"/>
  <c r="Z288" i="1"/>
  <c r="AB288" i="1" s="1"/>
  <c r="AD288" i="1" s="1"/>
  <c r="X288" i="1"/>
  <c r="Y288" i="1" s="1"/>
  <c r="V288" i="1"/>
  <c r="W288" i="1" s="1"/>
  <c r="R288" i="1"/>
  <c r="L288" i="1"/>
  <c r="G288" i="1"/>
  <c r="B288" i="1"/>
  <c r="Z287" i="1"/>
  <c r="X287" i="1"/>
  <c r="Y287" i="1" s="1"/>
  <c r="V287" i="1"/>
  <c r="W287" i="1" s="1"/>
  <c r="R287" i="1"/>
  <c r="L287" i="1"/>
  <c r="G287" i="1"/>
  <c r="B287" i="1"/>
  <c r="Z286" i="1"/>
  <c r="AB286" i="1" s="1"/>
  <c r="AC286" i="1" s="1"/>
  <c r="X286" i="1"/>
  <c r="Y286" i="1" s="1"/>
  <c r="V286" i="1"/>
  <c r="W286" i="1" s="1"/>
  <c r="R286" i="1"/>
  <c r="L286" i="1"/>
  <c r="G286" i="1"/>
  <c r="B286" i="1"/>
  <c r="Z285" i="1"/>
  <c r="AA285" i="1" s="1"/>
  <c r="X285" i="1"/>
  <c r="Y285" i="1" s="1"/>
  <c r="V285" i="1"/>
  <c r="W285" i="1" s="1"/>
  <c r="R285" i="1"/>
  <c r="L285" i="1"/>
  <c r="G285" i="1"/>
  <c r="B285" i="1"/>
  <c r="Z284" i="1"/>
  <c r="AB284" i="1" s="1"/>
  <c r="X284" i="1"/>
  <c r="Y284" i="1" s="1"/>
  <c r="V284" i="1"/>
  <c r="W284" i="1" s="1"/>
  <c r="R284" i="1"/>
  <c r="L284" i="1"/>
  <c r="G284" i="1"/>
  <c r="B284" i="1"/>
  <c r="Z283" i="1"/>
  <c r="AB283" i="1" s="1"/>
  <c r="AC283" i="1" s="1"/>
  <c r="X283" i="1"/>
  <c r="Y283" i="1" s="1"/>
  <c r="V283" i="1"/>
  <c r="W283" i="1" s="1"/>
  <c r="R283" i="1"/>
  <c r="L283" i="1"/>
  <c r="G283" i="1"/>
  <c r="B283" i="1"/>
  <c r="Z282" i="1"/>
  <c r="X282" i="1"/>
  <c r="Y282" i="1" s="1"/>
  <c r="V282" i="1"/>
  <c r="W282" i="1" s="1"/>
  <c r="R282" i="1"/>
  <c r="L282" i="1"/>
  <c r="G282" i="1"/>
  <c r="B282" i="1"/>
  <c r="Z281" i="1"/>
  <c r="X281" i="1"/>
  <c r="Y281" i="1" s="1"/>
  <c r="V281" i="1"/>
  <c r="W281" i="1" s="1"/>
  <c r="R281" i="1"/>
  <c r="L281" i="1"/>
  <c r="G281" i="1"/>
  <c r="B281" i="1"/>
  <c r="Z280" i="1"/>
  <c r="AB280" i="1" s="1"/>
  <c r="X280" i="1"/>
  <c r="Y280" i="1" s="1"/>
  <c r="V280" i="1"/>
  <c r="W280" i="1" s="1"/>
  <c r="R280" i="1"/>
  <c r="L280" i="1"/>
  <c r="G280" i="1"/>
  <c r="B280" i="1"/>
  <c r="Z279" i="1"/>
  <c r="X279" i="1"/>
  <c r="Y279" i="1" s="1"/>
  <c r="V279" i="1"/>
  <c r="W279" i="1" s="1"/>
  <c r="R279" i="1"/>
  <c r="L279" i="1"/>
  <c r="G279" i="1"/>
  <c r="B279" i="1"/>
  <c r="Z278" i="1"/>
  <c r="AB278" i="1" s="1"/>
  <c r="AC278" i="1" s="1"/>
  <c r="X278" i="1"/>
  <c r="Y278" i="1" s="1"/>
  <c r="V278" i="1"/>
  <c r="W278" i="1" s="1"/>
  <c r="R278" i="1"/>
  <c r="L278" i="1"/>
  <c r="G278" i="1"/>
  <c r="B278" i="1"/>
  <c r="Z277" i="1"/>
  <c r="AA277" i="1" s="1"/>
  <c r="X277" i="1"/>
  <c r="Y277" i="1" s="1"/>
  <c r="V277" i="1"/>
  <c r="W277" i="1" s="1"/>
  <c r="R277" i="1"/>
  <c r="L277" i="1"/>
  <c r="G277" i="1"/>
  <c r="B277" i="1"/>
  <c r="Z276" i="1"/>
  <c r="AA276" i="1" s="1"/>
  <c r="X276" i="1"/>
  <c r="Y276" i="1" s="1"/>
  <c r="V276" i="1"/>
  <c r="W276" i="1" s="1"/>
  <c r="R276" i="1"/>
  <c r="L276" i="1"/>
  <c r="G276" i="1"/>
  <c r="B276" i="1"/>
  <c r="Z275" i="1"/>
  <c r="AB275" i="1" s="1"/>
  <c r="AC275" i="1" s="1"/>
  <c r="X275" i="1"/>
  <c r="Y275" i="1" s="1"/>
  <c r="V275" i="1"/>
  <c r="W275" i="1" s="1"/>
  <c r="R275" i="1"/>
  <c r="L275" i="1"/>
  <c r="G275" i="1"/>
  <c r="B275" i="1"/>
  <c r="Z274" i="1"/>
  <c r="X274" i="1"/>
  <c r="Y274" i="1" s="1"/>
  <c r="V274" i="1"/>
  <c r="W274" i="1" s="1"/>
  <c r="R274" i="1"/>
  <c r="L274" i="1"/>
  <c r="G274" i="1"/>
  <c r="B274" i="1"/>
  <c r="Z273" i="1"/>
  <c r="X273" i="1"/>
  <c r="Y273" i="1" s="1"/>
  <c r="V273" i="1"/>
  <c r="W273" i="1" s="1"/>
  <c r="R273" i="1"/>
  <c r="L273" i="1"/>
  <c r="G273" i="1"/>
  <c r="B273" i="1"/>
  <c r="Z272" i="1"/>
  <c r="AB272" i="1" s="1"/>
  <c r="AD272" i="1" s="1"/>
  <c r="X272" i="1"/>
  <c r="Y272" i="1" s="1"/>
  <c r="V272" i="1"/>
  <c r="W272" i="1" s="1"/>
  <c r="R272" i="1"/>
  <c r="L272" i="1"/>
  <c r="G272" i="1"/>
  <c r="B272" i="1"/>
  <c r="Z271" i="1"/>
  <c r="X271" i="1"/>
  <c r="Y271" i="1" s="1"/>
  <c r="V271" i="1"/>
  <c r="W271" i="1" s="1"/>
  <c r="R271" i="1"/>
  <c r="L271" i="1"/>
  <c r="G271" i="1"/>
  <c r="B271" i="1"/>
  <c r="Z270" i="1"/>
  <c r="AB270" i="1" s="1"/>
  <c r="AC270" i="1" s="1"/>
  <c r="X270" i="1"/>
  <c r="Y270" i="1" s="1"/>
  <c r="V270" i="1"/>
  <c r="W270" i="1" s="1"/>
  <c r="R270" i="1"/>
  <c r="L270" i="1"/>
  <c r="G270" i="1"/>
  <c r="B270" i="1"/>
  <c r="Z269" i="1"/>
  <c r="AA269" i="1" s="1"/>
  <c r="X269" i="1"/>
  <c r="Y269" i="1" s="1"/>
  <c r="V269" i="1"/>
  <c r="W269" i="1" s="1"/>
  <c r="R269" i="1"/>
  <c r="L269" i="1"/>
  <c r="G269" i="1"/>
  <c r="B269" i="1"/>
  <c r="Z268" i="1"/>
  <c r="AB268" i="1" s="1"/>
  <c r="X268" i="1"/>
  <c r="Y268" i="1" s="1"/>
  <c r="V268" i="1"/>
  <c r="W268" i="1" s="1"/>
  <c r="R268" i="1"/>
  <c r="L268" i="1"/>
  <c r="G268" i="1"/>
  <c r="B268" i="1"/>
  <c r="Z267" i="1"/>
  <c r="AB267" i="1" s="1"/>
  <c r="AC267" i="1" s="1"/>
  <c r="X267" i="1"/>
  <c r="Y267" i="1" s="1"/>
  <c r="V267" i="1"/>
  <c r="W267" i="1" s="1"/>
  <c r="R267" i="1"/>
  <c r="L267" i="1"/>
  <c r="G267" i="1"/>
  <c r="B267" i="1"/>
  <c r="Z266" i="1"/>
  <c r="X266" i="1"/>
  <c r="Y266" i="1" s="1"/>
  <c r="V266" i="1"/>
  <c r="W266" i="1" s="1"/>
  <c r="R266" i="1"/>
  <c r="L266" i="1"/>
  <c r="G266" i="1"/>
  <c r="B266" i="1"/>
  <c r="Z265" i="1"/>
  <c r="AA265" i="1" s="1"/>
  <c r="X265" i="1"/>
  <c r="Y265" i="1" s="1"/>
  <c r="V265" i="1"/>
  <c r="W265" i="1" s="1"/>
  <c r="R265" i="1"/>
  <c r="L265" i="1"/>
  <c r="G265" i="1"/>
  <c r="B265" i="1"/>
  <c r="Z264" i="1"/>
  <c r="AB264" i="1" s="1"/>
  <c r="X264" i="1"/>
  <c r="Y264" i="1" s="1"/>
  <c r="V264" i="1"/>
  <c r="W264" i="1" s="1"/>
  <c r="R264" i="1"/>
  <c r="L264" i="1"/>
  <c r="G264" i="1"/>
  <c r="B264" i="1"/>
  <c r="Z263" i="1"/>
  <c r="X263" i="1"/>
  <c r="Y263" i="1" s="1"/>
  <c r="V263" i="1"/>
  <c r="W263" i="1" s="1"/>
  <c r="R263" i="1"/>
  <c r="L263" i="1"/>
  <c r="G263" i="1"/>
  <c r="B263" i="1"/>
  <c r="Z262" i="1"/>
  <c r="X262" i="1"/>
  <c r="Y262" i="1" s="1"/>
  <c r="V262" i="1"/>
  <c r="W262" i="1" s="1"/>
  <c r="R262" i="1"/>
  <c r="L262" i="1"/>
  <c r="G262" i="1"/>
  <c r="B262" i="1"/>
  <c r="Z261" i="1"/>
  <c r="AA261" i="1" s="1"/>
  <c r="X261" i="1"/>
  <c r="Y261" i="1" s="1"/>
  <c r="V261" i="1"/>
  <c r="W261" i="1" s="1"/>
  <c r="R261" i="1"/>
  <c r="L261" i="1"/>
  <c r="G261" i="1"/>
  <c r="B261" i="1"/>
  <c r="Z260" i="1"/>
  <c r="AB260" i="1" s="1"/>
  <c r="X260" i="1"/>
  <c r="Y260" i="1" s="1"/>
  <c r="V260" i="1"/>
  <c r="W260" i="1" s="1"/>
  <c r="R260" i="1"/>
  <c r="L260" i="1"/>
  <c r="G260" i="1"/>
  <c r="B260" i="1"/>
  <c r="Z259" i="1"/>
  <c r="X259" i="1"/>
  <c r="Y259" i="1" s="1"/>
  <c r="V259" i="1"/>
  <c r="W259" i="1" s="1"/>
  <c r="R259" i="1"/>
  <c r="L259" i="1"/>
  <c r="G259" i="1"/>
  <c r="B259" i="1"/>
  <c r="Z258" i="1"/>
  <c r="X258" i="1"/>
  <c r="Y258" i="1" s="1"/>
  <c r="V258" i="1"/>
  <c r="W258" i="1" s="1"/>
  <c r="R258" i="1"/>
  <c r="L258" i="1"/>
  <c r="G258" i="1"/>
  <c r="B258" i="1"/>
  <c r="Z257" i="1"/>
  <c r="AA257" i="1" s="1"/>
  <c r="X257" i="1"/>
  <c r="Y257" i="1" s="1"/>
  <c r="V257" i="1"/>
  <c r="W257" i="1" s="1"/>
  <c r="R257" i="1"/>
  <c r="L257" i="1"/>
  <c r="G257" i="1"/>
  <c r="B257" i="1"/>
  <c r="Z256" i="1"/>
  <c r="AA256" i="1" s="1"/>
  <c r="X256" i="1"/>
  <c r="Y256" i="1" s="1"/>
  <c r="V256" i="1"/>
  <c r="W256" i="1" s="1"/>
  <c r="R256" i="1"/>
  <c r="L256" i="1"/>
  <c r="G256" i="1"/>
  <c r="B256" i="1"/>
  <c r="Z255" i="1"/>
  <c r="X255" i="1"/>
  <c r="Y255" i="1" s="1"/>
  <c r="V255" i="1"/>
  <c r="W255" i="1" s="1"/>
  <c r="R255" i="1"/>
  <c r="L255" i="1"/>
  <c r="G255" i="1"/>
  <c r="B255" i="1"/>
  <c r="Z254" i="1"/>
  <c r="X254" i="1"/>
  <c r="Y254" i="1" s="1"/>
  <c r="V254" i="1"/>
  <c r="W254" i="1" s="1"/>
  <c r="R254" i="1"/>
  <c r="L254" i="1"/>
  <c r="G254" i="1"/>
  <c r="B254" i="1"/>
  <c r="Z253" i="1"/>
  <c r="AA253" i="1" s="1"/>
  <c r="X253" i="1"/>
  <c r="Y253" i="1" s="1"/>
  <c r="V253" i="1"/>
  <c r="W253" i="1" s="1"/>
  <c r="R253" i="1"/>
  <c r="L253" i="1"/>
  <c r="G253" i="1"/>
  <c r="B253" i="1"/>
  <c r="Z252" i="1"/>
  <c r="AA252" i="1" s="1"/>
  <c r="X252" i="1"/>
  <c r="Y252" i="1" s="1"/>
  <c r="V252" i="1"/>
  <c r="W252" i="1" s="1"/>
  <c r="R252" i="1"/>
  <c r="L252" i="1"/>
  <c r="G252" i="1"/>
  <c r="B252" i="1"/>
  <c r="Z251" i="1"/>
  <c r="X251" i="1"/>
  <c r="Y251" i="1" s="1"/>
  <c r="V251" i="1"/>
  <c r="W251" i="1" s="1"/>
  <c r="R251" i="1"/>
  <c r="L251" i="1"/>
  <c r="G251" i="1"/>
  <c r="B251" i="1"/>
  <c r="Z250" i="1"/>
  <c r="X250" i="1"/>
  <c r="Y250" i="1" s="1"/>
  <c r="V250" i="1"/>
  <c r="W250" i="1" s="1"/>
  <c r="R250" i="1"/>
  <c r="L250" i="1"/>
  <c r="G250" i="1"/>
  <c r="B250" i="1"/>
  <c r="Z249" i="1"/>
  <c r="AA249" i="1" s="1"/>
  <c r="X249" i="1"/>
  <c r="Y249" i="1" s="1"/>
  <c r="V249" i="1"/>
  <c r="W249" i="1" s="1"/>
  <c r="R249" i="1"/>
  <c r="L249" i="1"/>
  <c r="G249" i="1"/>
  <c r="B249" i="1"/>
  <c r="Z248" i="1"/>
  <c r="AB248" i="1" s="1"/>
  <c r="X248" i="1"/>
  <c r="Y248" i="1" s="1"/>
  <c r="V248" i="1"/>
  <c r="W248" i="1" s="1"/>
  <c r="R248" i="1"/>
  <c r="L248" i="1"/>
  <c r="G248" i="1"/>
  <c r="B248" i="1"/>
  <c r="Z247" i="1"/>
  <c r="X247" i="1"/>
  <c r="Y247" i="1" s="1"/>
  <c r="V247" i="1"/>
  <c r="W247" i="1" s="1"/>
  <c r="R247" i="1"/>
  <c r="L247" i="1"/>
  <c r="G247" i="1"/>
  <c r="B247" i="1"/>
  <c r="Z246" i="1"/>
  <c r="X246" i="1"/>
  <c r="Y246" i="1" s="1"/>
  <c r="V246" i="1"/>
  <c r="W246" i="1" s="1"/>
  <c r="R246" i="1"/>
  <c r="L246" i="1"/>
  <c r="G246" i="1"/>
  <c r="B246" i="1"/>
  <c r="Z245" i="1"/>
  <c r="AA245" i="1" s="1"/>
  <c r="X245" i="1"/>
  <c r="Y245" i="1" s="1"/>
  <c r="V245" i="1"/>
  <c r="W245" i="1" s="1"/>
  <c r="R245" i="1"/>
  <c r="L245" i="1"/>
  <c r="G245" i="1"/>
  <c r="B245" i="1"/>
  <c r="Z244" i="1"/>
  <c r="AB244" i="1" s="1"/>
  <c r="X244" i="1"/>
  <c r="Y244" i="1" s="1"/>
  <c r="V244" i="1"/>
  <c r="W244" i="1" s="1"/>
  <c r="R244" i="1"/>
  <c r="L244" i="1"/>
  <c r="G244" i="1"/>
  <c r="B244" i="1"/>
  <c r="Z243" i="1"/>
  <c r="X243" i="1"/>
  <c r="Y243" i="1" s="1"/>
  <c r="V243" i="1"/>
  <c r="W243" i="1" s="1"/>
  <c r="R243" i="1"/>
  <c r="L243" i="1"/>
  <c r="G243" i="1"/>
  <c r="B243" i="1"/>
  <c r="Z242" i="1"/>
  <c r="X242" i="1"/>
  <c r="Y242" i="1" s="1"/>
  <c r="V242" i="1"/>
  <c r="W242" i="1" s="1"/>
  <c r="R242" i="1"/>
  <c r="L242" i="1"/>
  <c r="G242" i="1"/>
  <c r="B242" i="1"/>
  <c r="Z241" i="1"/>
  <c r="AA241" i="1" s="1"/>
  <c r="X241" i="1"/>
  <c r="Y241" i="1" s="1"/>
  <c r="V241" i="1"/>
  <c r="W241" i="1" s="1"/>
  <c r="R241" i="1"/>
  <c r="L241" i="1"/>
  <c r="G241" i="1"/>
  <c r="B241" i="1"/>
  <c r="Z240" i="1"/>
  <c r="AA240" i="1" s="1"/>
  <c r="X240" i="1"/>
  <c r="Y240" i="1" s="1"/>
  <c r="V240" i="1"/>
  <c r="W240" i="1" s="1"/>
  <c r="R240" i="1"/>
  <c r="L240" i="1"/>
  <c r="G240" i="1"/>
  <c r="B240" i="1"/>
  <c r="Z239" i="1"/>
  <c r="X239" i="1"/>
  <c r="Y239" i="1" s="1"/>
  <c r="V239" i="1"/>
  <c r="W239" i="1" s="1"/>
  <c r="R239" i="1"/>
  <c r="L239" i="1"/>
  <c r="G239" i="1"/>
  <c r="B239" i="1"/>
  <c r="Z238" i="1"/>
  <c r="X238" i="1"/>
  <c r="Y238" i="1" s="1"/>
  <c r="V238" i="1"/>
  <c r="W238" i="1" s="1"/>
  <c r="R238" i="1"/>
  <c r="L238" i="1"/>
  <c r="G238" i="1"/>
  <c r="B238" i="1"/>
  <c r="Z237" i="1"/>
  <c r="X237" i="1"/>
  <c r="Y237" i="1" s="1"/>
  <c r="V237" i="1"/>
  <c r="W237" i="1" s="1"/>
  <c r="R237" i="1"/>
  <c r="L237" i="1"/>
  <c r="G237" i="1"/>
  <c r="B237" i="1"/>
  <c r="Z236" i="1"/>
  <c r="AB236" i="1" s="1"/>
  <c r="X236" i="1"/>
  <c r="Y236" i="1" s="1"/>
  <c r="V236" i="1"/>
  <c r="W236" i="1" s="1"/>
  <c r="R236" i="1"/>
  <c r="L236" i="1"/>
  <c r="G236" i="1"/>
  <c r="B236" i="1"/>
  <c r="Z235" i="1"/>
  <c r="X235" i="1"/>
  <c r="Y235" i="1" s="1"/>
  <c r="V235" i="1"/>
  <c r="W235" i="1" s="1"/>
  <c r="R235" i="1"/>
  <c r="L235" i="1"/>
  <c r="G235" i="1"/>
  <c r="B235" i="1"/>
  <c r="Z234" i="1"/>
  <c r="X234" i="1"/>
  <c r="Y234" i="1" s="1"/>
  <c r="V234" i="1"/>
  <c r="W234" i="1" s="1"/>
  <c r="R234" i="1"/>
  <c r="L234" i="1"/>
  <c r="G234" i="1"/>
  <c r="B234" i="1"/>
  <c r="Z233" i="1"/>
  <c r="X233" i="1"/>
  <c r="Y233" i="1" s="1"/>
  <c r="V233" i="1"/>
  <c r="W233" i="1" s="1"/>
  <c r="R233" i="1"/>
  <c r="L233" i="1"/>
  <c r="G233" i="1"/>
  <c r="B233" i="1"/>
  <c r="Z232" i="1"/>
  <c r="AA232" i="1" s="1"/>
  <c r="X232" i="1"/>
  <c r="Y232" i="1" s="1"/>
  <c r="V232" i="1"/>
  <c r="W232" i="1" s="1"/>
  <c r="R232" i="1"/>
  <c r="L232" i="1"/>
  <c r="G232" i="1"/>
  <c r="B232" i="1"/>
  <c r="Z231" i="1"/>
  <c r="X231" i="1"/>
  <c r="Y231" i="1" s="1"/>
  <c r="V231" i="1"/>
  <c r="W231" i="1" s="1"/>
  <c r="R231" i="1"/>
  <c r="L231" i="1"/>
  <c r="G231" i="1"/>
  <c r="B231" i="1"/>
  <c r="Z230" i="1"/>
  <c r="X230" i="1"/>
  <c r="Y230" i="1" s="1"/>
  <c r="V230" i="1"/>
  <c r="W230" i="1" s="1"/>
  <c r="R230" i="1"/>
  <c r="L230" i="1"/>
  <c r="G230" i="1"/>
  <c r="B230" i="1"/>
  <c r="Z229" i="1"/>
  <c r="AA229" i="1" s="1"/>
  <c r="X229" i="1"/>
  <c r="Y229" i="1" s="1"/>
  <c r="V229" i="1"/>
  <c r="W229" i="1" s="1"/>
  <c r="R229" i="1"/>
  <c r="L229" i="1"/>
  <c r="G229" i="1"/>
  <c r="B229" i="1"/>
  <c r="Z228" i="1"/>
  <c r="AB228" i="1" s="1"/>
  <c r="X228" i="1"/>
  <c r="Y228" i="1" s="1"/>
  <c r="V228" i="1"/>
  <c r="W228" i="1" s="1"/>
  <c r="R228" i="1"/>
  <c r="L228" i="1"/>
  <c r="G228" i="1"/>
  <c r="B228" i="1"/>
  <c r="Z227" i="1"/>
  <c r="X227" i="1"/>
  <c r="Y227" i="1" s="1"/>
  <c r="V227" i="1"/>
  <c r="W227" i="1" s="1"/>
  <c r="R227" i="1"/>
  <c r="L227" i="1"/>
  <c r="G227" i="1"/>
  <c r="B227" i="1"/>
  <c r="Z226" i="1"/>
  <c r="X226" i="1"/>
  <c r="Y226" i="1" s="1"/>
  <c r="V226" i="1"/>
  <c r="W226" i="1" s="1"/>
  <c r="R226" i="1"/>
  <c r="L226" i="1"/>
  <c r="G226" i="1"/>
  <c r="B226" i="1"/>
  <c r="Z225" i="1"/>
  <c r="AA225" i="1" s="1"/>
  <c r="X225" i="1"/>
  <c r="Y225" i="1" s="1"/>
  <c r="V225" i="1"/>
  <c r="W225" i="1" s="1"/>
  <c r="R225" i="1"/>
  <c r="L225" i="1"/>
  <c r="G225" i="1"/>
  <c r="B225" i="1"/>
  <c r="Z224" i="1"/>
  <c r="AA224" i="1" s="1"/>
  <c r="X224" i="1"/>
  <c r="Y224" i="1" s="1"/>
  <c r="V224" i="1"/>
  <c r="W224" i="1" s="1"/>
  <c r="R224" i="1"/>
  <c r="L224" i="1"/>
  <c r="G224" i="1"/>
  <c r="B224" i="1"/>
  <c r="Z223" i="1"/>
  <c r="X223" i="1"/>
  <c r="Y223" i="1" s="1"/>
  <c r="V223" i="1"/>
  <c r="W223" i="1" s="1"/>
  <c r="R223" i="1"/>
  <c r="L223" i="1"/>
  <c r="G223" i="1"/>
  <c r="B223" i="1"/>
  <c r="Z222" i="1"/>
  <c r="X222" i="1"/>
  <c r="Y222" i="1" s="1"/>
  <c r="V222" i="1"/>
  <c r="W222" i="1" s="1"/>
  <c r="R222" i="1"/>
  <c r="L222" i="1"/>
  <c r="G222" i="1"/>
  <c r="B222" i="1"/>
  <c r="Z221" i="1"/>
  <c r="AA221" i="1" s="1"/>
  <c r="X221" i="1"/>
  <c r="Y221" i="1" s="1"/>
  <c r="V221" i="1"/>
  <c r="W221" i="1" s="1"/>
  <c r="R221" i="1"/>
  <c r="L221" i="1"/>
  <c r="G221" i="1"/>
  <c r="B221" i="1"/>
  <c r="Z220" i="1"/>
  <c r="AB220" i="1" s="1"/>
  <c r="X220" i="1"/>
  <c r="Y220" i="1" s="1"/>
  <c r="V220" i="1"/>
  <c r="W220" i="1" s="1"/>
  <c r="R220" i="1"/>
  <c r="L220" i="1"/>
  <c r="G220" i="1"/>
  <c r="B220" i="1"/>
  <c r="Z219" i="1"/>
  <c r="X219" i="1"/>
  <c r="Y219" i="1" s="1"/>
  <c r="V219" i="1"/>
  <c r="W219" i="1" s="1"/>
  <c r="R219" i="1"/>
  <c r="L219" i="1"/>
  <c r="G219" i="1"/>
  <c r="B219" i="1"/>
  <c r="Z218" i="1"/>
  <c r="X218" i="1"/>
  <c r="Y218" i="1" s="1"/>
  <c r="V218" i="1"/>
  <c r="W218" i="1" s="1"/>
  <c r="R218" i="1"/>
  <c r="L218" i="1"/>
  <c r="G218" i="1"/>
  <c r="B218" i="1"/>
  <c r="Z217" i="1"/>
  <c r="AA217" i="1" s="1"/>
  <c r="X217" i="1"/>
  <c r="Y217" i="1" s="1"/>
  <c r="V217" i="1"/>
  <c r="W217" i="1" s="1"/>
  <c r="R217" i="1"/>
  <c r="L217" i="1"/>
  <c r="G217" i="1"/>
  <c r="B217" i="1"/>
  <c r="Z216" i="1"/>
  <c r="AB216" i="1" s="1"/>
  <c r="X216" i="1"/>
  <c r="Y216" i="1" s="1"/>
  <c r="V216" i="1"/>
  <c r="W216" i="1" s="1"/>
  <c r="R216" i="1"/>
  <c r="L216" i="1"/>
  <c r="G216" i="1"/>
  <c r="B216" i="1"/>
  <c r="Z215" i="1"/>
  <c r="X215" i="1"/>
  <c r="Y215" i="1" s="1"/>
  <c r="V215" i="1"/>
  <c r="W215" i="1" s="1"/>
  <c r="R215" i="1"/>
  <c r="L215" i="1"/>
  <c r="G215" i="1"/>
  <c r="B215" i="1"/>
  <c r="Z214" i="1"/>
  <c r="X214" i="1"/>
  <c r="Y214" i="1" s="1"/>
  <c r="V214" i="1"/>
  <c r="W214" i="1" s="1"/>
  <c r="R214" i="1"/>
  <c r="L214" i="1"/>
  <c r="G214" i="1"/>
  <c r="B214" i="1"/>
  <c r="Z213" i="1"/>
  <c r="AA213" i="1" s="1"/>
  <c r="X213" i="1"/>
  <c r="Y213" i="1" s="1"/>
  <c r="V213" i="1"/>
  <c r="W213" i="1" s="1"/>
  <c r="R213" i="1"/>
  <c r="L213" i="1"/>
  <c r="G213" i="1"/>
  <c r="B213" i="1"/>
  <c r="Z212" i="1"/>
  <c r="AA212" i="1" s="1"/>
  <c r="X212" i="1"/>
  <c r="Y212" i="1" s="1"/>
  <c r="V212" i="1"/>
  <c r="W212" i="1" s="1"/>
  <c r="R212" i="1"/>
  <c r="L212" i="1"/>
  <c r="G212" i="1"/>
  <c r="B212" i="1"/>
  <c r="Z211" i="1"/>
  <c r="X211" i="1"/>
  <c r="Y211" i="1" s="1"/>
  <c r="V211" i="1"/>
  <c r="W211" i="1" s="1"/>
  <c r="R211" i="1"/>
  <c r="L211" i="1"/>
  <c r="G211" i="1"/>
  <c r="B211" i="1"/>
  <c r="Z210" i="1"/>
  <c r="X210" i="1"/>
  <c r="Y210" i="1" s="1"/>
  <c r="V210" i="1"/>
  <c r="W210" i="1" s="1"/>
  <c r="R210" i="1"/>
  <c r="L210" i="1"/>
  <c r="G210" i="1"/>
  <c r="B210" i="1"/>
  <c r="Z209" i="1"/>
  <c r="AA209" i="1" s="1"/>
  <c r="X209" i="1"/>
  <c r="Y209" i="1" s="1"/>
  <c r="V209" i="1"/>
  <c r="W209" i="1" s="1"/>
  <c r="R209" i="1"/>
  <c r="L209" i="1"/>
  <c r="G209" i="1"/>
  <c r="B209" i="1"/>
  <c r="Z208" i="1"/>
  <c r="AA208" i="1" s="1"/>
  <c r="X208" i="1"/>
  <c r="Y208" i="1" s="1"/>
  <c r="V208" i="1"/>
  <c r="W208" i="1" s="1"/>
  <c r="R208" i="1"/>
  <c r="L208" i="1"/>
  <c r="G208" i="1"/>
  <c r="B208" i="1"/>
  <c r="Z207" i="1"/>
  <c r="X207" i="1"/>
  <c r="Y207" i="1" s="1"/>
  <c r="V207" i="1"/>
  <c r="W207" i="1" s="1"/>
  <c r="R207" i="1"/>
  <c r="L207" i="1"/>
  <c r="G207" i="1"/>
  <c r="B207" i="1"/>
  <c r="Z206" i="1"/>
  <c r="X206" i="1"/>
  <c r="Y206" i="1" s="1"/>
  <c r="V206" i="1"/>
  <c r="W206" i="1" s="1"/>
  <c r="R206" i="1"/>
  <c r="L206" i="1"/>
  <c r="G206" i="1"/>
  <c r="B206" i="1"/>
  <c r="Z205" i="1"/>
  <c r="AA205" i="1" s="1"/>
  <c r="X205" i="1"/>
  <c r="Y205" i="1" s="1"/>
  <c r="V205" i="1"/>
  <c r="W205" i="1" s="1"/>
  <c r="R205" i="1"/>
  <c r="L205" i="1"/>
  <c r="G205" i="1"/>
  <c r="B205" i="1"/>
  <c r="Z204" i="1"/>
  <c r="AB204" i="1" s="1"/>
  <c r="X204" i="1"/>
  <c r="Y204" i="1" s="1"/>
  <c r="V204" i="1"/>
  <c r="W204" i="1" s="1"/>
  <c r="R204" i="1"/>
  <c r="L204" i="1"/>
  <c r="G204" i="1"/>
  <c r="B204" i="1"/>
  <c r="Z203" i="1"/>
  <c r="X203" i="1"/>
  <c r="Y203" i="1" s="1"/>
  <c r="V203" i="1"/>
  <c r="W203" i="1" s="1"/>
  <c r="R203" i="1"/>
  <c r="L203" i="1"/>
  <c r="G203" i="1"/>
  <c r="B203" i="1"/>
  <c r="Z202" i="1"/>
  <c r="X202" i="1"/>
  <c r="Y202" i="1" s="1"/>
  <c r="V202" i="1"/>
  <c r="W202" i="1" s="1"/>
  <c r="R202" i="1"/>
  <c r="L202" i="1"/>
  <c r="G202" i="1"/>
  <c r="B202" i="1"/>
  <c r="Z201" i="1"/>
  <c r="AA201" i="1" s="1"/>
  <c r="X201" i="1"/>
  <c r="Y201" i="1" s="1"/>
  <c r="V201" i="1"/>
  <c r="W201" i="1" s="1"/>
  <c r="R201" i="1"/>
  <c r="L201" i="1"/>
  <c r="G201" i="1"/>
  <c r="B201" i="1"/>
  <c r="Z200" i="1"/>
  <c r="AA200" i="1" s="1"/>
  <c r="X200" i="1"/>
  <c r="Y200" i="1" s="1"/>
  <c r="V200" i="1"/>
  <c r="W200" i="1" s="1"/>
  <c r="R200" i="1"/>
  <c r="L200" i="1"/>
  <c r="G200" i="1"/>
  <c r="B200" i="1"/>
  <c r="Z199" i="1"/>
  <c r="X199" i="1"/>
  <c r="Y199" i="1" s="1"/>
  <c r="V199" i="1"/>
  <c r="W199" i="1" s="1"/>
  <c r="R199" i="1"/>
  <c r="L199" i="1"/>
  <c r="G199" i="1"/>
  <c r="B199" i="1"/>
  <c r="Z198" i="1"/>
  <c r="X198" i="1"/>
  <c r="Y198" i="1" s="1"/>
  <c r="V198" i="1"/>
  <c r="W198" i="1" s="1"/>
  <c r="R198" i="1"/>
  <c r="L198" i="1"/>
  <c r="G198" i="1"/>
  <c r="B198" i="1"/>
  <c r="Z197" i="1"/>
  <c r="AA197" i="1" s="1"/>
  <c r="X197" i="1"/>
  <c r="Y197" i="1" s="1"/>
  <c r="V197" i="1"/>
  <c r="W197" i="1" s="1"/>
  <c r="R197" i="1"/>
  <c r="L197" i="1"/>
  <c r="G197" i="1"/>
  <c r="B197" i="1"/>
  <c r="Z196" i="1"/>
  <c r="AB196" i="1" s="1"/>
  <c r="X196" i="1"/>
  <c r="Y196" i="1" s="1"/>
  <c r="V196" i="1"/>
  <c r="W196" i="1" s="1"/>
  <c r="R196" i="1"/>
  <c r="L196" i="1"/>
  <c r="G196" i="1"/>
  <c r="B196" i="1"/>
  <c r="Z195" i="1"/>
  <c r="AB195" i="1" s="1"/>
  <c r="X195" i="1"/>
  <c r="Y195" i="1" s="1"/>
  <c r="V195" i="1"/>
  <c r="W195" i="1" s="1"/>
  <c r="R195" i="1"/>
  <c r="L195" i="1"/>
  <c r="G195" i="1"/>
  <c r="B195" i="1"/>
  <c r="Z194" i="1"/>
  <c r="AB194" i="1" s="1"/>
  <c r="X194" i="1"/>
  <c r="Y194" i="1" s="1"/>
  <c r="V194" i="1"/>
  <c r="W194" i="1" s="1"/>
  <c r="R194" i="1"/>
  <c r="L194" i="1"/>
  <c r="G194" i="1"/>
  <c r="B194" i="1"/>
  <c r="Z193" i="1"/>
  <c r="AA193" i="1" s="1"/>
  <c r="X193" i="1"/>
  <c r="Y193" i="1" s="1"/>
  <c r="V193" i="1"/>
  <c r="W193" i="1" s="1"/>
  <c r="R193" i="1"/>
  <c r="L193" i="1"/>
  <c r="G193" i="1"/>
  <c r="B193" i="1"/>
  <c r="Z192" i="1"/>
  <c r="AB192" i="1" s="1"/>
  <c r="X192" i="1"/>
  <c r="Y192" i="1" s="1"/>
  <c r="V192" i="1"/>
  <c r="W192" i="1" s="1"/>
  <c r="R192" i="1"/>
  <c r="L192" i="1"/>
  <c r="G192" i="1"/>
  <c r="B192" i="1"/>
  <c r="Z191" i="1"/>
  <c r="AB191" i="1" s="1"/>
  <c r="X191" i="1"/>
  <c r="Y191" i="1" s="1"/>
  <c r="V191" i="1"/>
  <c r="W191" i="1" s="1"/>
  <c r="R191" i="1"/>
  <c r="L191" i="1"/>
  <c r="G191" i="1"/>
  <c r="B191" i="1"/>
  <c r="Z190" i="1"/>
  <c r="AB190" i="1" s="1"/>
  <c r="AD190" i="1" s="1"/>
  <c r="X190" i="1"/>
  <c r="Y190" i="1" s="1"/>
  <c r="V190" i="1"/>
  <c r="W190" i="1" s="1"/>
  <c r="R190" i="1"/>
  <c r="L190" i="1"/>
  <c r="G190" i="1"/>
  <c r="B190" i="1"/>
  <c r="Z189" i="1"/>
  <c r="AA189" i="1" s="1"/>
  <c r="X189" i="1"/>
  <c r="Y189" i="1" s="1"/>
  <c r="V189" i="1"/>
  <c r="W189" i="1" s="1"/>
  <c r="R189" i="1"/>
  <c r="L189" i="1"/>
  <c r="G189" i="1"/>
  <c r="B189" i="1"/>
  <c r="Z188" i="1"/>
  <c r="AB188" i="1" s="1"/>
  <c r="X188" i="1"/>
  <c r="Y188" i="1" s="1"/>
  <c r="V188" i="1"/>
  <c r="W188" i="1" s="1"/>
  <c r="R188" i="1"/>
  <c r="L188" i="1"/>
  <c r="G188" i="1"/>
  <c r="B188" i="1"/>
  <c r="Z187" i="1"/>
  <c r="AB187" i="1" s="1"/>
  <c r="X187" i="1"/>
  <c r="Y187" i="1" s="1"/>
  <c r="V187" i="1"/>
  <c r="W187" i="1" s="1"/>
  <c r="R187" i="1"/>
  <c r="L187" i="1"/>
  <c r="G187" i="1"/>
  <c r="B187" i="1"/>
  <c r="Z186" i="1"/>
  <c r="AB186" i="1" s="1"/>
  <c r="AD186" i="1" s="1"/>
  <c r="X186" i="1"/>
  <c r="Y186" i="1" s="1"/>
  <c r="V186" i="1"/>
  <c r="W186" i="1" s="1"/>
  <c r="R186" i="1"/>
  <c r="L186" i="1"/>
  <c r="G186" i="1"/>
  <c r="B186" i="1"/>
  <c r="Z185" i="1"/>
  <c r="AA185" i="1" s="1"/>
  <c r="X185" i="1"/>
  <c r="Y185" i="1" s="1"/>
  <c r="V185" i="1"/>
  <c r="W185" i="1" s="1"/>
  <c r="R185" i="1"/>
  <c r="L185" i="1"/>
  <c r="G185" i="1"/>
  <c r="B185" i="1"/>
  <c r="Z184" i="1"/>
  <c r="AB184" i="1" s="1"/>
  <c r="X184" i="1"/>
  <c r="Y184" i="1" s="1"/>
  <c r="V184" i="1"/>
  <c r="W184" i="1" s="1"/>
  <c r="R184" i="1"/>
  <c r="L184" i="1"/>
  <c r="G184" i="1"/>
  <c r="B184" i="1"/>
  <c r="Z183" i="1"/>
  <c r="AB183" i="1" s="1"/>
  <c r="X183" i="1"/>
  <c r="Y183" i="1" s="1"/>
  <c r="V183" i="1"/>
  <c r="W183" i="1" s="1"/>
  <c r="R183" i="1"/>
  <c r="L183" i="1"/>
  <c r="G183" i="1"/>
  <c r="B183" i="1"/>
  <c r="Z182" i="1"/>
  <c r="AB182" i="1" s="1"/>
  <c r="AD182" i="1" s="1"/>
  <c r="X182" i="1"/>
  <c r="Y182" i="1" s="1"/>
  <c r="V182" i="1"/>
  <c r="W182" i="1" s="1"/>
  <c r="R182" i="1"/>
  <c r="L182" i="1"/>
  <c r="G182" i="1"/>
  <c r="B182" i="1"/>
  <c r="Z181" i="1"/>
  <c r="AA181" i="1" s="1"/>
  <c r="X181" i="1"/>
  <c r="Y181" i="1" s="1"/>
  <c r="V181" i="1"/>
  <c r="W181" i="1" s="1"/>
  <c r="R181" i="1"/>
  <c r="L181" i="1"/>
  <c r="G181" i="1"/>
  <c r="B181" i="1"/>
  <c r="Z180" i="1"/>
  <c r="AB180" i="1" s="1"/>
  <c r="X180" i="1"/>
  <c r="Y180" i="1" s="1"/>
  <c r="V180" i="1"/>
  <c r="W180" i="1" s="1"/>
  <c r="R180" i="1"/>
  <c r="L180" i="1"/>
  <c r="G180" i="1"/>
  <c r="B180" i="1"/>
  <c r="Z179" i="1"/>
  <c r="AB179" i="1" s="1"/>
  <c r="X179" i="1"/>
  <c r="Y179" i="1" s="1"/>
  <c r="V179" i="1"/>
  <c r="W179" i="1" s="1"/>
  <c r="R179" i="1"/>
  <c r="L179" i="1"/>
  <c r="G179" i="1"/>
  <c r="B179" i="1"/>
  <c r="Z178" i="1"/>
  <c r="AB178" i="1" s="1"/>
  <c r="AD178" i="1" s="1"/>
  <c r="X178" i="1"/>
  <c r="Y178" i="1" s="1"/>
  <c r="V178" i="1"/>
  <c r="W178" i="1" s="1"/>
  <c r="R178" i="1"/>
  <c r="L178" i="1"/>
  <c r="G178" i="1"/>
  <c r="B178" i="1"/>
  <c r="Z177" i="1"/>
  <c r="AA177" i="1" s="1"/>
  <c r="X177" i="1"/>
  <c r="Y177" i="1" s="1"/>
  <c r="V177" i="1"/>
  <c r="W177" i="1" s="1"/>
  <c r="R177" i="1"/>
  <c r="L177" i="1"/>
  <c r="G177" i="1"/>
  <c r="B177" i="1"/>
  <c r="Z176" i="1"/>
  <c r="AB176" i="1" s="1"/>
  <c r="X176" i="1"/>
  <c r="Y176" i="1" s="1"/>
  <c r="V176" i="1"/>
  <c r="W176" i="1" s="1"/>
  <c r="R176" i="1"/>
  <c r="L176" i="1"/>
  <c r="G176" i="1"/>
  <c r="B176" i="1"/>
  <c r="Z175" i="1"/>
  <c r="AB175" i="1" s="1"/>
  <c r="X175" i="1"/>
  <c r="Y175" i="1" s="1"/>
  <c r="V175" i="1"/>
  <c r="W175" i="1" s="1"/>
  <c r="R175" i="1"/>
  <c r="L175" i="1"/>
  <c r="G175" i="1"/>
  <c r="B175" i="1"/>
  <c r="Z174" i="1"/>
  <c r="AB174" i="1" s="1"/>
  <c r="AD174" i="1" s="1"/>
  <c r="X174" i="1"/>
  <c r="Y174" i="1" s="1"/>
  <c r="V174" i="1"/>
  <c r="W174" i="1" s="1"/>
  <c r="R174" i="1"/>
  <c r="L174" i="1"/>
  <c r="G174" i="1"/>
  <c r="B174" i="1"/>
  <c r="Z173" i="1"/>
  <c r="AA173" i="1" s="1"/>
  <c r="X173" i="1"/>
  <c r="Y173" i="1" s="1"/>
  <c r="V173" i="1"/>
  <c r="W173" i="1" s="1"/>
  <c r="R173" i="1"/>
  <c r="L173" i="1"/>
  <c r="G173" i="1"/>
  <c r="B173" i="1"/>
  <c r="Z172" i="1"/>
  <c r="AB172" i="1" s="1"/>
  <c r="X172" i="1"/>
  <c r="Y172" i="1" s="1"/>
  <c r="V172" i="1"/>
  <c r="W172" i="1" s="1"/>
  <c r="R172" i="1"/>
  <c r="L172" i="1"/>
  <c r="G172" i="1"/>
  <c r="B172" i="1"/>
  <c r="Z171" i="1"/>
  <c r="AB171" i="1" s="1"/>
  <c r="X171" i="1"/>
  <c r="Y171" i="1" s="1"/>
  <c r="V171" i="1"/>
  <c r="W171" i="1" s="1"/>
  <c r="R171" i="1"/>
  <c r="L171" i="1"/>
  <c r="G171" i="1"/>
  <c r="B171" i="1"/>
  <c r="Z170" i="1"/>
  <c r="AB170" i="1" s="1"/>
  <c r="AD170" i="1" s="1"/>
  <c r="X170" i="1"/>
  <c r="Y170" i="1" s="1"/>
  <c r="V170" i="1"/>
  <c r="W170" i="1" s="1"/>
  <c r="R170" i="1"/>
  <c r="L170" i="1"/>
  <c r="G170" i="1"/>
  <c r="B170" i="1"/>
  <c r="Z169" i="1"/>
  <c r="AA169" i="1" s="1"/>
  <c r="X169" i="1"/>
  <c r="Y169" i="1" s="1"/>
  <c r="V169" i="1"/>
  <c r="W169" i="1" s="1"/>
  <c r="R169" i="1"/>
  <c r="L169" i="1"/>
  <c r="G169" i="1"/>
  <c r="B169" i="1"/>
  <c r="Z168" i="1"/>
  <c r="AB168" i="1" s="1"/>
  <c r="X168" i="1"/>
  <c r="Y168" i="1" s="1"/>
  <c r="V168" i="1"/>
  <c r="W168" i="1" s="1"/>
  <c r="R168" i="1"/>
  <c r="L168" i="1"/>
  <c r="G168" i="1"/>
  <c r="B168" i="1"/>
  <c r="Z167" i="1"/>
  <c r="AB167" i="1" s="1"/>
  <c r="X167" i="1"/>
  <c r="Y167" i="1" s="1"/>
  <c r="V167" i="1"/>
  <c r="W167" i="1" s="1"/>
  <c r="R167" i="1"/>
  <c r="L167" i="1"/>
  <c r="G167" i="1"/>
  <c r="B167" i="1"/>
  <c r="Z166" i="1"/>
  <c r="AB166" i="1" s="1"/>
  <c r="AD166" i="1" s="1"/>
  <c r="X166" i="1"/>
  <c r="Y166" i="1" s="1"/>
  <c r="V166" i="1"/>
  <c r="W166" i="1" s="1"/>
  <c r="R166" i="1"/>
  <c r="L166" i="1"/>
  <c r="G166" i="1"/>
  <c r="B166" i="1"/>
  <c r="Z165" i="1"/>
  <c r="AA165" i="1" s="1"/>
  <c r="X165" i="1"/>
  <c r="Y165" i="1" s="1"/>
  <c r="V165" i="1"/>
  <c r="W165" i="1" s="1"/>
  <c r="R165" i="1"/>
  <c r="L165" i="1"/>
  <c r="G165" i="1"/>
  <c r="B165" i="1"/>
  <c r="Z164" i="1"/>
  <c r="AB164" i="1" s="1"/>
  <c r="X164" i="1"/>
  <c r="Y164" i="1" s="1"/>
  <c r="V164" i="1"/>
  <c r="W164" i="1" s="1"/>
  <c r="R164" i="1"/>
  <c r="L164" i="1"/>
  <c r="G164" i="1"/>
  <c r="B164" i="1"/>
  <c r="Z163" i="1"/>
  <c r="AB163" i="1" s="1"/>
  <c r="X163" i="1"/>
  <c r="Y163" i="1" s="1"/>
  <c r="V163" i="1"/>
  <c r="W163" i="1" s="1"/>
  <c r="R163" i="1"/>
  <c r="L163" i="1"/>
  <c r="G163" i="1"/>
  <c r="B163" i="1"/>
  <c r="Z162" i="1"/>
  <c r="AB162" i="1" s="1"/>
  <c r="AD162" i="1" s="1"/>
  <c r="X162" i="1"/>
  <c r="Y162" i="1" s="1"/>
  <c r="V162" i="1"/>
  <c r="W162" i="1" s="1"/>
  <c r="R162" i="1"/>
  <c r="L162" i="1"/>
  <c r="G162" i="1"/>
  <c r="B162" i="1"/>
  <c r="Z161" i="1"/>
  <c r="AA161" i="1" s="1"/>
  <c r="X161" i="1"/>
  <c r="Y161" i="1" s="1"/>
  <c r="V161" i="1"/>
  <c r="W161" i="1" s="1"/>
  <c r="R161" i="1"/>
  <c r="L161" i="1"/>
  <c r="G161" i="1"/>
  <c r="B161" i="1"/>
  <c r="Z160" i="1"/>
  <c r="AA160" i="1" s="1"/>
  <c r="X160" i="1"/>
  <c r="Y160" i="1" s="1"/>
  <c r="V160" i="1"/>
  <c r="W160" i="1" s="1"/>
  <c r="R160" i="1"/>
  <c r="L160" i="1"/>
  <c r="G160" i="1"/>
  <c r="B160" i="1"/>
  <c r="Z159" i="1"/>
  <c r="AB159" i="1" s="1"/>
  <c r="X159" i="1"/>
  <c r="Y159" i="1" s="1"/>
  <c r="V159" i="1"/>
  <c r="W159" i="1" s="1"/>
  <c r="R159" i="1"/>
  <c r="L159" i="1"/>
  <c r="G159" i="1"/>
  <c r="B159" i="1"/>
  <c r="Z158" i="1"/>
  <c r="AB158" i="1" s="1"/>
  <c r="X158" i="1"/>
  <c r="Y158" i="1" s="1"/>
  <c r="V158" i="1"/>
  <c r="W158" i="1" s="1"/>
  <c r="R158" i="1"/>
  <c r="L158" i="1"/>
  <c r="G158" i="1"/>
  <c r="B158" i="1"/>
  <c r="Z157" i="1"/>
  <c r="AB157" i="1" s="1"/>
  <c r="AD157" i="1" s="1"/>
  <c r="X157" i="1"/>
  <c r="Y157" i="1" s="1"/>
  <c r="V157" i="1"/>
  <c r="W157" i="1" s="1"/>
  <c r="R157" i="1"/>
  <c r="L157" i="1"/>
  <c r="G157" i="1"/>
  <c r="B157" i="1"/>
  <c r="Z156" i="1"/>
  <c r="AA156" i="1" s="1"/>
  <c r="X156" i="1"/>
  <c r="Y156" i="1" s="1"/>
  <c r="V156" i="1"/>
  <c r="W156" i="1" s="1"/>
  <c r="R156" i="1"/>
  <c r="L156" i="1"/>
  <c r="G156" i="1"/>
  <c r="B156" i="1"/>
  <c r="Z155" i="1"/>
  <c r="AB155" i="1" s="1"/>
  <c r="X155" i="1"/>
  <c r="Y155" i="1" s="1"/>
  <c r="V155" i="1"/>
  <c r="W155" i="1" s="1"/>
  <c r="R155" i="1"/>
  <c r="L155" i="1"/>
  <c r="G155" i="1"/>
  <c r="B155" i="1"/>
  <c r="Z154" i="1"/>
  <c r="AB154" i="1" s="1"/>
  <c r="X154" i="1"/>
  <c r="Y154" i="1" s="1"/>
  <c r="V154" i="1"/>
  <c r="W154" i="1" s="1"/>
  <c r="R154" i="1"/>
  <c r="L154" i="1"/>
  <c r="G154" i="1"/>
  <c r="B154" i="1"/>
  <c r="Z153" i="1"/>
  <c r="AB153" i="1" s="1"/>
  <c r="AD153" i="1" s="1"/>
  <c r="X153" i="1"/>
  <c r="Y153" i="1" s="1"/>
  <c r="V153" i="1"/>
  <c r="W153" i="1" s="1"/>
  <c r="R153" i="1"/>
  <c r="L153" i="1"/>
  <c r="G153" i="1"/>
  <c r="B153" i="1"/>
  <c r="Z152" i="1"/>
  <c r="AA152" i="1" s="1"/>
  <c r="X152" i="1"/>
  <c r="Y152" i="1" s="1"/>
  <c r="V152" i="1"/>
  <c r="W152" i="1" s="1"/>
  <c r="R152" i="1"/>
  <c r="L152" i="1"/>
  <c r="G152" i="1"/>
  <c r="B152" i="1"/>
  <c r="Z151" i="1"/>
  <c r="AB151" i="1" s="1"/>
  <c r="AD151" i="1" s="1"/>
  <c r="X151" i="1"/>
  <c r="Y151" i="1" s="1"/>
  <c r="V151" i="1"/>
  <c r="W151" i="1" s="1"/>
  <c r="R151" i="1"/>
  <c r="L151" i="1"/>
  <c r="G151" i="1"/>
  <c r="B151" i="1"/>
  <c r="Z150" i="1"/>
  <c r="AB150" i="1" s="1"/>
  <c r="AC150" i="1" s="1"/>
  <c r="X150" i="1"/>
  <c r="Y150" i="1" s="1"/>
  <c r="V150" i="1"/>
  <c r="W150" i="1" s="1"/>
  <c r="R150" i="1"/>
  <c r="L150" i="1"/>
  <c r="G150" i="1"/>
  <c r="B150" i="1"/>
  <c r="Z149" i="1"/>
  <c r="AB149" i="1" s="1"/>
  <c r="AC149" i="1" s="1"/>
  <c r="X149" i="1"/>
  <c r="Y149" i="1" s="1"/>
  <c r="V149" i="1"/>
  <c r="W149" i="1" s="1"/>
  <c r="R149" i="1"/>
  <c r="L149" i="1"/>
  <c r="G149" i="1"/>
  <c r="B149" i="1"/>
  <c r="Z148" i="1"/>
  <c r="AA148" i="1" s="1"/>
  <c r="X148" i="1"/>
  <c r="Y148" i="1" s="1"/>
  <c r="V148" i="1"/>
  <c r="W148" i="1" s="1"/>
  <c r="R148" i="1"/>
  <c r="L148" i="1"/>
  <c r="G148" i="1"/>
  <c r="B148" i="1"/>
  <c r="Z147" i="1"/>
  <c r="AA147" i="1" s="1"/>
  <c r="X147" i="1"/>
  <c r="Y147" i="1" s="1"/>
  <c r="V147" i="1"/>
  <c r="W147" i="1" s="1"/>
  <c r="R147" i="1"/>
  <c r="L147" i="1"/>
  <c r="G147" i="1"/>
  <c r="B147" i="1"/>
  <c r="Z146" i="1"/>
  <c r="AA146" i="1" s="1"/>
  <c r="X146" i="1"/>
  <c r="Y146" i="1" s="1"/>
  <c r="V146" i="1"/>
  <c r="W146" i="1" s="1"/>
  <c r="R146" i="1"/>
  <c r="L146" i="1"/>
  <c r="G146" i="1"/>
  <c r="B146" i="1"/>
  <c r="Z145" i="1"/>
  <c r="AB145" i="1" s="1"/>
  <c r="AD145" i="1" s="1"/>
  <c r="X145" i="1"/>
  <c r="Y145" i="1" s="1"/>
  <c r="V145" i="1"/>
  <c r="W145" i="1" s="1"/>
  <c r="R145" i="1"/>
  <c r="L145" i="1"/>
  <c r="G145" i="1"/>
  <c r="B145" i="1"/>
  <c r="Z144" i="1"/>
  <c r="AA144" i="1" s="1"/>
  <c r="X144" i="1"/>
  <c r="Y144" i="1" s="1"/>
  <c r="V144" i="1"/>
  <c r="W144" i="1" s="1"/>
  <c r="R144" i="1"/>
  <c r="L144" i="1"/>
  <c r="G144" i="1"/>
  <c r="B144" i="1"/>
  <c r="Z143" i="1"/>
  <c r="AB143" i="1" s="1"/>
  <c r="X143" i="1"/>
  <c r="Y143" i="1" s="1"/>
  <c r="V143" i="1"/>
  <c r="W143" i="1" s="1"/>
  <c r="R143" i="1"/>
  <c r="L143" i="1"/>
  <c r="G143" i="1"/>
  <c r="B143" i="1"/>
  <c r="Z142" i="1"/>
  <c r="AB142" i="1" s="1"/>
  <c r="X142" i="1"/>
  <c r="Y142" i="1" s="1"/>
  <c r="V142" i="1"/>
  <c r="W142" i="1" s="1"/>
  <c r="R142" i="1"/>
  <c r="L142" i="1"/>
  <c r="G142" i="1"/>
  <c r="B142" i="1"/>
  <c r="Z141" i="1"/>
  <c r="AB141" i="1" s="1"/>
  <c r="AD141" i="1" s="1"/>
  <c r="X141" i="1"/>
  <c r="Y141" i="1" s="1"/>
  <c r="V141" i="1"/>
  <c r="W141" i="1" s="1"/>
  <c r="R141" i="1"/>
  <c r="L141" i="1"/>
  <c r="G141" i="1"/>
  <c r="B141" i="1"/>
  <c r="Z140" i="1"/>
  <c r="AA140" i="1" s="1"/>
  <c r="X140" i="1"/>
  <c r="Y140" i="1" s="1"/>
  <c r="V140" i="1"/>
  <c r="W140" i="1" s="1"/>
  <c r="R140" i="1"/>
  <c r="L140" i="1"/>
  <c r="G140" i="1"/>
  <c r="B140" i="1"/>
  <c r="Z139" i="1"/>
  <c r="AB139" i="1" s="1"/>
  <c r="X139" i="1"/>
  <c r="Y139" i="1" s="1"/>
  <c r="V139" i="1"/>
  <c r="W139" i="1" s="1"/>
  <c r="R139" i="1"/>
  <c r="L139" i="1"/>
  <c r="G139" i="1"/>
  <c r="B139" i="1"/>
  <c r="Z138" i="1"/>
  <c r="AB138" i="1" s="1"/>
  <c r="X138" i="1"/>
  <c r="Y138" i="1" s="1"/>
  <c r="V138" i="1"/>
  <c r="W138" i="1" s="1"/>
  <c r="R138" i="1"/>
  <c r="L138" i="1"/>
  <c r="G138" i="1"/>
  <c r="B138" i="1"/>
  <c r="Z137" i="1"/>
  <c r="AB137" i="1" s="1"/>
  <c r="AD137" i="1" s="1"/>
  <c r="X137" i="1"/>
  <c r="Y137" i="1" s="1"/>
  <c r="V137" i="1"/>
  <c r="W137" i="1" s="1"/>
  <c r="R137" i="1"/>
  <c r="L137" i="1"/>
  <c r="G137" i="1"/>
  <c r="B137" i="1"/>
  <c r="Z136" i="1"/>
  <c r="AA136" i="1" s="1"/>
  <c r="X136" i="1"/>
  <c r="Y136" i="1" s="1"/>
  <c r="V136" i="1"/>
  <c r="W136" i="1" s="1"/>
  <c r="R136" i="1"/>
  <c r="L136" i="1"/>
  <c r="G136" i="1"/>
  <c r="B136" i="1"/>
  <c r="Z135" i="1"/>
  <c r="AB135" i="1" s="1"/>
  <c r="AD135" i="1" s="1"/>
  <c r="X135" i="1"/>
  <c r="Y135" i="1" s="1"/>
  <c r="V135" i="1"/>
  <c r="W135" i="1" s="1"/>
  <c r="R135" i="1"/>
  <c r="L135" i="1"/>
  <c r="G135" i="1"/>
  <c r="B135" i="1"/>
  <c r="Z134" i="1"/>
  <c r="AB134" i="1" s="1"/>
  <c r="AC134" i="1" s="1"/>
  <c r="X134" i="1"/>
  <c r="Y134" i="1" s="1"/>
  <c r="V134" i="1"/>
  <c r="W134" i="1" s="1"/>
  <c r="R134" i="1"/>
  <c r="L134" i="1"/>
  <c r="G134" i="1"/>
  <c r="B134" i="1"/>
  <c r="Z133" i="1"/>
  <c r="AB133" i="1" s="1"/>
  <c r="AC133" i="1" s="1"/>
  <c r="X133" i="1"/>
  <c r="Y133" i="1" s="1"/>
  <c r="V133" i="1"/>
  <c r="W133" i="1" s="1"/>
  <c r="R133" i="1"/>
  <c r="L133" i="1"/>
  <c r="G133" i="1"/>
  <c r="B133" i="1"/>
  <c r="Z132" i="1"/>
  <c r="AA132" i="1" s="1"/>
  <c r="X132" i="1"/>
  <c r="Y132" i="1" s="1"/>
  <c r="V132" i="1"/>
  <c r="W132" i="1" s="1"/>
  <c r="R132" i="1"/>
  <c r="L132" i="1"/>
  <c r="G132" i="1"/>
  <c r="B132" i="1"/>
  <c r="Z131" i="1"/>
  <c r="AA131" i="1" s="1"/>
  <c r="X131" i="1"/>
  <c r="Y131" i="1" s="1"/>
  <c r="V131" i="1"/>
  <c r="W131" i="1" s="1"/>
  <c r="R131" i="1"/>
  <c r="L131" i="1"/>
  <c r="G131" i="1"/>
  <c r="B131" i="1"/>
  <c r="Z130" i="1"/>
  <c r="AA130" i="1" s="1"/>
  <c r="X130" i="1"/>
  <c r="Y130" i="1" s="1"/>
  <c r="V130" i="1"/>
  <c r="W130" i="1" s="1"/>
  <c r="R130" i="1"/>
  <c r="L130" i="1"/>
  <c r="G130" i="1"/>
  <c r="B130" i="1"/>
  <c r="Z129" i="1"/>
  <c r="AB129" i="1" s="1"/>
  <c r="AD129" i="1" s="1"/>
  <c r="X129" i="1"/>
  <c r="Y129" i="1" s="1"/>
  <c r="V129" i="1"/>
  <c r="W129" i="1" s="1"/>
  <c r="R129" i="1"/>
  <c r="L129" i="1"/>
  <c r="G129" i="1"/>
  <c r="B129" i="1"/>
  <c r="Z128" i="1"/>
  <c r="AA128" i="1" s="1"/>
  <c r="X128" i="1"/>
  <c r="Y128" i="1" s="1"/>
  <c r="V128" i="1"/>
  <c r="W128" i="1" s="1"/>
  <c r="R128" i="1"/>
  <c r="L128" i="1"/>
  <c r="G128" i="1"/>
  <c r="B128" i="1"/>
  <c r="Z127" i="1"/>
  <c r="AB127" i="1" s="1"/>
  <c r="X127" i="1"/>
  <c r="Y127" i="1" s="1"/>
  <c r="V127" i="1"/>
  <c r="W127" i="1" s="1"/>
  <c r="R127" i="1"/>
  <c r="L127" i="1"/>
  <c r="G127" i="1"/>
  <c r="B127" i="1"/>
  <c r="Z126" i="1"/>
  <c r="X126" i="1"/>
  <c r="Y126" i="1" s="1"/>
  <c r="V126" i="1"/>
  <c r="W126" i="1" s="1"/>
  <c r="R126" i="1"/>
  <c r="L126" i="1"/>
  <c r="G126" i="1"/>
  <c r="B126" i="1"/>
  <c r="Z125" i="1"/>
  <c r="AB125" i="1" s="1"/>
  <c r="X125" i="1"/>
  <c r="Y125" i="1" s="1"/>
  <c r="V125" i="1"/>
  <c r="W125" i="1" s="1"/>
  <c r="R125" i="1"/>
  <c r="L125" i="1"/>
  <c r="G125" i="1"/>
  <c r="B125" i="1"/>
  <c r="Z124" i="1"/>
  <c r="AA124" i="1" s="1"/>
  <c r="X124" i="1"/>
  <c r="Y124" i="1" s="1"/>
  <c r="V124" i="1"/>
  <c r="W124" i="1" s="1"/>
  <c r="R124" i="1"/>
  <c r="L124" i="1"/>
  <c r="G124" i="1"/>
  <c r="B124" i="1"/>
  <c r="Z123" i="1"/>
  <c r="X123" i="1"/>
  <c r="Y123" i="1" s="1"/>
  <c r="V123" i="1"/>
  <c r="W123" i="1" s="1"/>
  <c r="R123" i="1"/>
  <c r="L123" i="1"/>
  <c r="G123" i="1"/>
  <c r="B123" i="1"/>
  <c r="Z122" i="1"/>
  <c r="AB122" i="1" s="1"/>
  <c r="X122" i="1"/>
  <c r="Y122" i="1" s="1"/>
  <c r="V122" i="1"/>
  <c r="W122" i="1" s="1"/>
  <c r="R122" i="1"/>
  <c r="L122" i="1"/>
  <c r="G122" i="1"/>
  <c r="B122" i="1"/>
  <c r="Z121" i="1"/>
  <c r="AB121" i="1" s="1"/>
  <c r="AC121" i="1" s="1"/>
  <c r="X121" i="1"/>
  <c r="Y121" i="1" s="1"/>
  <c r="V121" i="1"/>
  <c r="W121" i="1" s="1"/>
  <c r="R121" i="1"/>
  <c r="L121" i="1"/>
  <c r="G121" i="1"/>
  <c r="B121" i="1"/>
  <c r="Z120" i="1"/>
  <c r="AA120" i="1" s="1"/>
  <c r="X120" i="1"/>
  <c r="Y120" i="1" s="1"/>
  <c r="V120" i="1"/>
  <c r="W120" i="1" s="1"/>
  <c r="R120" i="1"/>
  <c r="L120" i="1"/>
  <c r="G120" i="1"/>
  <c r="B120" i="1"/>
  <c r="Z119" i="1"/>
  <c r="AB119" i="1" s="1"/>
  <c r="X119" i="1"/>
  <c r="Y119" i="1" s="1"/>
  <c r="V119" i="1"/>
  <c r="W119" i="1" s="1"/>
  <c r="R119" i="1"/>
  <c r="L119" i="1"/>
  <c r="G119" i="1"/>
  <c r="B119" i="1"/>
  <c r="Z118" i="1"/>
  <c r="AB118" i="1" s="1"/>
  <c r="X118" i="1"/>
  <c r="Y118" i="1" s="1"/>
  <c r="V118" i="1"/>
  <c r="W118" i="1" s="1"/>
  <c r="R118" i="1"/>
  <c r="L118" i="1"/>
  <c r="G118" i="1"/>
  <c r="B118" i="1"/>
  <c r="Z117" i="1"/>
  <c r="AB117" i="1" s="1"/>
  <c r="AC117" i="1" s="1"/>
  <c r="X117" i="1"/>
  <c r="Y117" i="1" s="1"/>
  <c r="V117" i="1"/>
  <c r="W117" i="1" s="1"/>
  <c r="R117" i="1"/>
  <c r="L117" i="1"/>
  <c r="G117" i="1"/>
  <c r="B117" i="1"/>
  <c r="Z116" i="1"/>
  <c r="AA116" i="1" s="1"/>
  <c r="X116" i="1"/>
  <c r="Y116" i="1" s="1"/>
  <c r="V116" i="1"/>
  <c r="W116" i="1" s="1"/>
  <c r="R116" i="1"/>
  <c r="L116" i="1"/>
  <c r="G116" i="1"/>
  <c r="B116" i="1"/>
  <c r="Z115" i="1"/>
  <c r="AB115" i="1" s="1"/>
  <c r="AD115" i="1" s="1"/>
  <c r="X115" i="1"/>
  <c r="Y115" i="1" s="1"/>
  <c r="V115" i="1"/>
  <c r="W115" i="1" s="1"/>
  <c r="R115" i="1"/>
  <c r="L115" i="1"/>
  <c r="G115" i="1"/>
  <c r="B115" i="1"/>
  <c r="Z114" i="1"/>
  <c r="AB114" i="1" s="1"/>
  <c r="X114" i="1"/>
  <c r="Y114" i="1" s="1"/>
  <c r="V114" i="1"/>
  <c r="W114" i="1" s="1"/>
  <c r="R114" i="1"/>
  <c r="L114" i="1"/>
  <c r="G114" i="1"/>
  <c r="B114" i="1"/>
  <c r="Z113" i="1"/>
  <c r="AB113" i="1" s="1"/>
  <c r="AC113" i="1" s="1"/>
  <c r="X113" i="1"/>
  <c r="Y113" i="1" s="1"/>
  <c r="V113" i="1"/>
  <c r="W113" i="1" s="1"/>
  <c r="R113" i="1"/>
  <c r="L113" i="1"/>
  <c r="G113" i="1"/>
  <c r="B113" i="1"/>
  <c r="Z112" i="1"/>
  <c r="AA112" i="1" s="1"/>
  <c r="X112" i="1"/>
  <c r="Y112" i="1" s="1"/>
  <c r="V112" i="1"/>
  <c r="W112" i="1" s="1"/>
  <c r="R112" i="1"/>
  <c r="L112" i="1"/>
  <c r="G112" i="1"/>
  <c r="B112" i="1"/>
  <c r="Z111" i="1"/>
  <c r="AB111" i="1" s="1"/>
  <c r="X111" i="1"/>
  <c r="Y111" i="1" s="1"/>
  <c r="V111" i="1"/>
  <c r="W111" i="1" s="1"/>
  <c r="R111" i="1"/>
  <c r="L111" i="1"/>
  <c r="G111" i="1"/>
  <c r="B111" i="1"/>
  <c r="Z110" i="1"/>
  <c r="X110" i="1"/>
  <c r="Y110" i="1" s="1"/>
  <c r="V110" i="1"/>
  <c r="W110" i="1" s="1"/>
  <c r="R110" i="1"/>
  <c r="L110" i="1"/>
  <c r="G110" i="1"/>
  <c r="B110" i="1"/>
  <c r="Z109" i="1"/>
  <c r="AB109" i="1" s="1"/>
  <c r="X109" i="1"/>
  <c r="Y109" i="1" s="1"/>
  <c r="V109" i="1"/>
  <c r="W109" i="1" s="1"/>
  <c r="R109" i="1"/>
  <c r="L109" i="1"/>
  <c r="G109" i="1"/>
  <c r="B109" i="1"/>
  <c r="Z108" i="1"/>
  <c r="AA108" i="1" s="1"/>
  <c r="X108" i="1"/>
  <c r="Y108" i="1" s="1"/>
  <c r="V108" i="1"/>
  <c r="W108" i="1" s="1"/>
  <c r="R108" i="1"/>
  <c r="L108" i="1"/>
  <c r="G108" i="1"/>
  <c r="B108" i="1"/>
  <c r="Z107" i="1"/>
  <c r="X107" i="1"/>
  <c r="Y107" i="1" s="1"/>
  <c r="V107" i="1"/>
  <c r="W107" i="1" s="1"/>
  <c r="R107" i="1"/>
  <c r="L107" i="1"/>
  <c r="G107" i="1"/>
  <c r="B107" i="1"/>
  <c r="Z106" i="1"/>
  <c r="AB106" i="1" s="1"/>
  <c r="X106" i="1"/>
  <c r="Y106" i="1" s="1"/>
  <c r="V106" i="1"/>
  <c r="W106" i="1" s="1"/>
  <c r="R106" i="1"/>
  <c r="L106" i="1"/>
  <c r="G106" i="1"/>
  <c r="B106" i="1"/>
  <c r="Z105" i="1"/>
  <c r="AB105" i="1" s="1"/>
  <c r="AC105" i="1" s="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Z102" i="1"/>
  <c r="AB102" i="1" s="1"/>
  <c r="X102" i="1"/>
  <c r="Y102" i="1" s="1"/>
  <c r="V102" i="1"/>
  <c r="W102" i="1" s="1"/>
  <c r="R102" i="1"/>
  <c r="L102" i="1"/>
  <c r="G102" i="1"/>
  <c r="B102" i="1"/>
  <c r="Z101" i="1"/>
  <c r="X101" i="1"/>
  <c r="Y101" i="1" s="1"/>
  <c r="V101" i="1"/>
  <c r="W101" i="1" s="1"/>
  <c r="R101" i="1"/>
  <c r="L101" i="1"/>
  <c r="G101" i="1"/>
  <c r="B101" i="1"/>
  <c r="Z100" i="1"/>
  <c r="AA100" i="1" s="1"/>
  <c r="X100" i="1"/>
  <c r="Y100" i="1" s="1"/>
  <c r="V100" i="1"/>
  <c r="W100" i="1" s="1"/>
  <c r="R100" i="1"/>
  <c r="L100" i="1"/>
  <c r="G100" i="1"/>
  <c r="B100" i="1"/>
  <c r="Z99" i="1"/>
  <c r="AB99" i="1" s="1"/>
  <c r="AD99" i="1" s="1"/>
  <c r="X99" i="1"/>
  <c r="Y99" i="1" s="1"/>
  <c r="V99" i="1"/>
  <c r="W99" i="1" s="1"/>
  <c r="R99" i="1"/>
  <c r="L99" i="1"/>
  <c r="G99" i="1"/>
  <c r="B99" i="1"/>
  <c r="Z98" i="1"/>
  <c r="AA98" i="1" s="1"/>
  <c r="X98" i="1"/>
  <c r="Y98" i="1" s="1"/>
  <c r="V98" i="1"/>
  <c r="W98" i="1" s="1"/>
  <c r="R98" i="1"/>
  <c r="L98" i="1"/>
  <c r="G98" i="1"/>
  <c r="B98" i="1"/>
  <c r="Z97" i="1"/>
  <c r="AB97" i="1" s="1"/>
  <c r="X97" i="1"/>
  <c r="Y97" i="1" s="1"/>
  <c r="V97" i="1"/>
  <c r="W97" i="1" s="1"/>
  <c r="R97" i="1"/>
  <c r="L97" i="1"/>
  <c r="G97" i="1"/>
  <c r="B97" i="1"/>
  <c r="Z96" i="1"/>
  <c r="AB96" i="1" s="1"/>
  <c r="X96" i="1"/>
  <c r="Y96" i="1" s="1"/>
  <c r="V96" i="1"/>
  <c r="W96" i="1" s="1"/>
  <c r="R96" i="1"/>
  <c r="L96" i="1"/>
  <c r="G96" i="1"/>
  <c r="B96" i="1"/>
  <c r="Z95" i="1"/>
  <c r="AA95" i="1" s="1"/>
  <c r="X95" i="1"/>
  <c r="Y95" i="1" s="1"/>
  <c r="V95" i="1"/>
  <c r="W95" i="1" s="1"/>
  <c r="R95" i="1"/>
  <c r="L95" i="1"/>
  <c r="G95" i="1"/>
  <c r="B95" i="1"/>
  <c r="Z94" i="1"/>
  <c r="AA94" i="1" s="1"/>
  <c r="X94" i="1"/>
  <c r="Y94" i="1" s="1"/>
  <c r="V94" i="1"/>
  <c r="W94" i="1" s="1"/>
  <c r="R94" i="1"/>
  <c r="L94" i="1"/>
  <c r="G94" i="1"/>
  <c r="B94" i="1"/>
  <c r="Z93" i="1"/>
  <c r="AB93" i="1" s="1"/>
  <c r="X93" i="1"/>
  <c r="Y93" i="1" s="1"/>
  <c r="V93" i="1"/>
  <c r="W93" i="1" s="1"/>
  <c r="R93" i="1"/>
  <c r="L93" i="1"/>
  <c r="G93" i="1"/>
  <c r="B93" i="1"/>
  <c r="Z92" i="1"/>
  <c r="AB92" i="1" s="1"/>
  <c r="X92" i="1"/>
  <c r="Y92" i="1" s="1"/>
  <c r="V92" i="1"/>
  <c r="W92" i="1" s="1"/>
  <c r="R92" i="1"/>
  <c r="L92" i="1"/>
  <c r="G92" i="1"/>
  <c r="B92" i="1"/>
  <c r="Z91" i="1"/>
  <c r="AB91" i="1" s="1"/>
  <c r="X91" i="1"/>
  <c r="Y91" i="1" s="1"/>
  <c r="V91" i="1"/>
  <c r="W91" i="1" s="1"/>
  <c r="R91" i="1"/>
  <c r="L91" i="1"/>
  <c r="G91" i="1"/>
  <c r="B91" i="1"/>
  <c r="Z90" i="1"/>
  <c r="AA90" i="1" s="1"/>
  <c r="X90" i="1"/>
  <c r="Y90" i="1" s="1"/>
  <c r="V90" i="1"/>
  <c r="W90" i="1" s="1"/>
  <c r="R90" i="1"/>
  <c r="L90" i="1"/>
  <c r="G90" i="1"/>
  <c r="B90" i="1"/>
  <c r="Z89" i="1"/>
  <c r="AB89" i="1" s="1"/>
  <c r="X89" i="1"/>
  <c r="Y89" i="1" s="1"/>
  <c r="V89" i="1"/>
  <c r="W89" i="1" s="1"/>
  <c r="R89" i="1"/>
  <c r="L89" i="1"/>
  <c r="G89" i="1"/>
  <c r="B89" i="1"/>
  <c r="Z88" i="1"/>
  <c r="AB88" i="1" s="1"/>
  <c r="X88" i="1"/>
  <c r="Y88" i="1" s="1"/>
  <c r="V88" i="1"/>
  <c r="W88" i="1" s="1"/>
  <c r="R88" i="1"/>
  <c r="L88" i="1"/>
  <c r="G88" i="1"/>
  <c r="B88" i="1"/>
  <c r="Z87" i="1"/>
  <c r="AB87" i="1" s="1"/>
  <c r="X87" i="1"/>
  <c r="Y87" i="1" s="1"/>
  <c r="V87" i="1"/>
  <c r="W87" i="1" s="1"/>
  <c r="R87" i="1"/>
  <c r="L87" i="1"/>
  <c r="G87" i="1"/>
  <c r="B87" i="1"/>
  <c r="Z86" i="1"/>
  <c r="AA86" i="1" s="1"/>
  <c r="X86" i="1"/>
  <c r="Y86" i="1" s="1"/>
  <c r="V86" i="1"/>
  <c r="W86" i="1" s="1"/>
  <c r="R86" i="1"/>
  <c r="L86" i="1"/>
  <c r="G86" i="1"/>
  <c r="B86" i="1"/>
  <c r="Z85" i="1"/>
  <c r="AB85" i="1" s="1"/>
  <c r="X85" i="1"/>
  <c r="Y85" i="1" s="1"/>
  <c r="V85" i="1"/>
  <c r="W85" i="1" s="1"/>
  <c r="R85" i="1"/>
  <c r="L85" i="1"/>
  <c r="G85" i="1"/>
  <c r="B85" i="1"/>
  <c r="Z84" i="1"/>
  <c r="AB84" i="1" s="1"/>
  <c r="X84" i="1"/>
  <c r="Y84" i="1" s="1"/>
  <c r="V84" i="1"/>
  <c r="W84" i="1" s="1"/>
  <c r="R84" i="1"/>
  <c r="L84" i="1"/>
  <c r="G84" i="1"/>
  <c r="B84" i="1"/>
  <c r="Z83" i="1"/>
  <c r="AB83" i="1" s="1"/>
  <c r="AD83" i="1" s="1"/>
  <c r="X83" i="1"/>
  <c r="Y83" i="1" s="1"/>
  <c r="V83" i="1"/>
  <c r="W83" i="1" s="1"/>
  <c r="R83" i="1"/>
  <c r="L83" i="1"/>
  <c r="G83" i="1"/>
  <c r="B83" i="1"/>
  <c r="Z82" i="1"/>
  <c r="AA82" i="1" s="1"/>
  <c r="X82" i="1"/>
  <c r="Y82" i="1" s="1"/>
  <c r="V82" i="1"/>
  <c r="W82" i="1" s="1"/>
  <c r="R82" i="1"/>
  <c r="L82" i="1"/>
  <c r="G82" i="1"/>
  <c r="B82" i="1"/>
  <c r="Z81" i="1"/>
  <c r="AB81" i="1" s="1"/>
  <c r="X81" i="1"/>
  <c r="Y81" i="1" s="1"/>
  <c r="V81" i="1"/>
  <c r="W81" i="1" s="1"/>
  <c r="R81" i="1"/>
  <c r="L81" i="1"/>
  <c r="G81" i="1"/>
  <c r="B81" i="1"/>
  <c r="Z80" i="1"/>
  <c r="AB80" i="1" s="1"/>
  <c r="X80" i="1"/>
  <c r="Y80" i="1" s="1"/>
  <c r="V80" i="1"/>
  <c r="W80" i="1" s="1"/>
  <c r="R80" i="1"/>
  <c r="L80" i="1"/>
  <c r="G80" i="1"/>
  <c r="B80" i="1"/>
  <c r="Z79" i="1"/>
  <c r="AA79" i="1" s="1"/>
  <c r="X79" i="1"/>
  <c r="Y79" i="1" s="1"/>
  <c r="V79" i="1"/>
  <c r="W79" i="1" s="1"/>
  <c r="R79" i="1"/>
  <c r="L79" i="1"/>
  <c r="G79" i="1"/>
  <c r="B79" i="1"/>
  <c r="Z78" i="1"/>
  <c r="AA78" i="1" s="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AB75" i="1" s="1"/>
  <c r="X75" i="1"/>
  <c r="Y75" i="1" s="1"/>
  <c r="V75" i="1"/>
  <c r="W75" i="1" s="1"/>
  <c r="R75" i="1"/>
  <c r="L75" i="1"/>
  <c r="G75" i="1"/>
  <c r="B75" i="1"/>
  <c r="Z74" i="1"/>
  <c r="AA74" i="1" s="1"/>
  <c r="X74" i="1"/>
  <c r="Y74" i="1" s="1"/>
  <c r="V74" i="1"/>
  <c r="W74" i="1" s="1"/>
  <c r="R74" i="1"/>
  <c r="L74" i="1"/>
  <c r="G74" i="1"/>
  <c r="B74" i="1"/>
  <c r="Z73" i="1"/>
  <c r="AB73" i="1" s="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A70" i="1" s="1"/>
  <c r="X70" i="1"/>
  <c r="Y70" i="1" s="1"/>
  <c r="V70" i="1"/>
  <c r="W70" i="1" s="1"/>
  <c r="R70" i="1"/>
  <c r="L70" i="1"/>
  <c r="G70" i="1"/>
  <c r="B70" i="1"/>
  <c r="Z69" i="1"/>
  <c r="AB69" i="1" s="1"/>
  <c r="X69" i="1"/>
  <c r="Y69" i="1" s="1"/>
  <c r="V69" i="1"/>
  <c r="W69" i="1" s="1"/>
  <c r="R69" i="1"/>
  <c r="L69" i="1"/>
  <c r="G69" i="1"/>
  <c r="B69" i="1"/>
  <c r="Z68" i="1"/>
  <c r="AB68" i="1" s="1"/>
  <c r="X68" i="1"/>
  <c r="Y68" i="1" s="1"/>
  <c r="V68" i="1"/>
  <c r="W68" i="1" s="1"/>
  <c r="R68" i="1"/>
  <c r="L68" i="1"/>
  <c r="G68" i="1"/>
  <c r="B68" i="1"/>
  <c r="Z67" i="1"/>
  <c r="AB67" i="1" s="1"/>
  <c r="AD67" i="1" s="1"/>
  <c r="X67" i="1"/>
  <c r="Y67" i="1" s="1"/>
  <c r="V67" i="1"/>
  <c r="W67" i="1" s="1"/>
  <c r="R67" i="1"/>
  <c r="L67" i="1"/>
  <c r="G67" i="1"/>
  <c r="B67" i="1"/>
  <c r="Z66" i="1"/>
  <c r="AA66" i="1" s="1"/>
  <c r="X66" i="1"/>
  <c r="Y66" i="1" s="1"/>
  <c r="V66" i="1"/>
  <c r="W66" i="1" s="1"/>
  <c r="R66" i="1"/>
  <c r="L66" i="1"/>
  <c r="G66" i="1"/>
  <c r="B66" i="1"/>
  <c r="Z65" i="1"/>
  <c r="AB65" i="1" s="1"/>
  <c r="X65" i="1"/>
  <c r="Y65" i="1" s="1"/>
  <c r="V65" i="1"/>
  <c r="W65" i="1" s="1"/>
  <c r="R65" i="1"/>
  <c r="L65" i="1"/>
  <c r="G65" i="1"/>
  <c r="B65" i="1"/>
  <c r="Z64" i="1"/>
  <c r="AB64" i="1" s="1"/>
  <c r="X64" i="1"/>
  <c r="Y64" i="1" s="1"/>
  <c r="V64" i="1"/>
  <c r="W64" i="1" s="1"/>
  <c r="R64" i="1"/>
  <c r="L64" i="1"/>
  <c r="G64" i="1"/>
  <c r="B64" i="1"/>
  <c r="Z63" i="1"/>
  <c r="AA63" i="1" s="1"/>
  <c r="X63" i="1"/>
  <c r="Y63" i="1" s="1"/>
  <c r="V63" i="1"/>
  <c r="W63" i="1" s="1"/>
  <c r="R63" i="1"/>
  <c r="L63" i="1"/>
  <c r="G63" i="1"/>
  <c r="B63" i="1"/>
  <c r="Z62" i="1"/>
  <c r="AA62" i="1" s="1"/>
  <c r="X62" i="1"/>
  <c r="Y62" i="1" s="1"/>
  <c r="V62" i="1"/>
  <c r="W62" i="1" s="1"/>
  <c r="R62" i="1"/>
  <c r="L62" i="1"/>
  <c r="G62" i="1"/>
  <c r="B62" i="1"/>
  <c r="Z61" i="1"/>
  <c r="AB61" i="1" s="1"/>
  <c r="X61" i="1"/>
  <c r="Y61" i="1" s="1"/>
  <c r="V61" i="1"/>
  <c r="W61" i="1" s="1"/>
  <c r="R61" i="1"/>
  <c r="L61" i="1"/>
  <c r="G61" i="1"/>
  <c r="B61" i="1"/>
  <c r="Z60" i="1"/>
  <c r="AB60" i="1" s="1"/>
  <c r="X60" i="1"/>
  <c r="Y60" i="1" s="1"/>
  <c r="V60" i="1"/>
  <c r="W60" i="1" s="1"/>
  <c r="R60" i="1"/>
  <c r="L60" i="1"/>
  <c r="G60" i="1"/>
  <c r="B60" i="1"/>
  <c r="Z59" i="1"/>
  <c r="AB59" i="1" s="1"/>
  <c r="X59" i="1"/>
  <c r="Y59" i="1" s="1"/>
  <c r="V59" i="1"/>
  <c r="W59" i="1" s="1"/>
  <c r="R59" i="1"/>
  <c r="L59" i="1"/>
  <c r="G59" i="1"/>
  <c r="B59" i="1"/>
  <c r="Z58" i="1"/>
  <c r="AA58" i="1" s="1"/>
  <c r="X58" i="1"/>
  <c r="Y58" i="1" s="1"/>
  <c r="V58" i="1"/>
  <c r="W58" i="1" s="1"/>
  <c r="R58" i="1"/>
  <c r="L58" i="1"/>
  <c r="G58" i="1"/>
  <c r="B58" i="1"/>
  <c r="Z57" i="1"/>
  <c r="AB57" i="1" s="1"/>
  <c r="X57" i="1"/>
  <c r="Y57" i="1" s="1"/>
  <c r="V57" i="1"/>
  <c r="W57" i="1" s="1"/>
  <c r="R57" i="1"/>
  <c r="L57" i="1"/>
  <c r="G57" i="1"/>
  <c r="B57" i="1"/>
  <c r="Z56" i="1"/>
  <c r="X56" i="1"/>
  <c r="Y56" i="1" s="1"/>
  <c r="V56" i="1"/>
  <c r="W56" i="1" s="1"/>
  <c r="R56" i="1"/>
  <c r="L56" i="1"/>
  <c r="G56" i="1"/>
  <c r="B56" i="1"/>
  <c r="Z55" i="1"/>
  <c r="AB55" i="1" s="1"/>
  <c r="X55" i="1"/>
  <c r="Y55" i="1" s="1"/>
  <c r="V55" i="1"/>
  <c r="W55" i="1" s="1"/>
  <c r="R55" i="1"/>
  <c r="L55" i="1"/>
  <c r="G55" i="1"/>
  <c r="B55" i="1"/>
  <c r="Z54" i="1"/>
  <c r="AA54" i="1" s="1"/>
  <c r="X54" i="1"/>
  <c r="Y54" i="1" s="1"/>
  <c r="V54" i="1"/>
  <c r="W54" i="1" s="1"/>
  <c r="R54" i="1"/>
  <c r="L54" i="1"/>
  <c r="G54" i="1"/>
  <c r="B54" i="1"/>
  <c r="Z53" i="1"/>
  <c r="AB53" i="1" s="1"/>
  <c r="X53" i="1"/>
  <c r="Y53" i="1" s="1"/>
  <c r="V53" i="1"/>
  <c r="W53" i="1" s="1"/>
  <c r="R53" i="1"/>
  <c r="L53" i="1"/>
  <c r="G53" i="1"/>
  <c r="B53" i="1"/>
  <c r="Z52" i="1"/>
  <c r="X52" i="1"/>
  <c r="Y52" i="1" s="1"/>
  <c r="V52" i="1"/>
  <c r="W52" i="1" s="1"/>
  <c r="R52" i="1"/>
  <c r="L52" i="1"/>
  <c r="G52" i="1"/>
  <c r="B52" i="1"/>
  <c r="Z51" i="1"/>
  <c r="AB51" i="1" s="1"/>
  <c r="AD51" i="1" s="1"/>
  <c r="X51" i="1"/>
  <c r="Y51" i="1" s="1"/>
  <c r="V51" i="1"/>
  <c r="W51" i="1" s="1"/>
  <c r="R51" i="1"/>
  <c r="L51" i="1"/>
  <c r="G51" i="1"/>
  <c r="B51" i="1"/>
  <c r="Z50" i="1"/>
  <c r="AA50" i="1" s="1"/>
  <c r="X50" i="1"/>
  <c r="Y50" i="1" s="1"/>
  <c r="V50" i="1"/>
  <c r="W50" i="1" s="1"/>
  <c r="R50" i="1"/>
  <c r="L50" i="1"/>
  <c r="G50" i="1"/>
  <c r="B50" i="1"/>
  <c r="Z49" i="1"/>
  <c r="AB49" i="1" s="1"/>
  <c r="X49" i="1"/>
  <c r="Y49" i="1" s="1"/>
  <c r="V49" i="1"/>
  <c r="W49" i="1" s="1"/>
  <c r="R49" i="1"/>
  <c r="L49" i="1"/>
  <c r="G49" i="1"/>
  <c r="B49" i="1"/>
  <c r="Z48" i="1"/>
  <c r="X48" i="1"/>
  <c r="Y48" i="1" s="1"/>
  <c r="V48" i="1"/>
  <c r="W48" i="1" s="1"/>
  <c r="R48" i="1"/>
  <c r="L48" i="1"/>
  <c r="G48" i="1"/>
  <c r="B48" i="1"/>
  <c r="Z47" i="1"/>
  <c r="AB47" i="1" s="1"/>
  <c r="AD47" i="1" s="1"/>
  <c r="X47" i="1"/>
  <c r="Y47" i="1" s="1"/>
  <c r="V47" i="1"/>
  <c r="W47" i="1" s="1"/>
  <c r="R47" i="1"/>
  <c r="L47" i="1"/>
  <c r="G47" i="1"/>
  <c r="B47" i="1"/>
  <c r="Z46" i="1"/>
  <c r="AA46" i="1" s="1"/>
  <c r="X46" i="1"/>
  <c r="Y46" i="1" s="1"/>
  <c r="V46" i="1"/>
  <c r="W46" i="1" s="1"/>
  <c r="R46" i="1"/>
  <c r="L46" i="1"/>
  <c r="G46" i="1"/>
  <c r="B46" i="1"/>
  <c r="Z45" i="1"/>
  <c r="AB45" i="1" s="1"/>
  <c r="X45" i="1"/>
  <c r="Y45" i="1" s="1"/>
  <c r="V45" i="1"/>
  <c r="W45" i="1" s="1"/>
  <c r="R45" i="1"/>
  <c r="L45" i="1"/>
  <c r="G45" i="1"/>
  <c r="B45" i="1"/>
  <c r="Z44" i="1"/>
  <c r="X44" i="1"/>
  <c r="Y44" i="1" s="1"/>
  <c r="V44" i="1"/>
  <c r="W44" i="1" s="1"/>
  <c r="R44" i="1"/>
  <c r="L44" i="1"/>
  <c r="G44" i="1"/>
  <c r="B44" i="1"/>
  <c r="Z43" i="1"/>
  <c r="AB43" i="1" s="1"/>
  <c r="X43" i="1"/>
  <c r="Y43" i="1" s="1"/>
  <c r="V43" i="1"/>
  <c r="W43" i="1" s="1"/>
  <c r="R43" i="1"/>
  <c r="L43" i="1"/>
  <c r="G43" i="1"/>
  <c r="B43" i="1"/>
  <c r="Z42" i="1"/>
  <c r="AA42" i="1" s="1"/>
  <c r="X42" i="1"/>
  <c r="Y42" i="1" s="1"/>
  <c r="V42" i="1"/>
  <c r="W42" i="1" s="1"/>
  <c r="R42" i="1"/>
  <c r="L42" i="1"/>
  <c r="G42" i="1"/>
  <c r="B42" i="1"/>
  <c r="Z41" i="1"/>
  <c r="AB41" i="1" s="1"/>
  <c r="X41" i="1"/>
  <c r="Y41" i="1" s="1"/>
  <c r="V41" i="1"/>
  <c r="W41" i="1" s="1"/>
  <c r="R41" i="1"/>
  <c r="L41" i="1"/>
  <c r="G41" i="1"/>
  <c r="B41" i="1"/>
  <c r="Z40" i="1"/>
  <c r="X40" i="1"/>
  <c r="Y40" i="1" s="1"/>
  <c r="V40" i="1"/>
  <c r="W40" i="1" s="1"/>
  <c r="R40" i="1"/>
  <c r="L40" i="1"/>
  <c r="G40" i="1"/>
  <c r="B40" i="1"/>
  <c r="Z39" i="1"/>
  <c r="AB39" i="1" s="1"/>
  <c r="X39" i="1"/>
  <c r="Y39" i="1" s="1"/>
  <c r="V39" i="1"/>
  <c r="W39" i="1" s="1"/>
  <c r="R39" i="1"/>
  <c r="L39" i="1"/>
  <c r="G39" i="1"/>
  <c r="B39" i="1"/>
  <c r="Z38" i="1"/>
  <c r="AA38" i="1" s="1"/>
  <c r="X38" i="1"/>
  <c r="Y38" i="1" s="1"/>
  <c r="V38" i="1"/>
  <c r="W38" i="1" s="1"/>
  <c r="R38" i="1"/>
  <c r="L38" i="1"/>
  <c r="G38" i="1"/>
  <c r="B38" i="1"/>
  <c r="Z37" i="1"/>
  <c r="AB37" i="1" s="1"/>
  <c r="X37" i="1"/>
  <c r="Y37" i="1" s="1"/>
  <c r="V37" i="1"/>
  <c r="W37" i="1" s="1"/>
  <c r="R37" i="1"/>
  <c r="L37" i="1"/>
  <c r="G37" i="1"/>
  <c r="B37" i="1"/>
  <c r="Z36" i="1"/>
  <c r="X36" i="1"/>
  <c r="Y36" i="1" s="1"/>
  <c r="V36" i="1"/>
  <c r="W36" i="1" s="1"/>
  <c r="R36" i="1"/>
  <c r="L36" i="1"/>
  <c r="G36" i="1"/>
  <c r="B36" i="1"/>
  <c r="Z35" i="1"/>
  <c r="AA35" i="1" s="1"/>
  <c r="X35" i="1"/>
  <c r="Y35" i="1" s="1"/>
  <c r="V35" i="1"/>
  <c r="W35" i="1" s="1"/>
  <c r="R35" i="1"/>
  <c r="L35" i="1"/>
  <c r="G35" i="1"/>
  <c r="B35" i="1"/>
  <c r="Z34" i="1"/>
  <c r="AA34" i="1" s="1"/>
  <c r="X34" i="1"/>
  <c r="Y34" i="1" s="1"/>
  <c r="V34" i="1"/>
  <c r="W34" i="1" s="1"/>
  <c r="R34" i="1"/>
  <c r="L34" i="1"/>
  <c r="G34" i="1"/>
  <c r="B34" i="1"/>
  <c r="Z33" i="1"/>
  <c r="AB33" i="1" s="1"/>
  <c r="X33" i="1"/>
  <c r="Y33" i="1" s="1"/>
  <c r="V33" i="1"/>
  <c r="W33" i="1" s="1"/>
  <c r="R33" i="1"/>
  <c r="L33" i="1"/>
  <c r="G33" i="1"/>
  <c r="B33" i="1"/>
  <c r="Z32" i="1"/>
  <c r="X32" i="1"/>
  <c r="Y32" i="1" s="1"/>
  <c r="V32" i="1"/>
  <c r="W32" i="1" s="1"/>
  <c r="R32" i="1"/>
  <c r="L32" i="1"/>
  <c r="G32" i="1"/>
  <c r="B32" i="1"/>
  <c r="Z31" i="1"/>
  <c r="AB31" i="1" s="1"/>
  <c r="X31" i="1"/>
  <c r="Y31" i="1" s="1"/>
  <c r="V31" i="1"/>
  <c r="W31" i="1" s="1"/>
  <c r="R31" i="1"/>
  <c r="L31" i="1"/>
  <c r="G31" i="1"/>
  <c r="B31" i="1"/>
  <c r="Z30" i="1"/>
  <c r="AA30" i="1" s="1"/>
  <c r="X30" i="1"/>
  <c r="Y30" i="1" s="1"/>
  <c r="V30" i="1"/>
  <c r="W30" i="1" s="1"/>
  <c r="R30" i="1"/>
  <c r="L30" i="1"/>
  <c r="G30" i="1"/>
  <c r="B30" i="1"/>
  <c r="Z29" i="1"/>
  <c r="AB29" i="1" s="1"/>
  <c r="X29" i="1"/>
  <c r="Y29" i="1" s="1"/>
  <c r="V29" i="1"/>
  <c r="W29" i="1" s="1"/>
  <c r="R29" i="1"/>
  <c r="L29" i="1"/>
  <c r="G29" i="1"/>
  <c r="B29" i="1"/>
  <c r="Z28" i="1"/>
  <c r="X28" i="1"/>
  <c r="Y28" i="1" s="1"/>
  <c r="V28" i="1"/>
  <c r="W28" i="1" s="1"/>
  <c r="R28" i="1"/>
  <c r="L28" i="1"/>
  <c r="G28" i="1"/>
  <c r="B28" i="1"/>
  <c r="Z27" i="1"/>
  <c r="AB27" i="1" s="1"/>
  <c r="X27" i="1"/>
  <c r="Y27" i="1" s="1"/>
  <c r="V27" i="1"/>
  <c r="W27" i="1" s="1"/>
  <c r="R27" i="1"/>
  <c r="L27" i="1"/>
  <c r="G27" i="1"/>
  <c r="B27" i="1"/>
  <c r="Z26" i="1"/>
  <c r="AA26" i="1" s="1"/>
  <c r="X26" i="1"/>
  <c r="Y26" i="1" s="1"/>
  <c r="V26" i="1"/>
  <c r="W26" i="1" s="1"/>
  <c r="R26" i="1"/>
  <c r="L26" i="1"/>
  <c r="G26" i="1"/>
  <c r="B26" i="1"/>
  <c r="Z25" i="1"/>
  <c r="AB25" i="1" s="1"/>
  <c r="X25" i="1"/>
  <c r="Y25" i="1" s="1"/>
  <c r="V25" i="1"/>
  <c r="W25" i="1" s="1"/>
  <c r="R25" i="1"/>
  <c r="L25" i="1"/>
  <c r="G25" i="1"/>
  <c r="B25" i="1"/>
  <c r="Z24" i="1"/>
  <c r="X24" i="1"/>
  <c r="Y24" i="1" s="1"/>
  <c r="V24" i="1"/>
  <c r="W24" i="1" s="1"/>
  <c r="R24" i="1"/>
  <c r="L24" i="1"/>
  <c r="G24" i="1"/>
  <c r="B24" i="1"/>
  <c r="Z23" i="1"/>
  <c r="AA23" i="1" s="1"/>
  <c r="X23" i="1"/>
  <c r="Y23" i="1" s="1"/>
  <c r="V23" i="1"/>
  <c r="W23" i="1" s="1"/>
  <c r="R23" i="1"/>
  <c r="L23" i="1"/>
  <c r="G23" i="1"/>
  <c r="B23" i="1"/>
  <c r="Z22" i="1"/>
  <c r="AA22" i="1" s="1"/>
  <c r="X22" i="1"/>
  <c r="Y22" i="1" s="1"/>
  <c r="V22" i="1"/>
  <c r="W22" i="1" s="1"/>
  <c r="R22" i="1"/>
  <c r="L22" i="1"/>
  <c r="G22" i="1"/>
  <c r="B22" i="1"/>
  <c r="Z21" i="1"/>
  <c r="AB21" i="1" s="1"/>
  <c r="X21" i="1"/>
  <c r="Y21" i="1" s="1"/>
  <c r="V21" i="1"/>
  <c r="W21" i="1" s="1"/>
  <c r="R21" i="1"/>
  <c r="L21" i="1"/>
  <c r="G21" i="1"/>
  <c r="B21" i="1"/>
  <c r="Z20" i="1"/>
  <c r="X20" i="1"/>
  <c r="Y20" i="1" s="1"/>
  <c r="V20" i="1"/>
  <c r="W20" i="1" s="1"/>
  <c r="R20" i="1"/>
  <c r="L20" i="1"/>
  <c r="G20" i="1"/>
  <c r="B20" i="1"/>
  <c r="Z19" i="1"/>
  <c r="AA19" i="1" s="1"/>
  <c r="X19" i="1"/>
  <c r="Y19" i="1" s="1"/>
  <c r="V19" i="1"/>
  <c r="W19" i="1" s="1"/>
  <c r="R19" i="1"/>
  <c r="L19" i="1"/>
  <c r="G19" i="1"/>
  <c r="B19" i="1"/>
  <c r="Z18" i="1"/>
  <c r="AA18" i="1" s="1"/>
  <c r="X18" i="1"/>
  <c r="Y18" i="1" s="1"/>
  <c r="V18" i="1"/>
  <c r="W18" i="1" s="1"/>
  <c r="R18" i="1"/>
  <c r="L18" i="1"/>
  <c r="G18" i="1"/>
  <c r="B18" i="1"/>
  <c r="Z17" i="1"/>
  <c r="AB17" i="1" s="1"/>
  <c r="X17" i="1"/>
  <c r="Y17" i="1" s="1"/>
  <c r="V17" i="1"/>
  <c r="W17" i="1" s="1"/>
  <c r="R17" i="1"/>
  <c r="L17" i="1"/>
  <c r="G17" i="1"/>
  <c r="B17" i="1"/>
  <c r="Z16" i="1"/>
  <c r="X16" i="1"/>
  <c r="Y16" i="1" s="1"/>
  <c r="V16" i="1"/>
  <c r="W16" i="1" s="1"/>
  <c r="R16" i="1"/>
  <c r="L16" i="1"/>
  <c r="G16" i="1"/>
  <c r="B16" i="1"/>
  <c r="Z15" i="1"/>
  <c r="AA15" i="1" s="1"/>
  <c r="X15" i="1"/>
  <c r="Y15" i="1" s="1"/>
  <c r="V15" i="1"/>
  <c r="W15" i="1" s="1"/>
  <c r="R15" i="1"/>
  <c r="L15" i="1"/>
  <c r="G15" i="1"/>
  <c r="B15" i="1"/>
  <c r="Z14" i="1"/>
  <c r="AA14" i="1" s="1"/>
  <c r="X14" i="1"/>
  <c r="Y14" i="1" s="1"/>
  <c r="V14" i="1"/>
  <c r="W14" i="1" s="1"/>
  <c r="R14" i="1"/>
  <c r="L14" i="1"/>
  <c r="G14" i="1"/>
  <c r="B14" i="1"/>
  <c r="Z13" i="1"/>
  <c r="AB13" i="1" s="1"/>
  <c r="X13" i="1"/>
  <c r="Y13" i="1" s="1"/>
  <c r="V13" i="1"/>
  <c r="W13" i="1" s="1"/>
  <c r="R13" i="1"/>
  <c r="L13" i="1"/>
  <c r="G13" i="1"/>
  <c r="B13" i="1"/>
  <c r="Z12" i="1"/>
  <c r="X12" i="1"/>
  <c r="Y12" i="1" s="1"/>
  <c r="V12" i="1"/>
  <c r="W12" i="1" s="1"/>
  <c r="R12" i="1"/>
  <c r="L12" i="1"/>
  <c r="G12" i="1"/>
  <c r="B12" i="1"/>
  <c r="Z11" i="1"/>
  <c r="AB11" i="1" s="1"/>
  <c r="X11" i="1"/>
  <c r="Y11" i="1" s="1"/>
  <c r="V11" i="1"/>
  <c r="W11" i="1" s="1"/>
  <c r="R11" i="1"/>
  <c r="L11" i="1"/>
  <c r="G11" i="1"/>
  <c r="B11" i="1"/>
  <c r="Z10" i="1"/>
  <c r="AA10" i="1" s="1"/>
  <c r="X10" i="1"/>
  <c r="Y10" i="1" s="1"/>
  <c r="V10" i="1"/>
  <c r="W10" i="1" s="1"/>
  <c r="R10" i="1"/>
  <c r="L10" i="1"/>
  <c r="G10" i="1"/>
  <c r="B10" i="1"/>
  <c r="Z9" i="1"/>
  <c r="AB9" i="1" s="1"/>
  <c r="X9" i="1"/>
  <c r="Y9" i="1" s="1"/>
  <c r="V9" i="1"/>
  <c r="W9" i="1" s="1"/>
  <c r="R9" i="1"/>
  <c r="L9" i="1"/>
  <c r="G9" i="1"/>
  <c r="B9" i="1"/>
  <c r="Z8" i="1"/>
  <c r="X8" i="1"/>
  <c r="Y8" i="1" s="1"/>
  <c r="V8" i="1"/>
  <c r="W8" i="1" s="1"/>
  <c r="R8" i="1"/>
  <c r="L8" i="1"/>
  <c r="G8" i="1"/>
  <c r="B8" i="1"/>
  <c r="Z7" i="1"/>
  <c r="AB7" i="1" s="1"/>
  <c r="X7" i="1"/>
  <c r="Y7" i="1" s="1"/>
  <c r="V7" i="1"/>
  <c r="W7" i="1" s="1"/>
  <c r="R7" i="1"/>
  <c r="L7" i="1"/>
  <c r="G7" i="1"/>
  <c r="B7" i="1"/>
  <c r="Z6" i="1"/>
  <c r="AA6" i="1" s="1"/>
  <c r="X6" i="1"/>
  <c r="Y6" i="1" s="1"/>
  <c r="V6" i="1"/>
  <c r="W6" i="1" s="1"/>
  <c r="R6" i="1"/>
  <c r="L6" i="1"/>
  <c r="G6" i="1"/>
  <c r="B6" i="1"/>
  <c r="Z5" i="1"/>
  <c r="AB5" i="1" s="1"/>
  <c r="X5" i="1"/>
  <c r="Y5" i="1" s="1"/>
  <c r="V5" i="1"/>
  <c r="W5" i="1" s="1"/>
  <c r="R5" i="1"/>
  <c r="L5" i="1"/>
  <c r="G5" i="1"/>
  <c r="B5" i="1"/>
  <c r="AB411" i="1" l="1"/>
  <c r="AD411" i="1" s="1"/>
  <c r="AB252" i="1"/>
  <c r="AB200" i="1"/>
  <c r="AB201" i="1"/>
  <c r="AB24" i="3"/>
  <c r="AA87" i="1"/>
  <c r="AA99" i="1"/>
  <c r="U9" i="3"/>
  <c r="W9" i="3" s="1"/>
  <c r="AB35" i="1"/>
  <c r="AD35" i="1" s="1"/>
  <c r="AB414" i="1"/>
  <c r="AC414" i="1" s="1"/>
  <c r="AB472" i="1"/>
  <c r="T23" i="3"/>
  <c r="AA24" i="3"/>
  <c r="AA467" i="1"/>
  <c r="AB197" i="1"/>
  <c r="AA324" i="1"/>
  <c r="U5" i="3"/>
  <c r="W5" i="3" s="1"/>
  <c r="AA150" i="1"/>
  <c r="AB232" i="1"/>
  <c r="AB300" i="1"/>
  <c r="AD300" i="1" s="1"/>
  <c r="AB445" i="1"/>
  <c r="AA298" i="1"/>
  <c r="AA310" i="1"/>
  <c r="AB456" i="1"/>
  <c r="AA469" i="1"/>
  <c r="AC9" i="3"/>
  <c r="AB22" i="3"/>
  <c r="AA47" i="1"/>
  <c r="AB146" i="1"/>
  <c r="AC146" i="1" s="1"/>
  <c r="AB147" i="1"/>
  <c r="AD147" i="1" s="1"/>
  <c r="AD278" i="1"/>
  <c r="AA288" i="1"/>
  <c r="AD310" i="1"/>
  <c r="AA311" i="1"/>
  <c r="AA312" i="1"/>
  <c r="AC13" i="3"/>
  <c r="AB35" i="3"/>
  <c r="U39" i="3"/>
  <c r="V39" i="3" s="1"/>
  <c r="AA268" i="1"/>
  <c r="AB355" i="1"/>
  <c r="AC7" i="3"/>
  <c r="T11" i="3"/>
  <c r="AA25" i="1"/>
  <c r="AB26" i="1"/>
  <c r="AA102" i="1"/>
  <c r="AB79" i="1"/>
  <c r="AD79" i="1" s="1"/>
  <c r="AB217" i="1"/>
  <c r="AA343" i="1"/>
  <c r="AC18" i="2"/>
  <c r="AE18" i="2" s="1"/>
  <c r="AC11" i="3"/>
  <c r="U25" i="3"/>
  <c r="W25" i="3" s="1"/>
  <c r="AC37" i="3"/>
  <c r="T43" i="3"/>
  <c r="U19" i="3"/>
  <c r="W19" i="3" s="1"/>
  <c r="AA37" i="3"/>
  <c r="AA41" i="3"/>
  <c r="AB19" i="1"/>
  <c r="AD19" i="1" s="1"/>
  <c r="AB63" i="1"/>
  <c r="AD63" i="1" s="1"/>
  <c r="AA115" i="1"/>
  <c r="AD117" i="1"/>
  <c r="AA118" i="1"/>
  <c r="AB208" i="1"/>
  <c r="AD208" i="1" s="1"/>
  <c r="AB224" i="1"/>
  <c r="AB229" i="1"/>
  <c r="AD229" i="1" s="1"/>
  <c r="AA248" i="1"/>
  <c r="AB261" i="1"/>
  <c r="AD261" i="1" s="1"/>
  <c r="AD275" i="1"/>
  <c r="AB276" i="1"/>
  <c r="AD276" i="1" s="1"/>
  <c r="AA322" i="1"/>
  <c r="AA331" i="1"/>
  <c r="AD334" i="1"/>
  <c r="AB335" i="1"/>
  <c r="AD337" i="1"/>
  <c r="AB347" i="1"/>
  <c r="AD347" i="1" s="1"/>
  <c r="AA371" i="1"/>
  <c r="AA395" i="1"/>
  <c r="AC411" i="1"/>
  <c r="AE411" i="1" s="1"/>
  <c r="AF411" i="1" s="1"/>
  <c r="AB30" i="1"/>
  <c r="AD30" i="1" s="1"/>
  <c r="AB95" i="1"/>
  <c r="AD133" i="1"/>
  <c r="AA134" i="1"/>
  <c r="AB169" i="1"/>
  <c r="AC169" i="1" s="1"/>
  <c r="AA180" i="1"/>
  <c r="AB181" i="1"/>
  <c r="AA188" i="1"/>
  <c r="AB189" i="1"/>
  <c r="AA204" i="1"/>
  <c r="AB212" i="1"/>
  <c r="AB213" i="1"/>
  <c r="AD213" i="1" s="1"/>
  <c r="AA220" i="1"/>
  <c r="AA272" i="1"/>
  <c r="AB316" i="1"/>
  <c r="AD318" i="1"/>
  <c r="AA319" i="1"/>
  <c r="AA328" i="1"/>
  <c r="AD331" i="1"/>
  <c r="AA351" i="1"/>
  <c r="AD385" i="1"/>
  <c r="AB416" i="1"/>
  <c r="AB430" i="1"/>
  <c r="AA441" i="1"/>
  <c r="AA453" i="1"/>
  <c r="AA463" i="1"/>
  <c r="AB464" i="1"/>
  <c r="AC469" i="1"/>
  <c r="AE469" i="1" s="1"/>
  <c r="AF469" i="1" s="1"/>
  <c r="AB475" i="1"/>
  <c r="AD475" i="1" s="1"/>
  <c r="AA29" i="1"/>
  <c r="AA67" i="1"/>
  <c r="AB15" i="1"/>
  <c r="AD15" i="1" s="1"/>
  <c r="AB130" i="1"/>
  <c r="AC130" i="1" s="1"/>
  <c r="AB131" i="1"/>
  <c r="AD131" i="1" s="1"/>
  <c r="AD149" i="1"/>
  <c r="AB240" i="1"/>
  <c r="AB241" i="1"/>
  <c r="AC241" i="1" s="1"/>
  <c r="AD291" i="1"/>
  <c r="AB383" i="1"/>
  <c r="AD383" i="1" s="1"/>
  <c r="AB415" i="1"/>
  <c r="AB448" i="1"/>
  <c r="AD448" i="1" s="1"/>
  <c r="AA449" i="1"/>
  <c r="AB5" i="2"/>
  <c r="AB20" i="2"/>
  <c r="AC6" i="2"/>
  <c r="AB17" i="2"/>
  <c r="AB21" i="2"/>
  <c r="AB8" i="2"/>
  <c r="AB8" i="3"/>
  <c r="T13" i="3"/>
  <c r="AB15" i="3"/>
  <c r="AB20" i="3"/>
  <c r="T28" i="3"/>
  <c r="T32" i="3"/>
  <c r="T35" i="3"/>
  <c r="T37" i="3"/>
  <c r="AA38" i="3"/>
  <c r="AA40" i="3"/>
  <c r="AC8" i="3"/>
  <c r="AB43" i="3"/>
  <c r="AB11" i="3"/>
  <c r="AD11" i="3" s="1"/>
  <c r="AB13" i="3"/>
  <c r="W20" i="3"/>
  <c r="AA22" i="3"/>
  <c r="T26" i="3"/>
  <c r="T30" i="3"/>
  <c r="AA32" i="3"/>
  <c r="AA34" i="3"/>
  <c r="AA35" i="3"/>
  <c r="AD35" i="3" s="1"/>
  <c r="AD31" i="1"/>
  <c r="AC31" i="1"/>
  <c r="AA9" i="1"/>
  <c r="AA51" i="1"/>
  <c r="AA55" i="1"/>
  <c r="AA57" i="1"/>
  <c r="AB58" i="1"/>
  <c r="AD58" i="1" s="1"/>
  <c r="AA61" i="1"/>
  <c r="AB62" i="1"/>
  <c r="AD62" i="1" s="1"/>
  <c r="AA71" i="1"/>
  <c r="AA73" i="1"/>
  <c r="AB74" i="1"/>
  <c r="AD74" i="1" s="1"/>
  <c r="AA83" i="1"/>
  <c r="AB126" i="1"/>
  <c r="AC126" i="1" s="1"/>
  <c r="AA126" i="1"/>
  <c r="AD455" i="1"/>
  <c r="AC455" i="1"/>
  <c r="AA41" i="1"/>
  <c r="AB42" i="1"/>
  <c r="AD42" i="1" s="1"/>
  <c r="AB46" i="1"/>
  <c r="AB86" i="1"/>
  <c r="AD86" i="1" s="1"/>
  <c r="AB94" i="1"/>
  <c r="AD94" i="1" s="1"/>
  <c r="AB101" i="1"/>
  <c r="AA101" i="1"/>
  <c r="AB107" i="1"/>
  <c r="AD107" i="1" s="1"/>
  <c r="AA107" i="1"/>
  <c r="AC125" i="1"/>
  <c r="AD125" i="1"/>
  <c r="AC109" i="1"/>
  <c r="AD109" i="1"/>
  <c r="AB123" i="1"/>
  <c r="AD123" i="1" s="1"/>
  <c r="AA123" i="1"/>
  <c r="AB10" i="1"/>
  <c r="AC10" i="1" s="1"/>
  <c r="AA39" i="1"/>
  <c r="AA31" i="1"/>
  <c r="AA45" i="1"/>
  <c r="AC47" i="1"/>
  <c r="AE47" i="1" s="1"/>
  <c r="AF47" i="1" s="1"/>
  <c r="AA77" i="1"/>
  <c r="AB78" i="1"/>
  <c r="AD78" i="1" s="1"/>
  <c r="AA85" i="1"/>
  <c r="AA93" i="1"/>
  <c r="AB38" i="1"/>
  <c r="AD38" i="1" s="1"/>
  <c r="AA89" i="1"/>
  <c r="AB90" i="1"/>
  <c r="AD90" i="1" s="1"/>
  <c r="AB110" i="1"/>
  <c r="AA110" i="1"/>
  <c r="AB173" i="1"/>
  <c r="AC173" i="1" s="1"/>
  <c r="AA141" i="1"/>
  <c r="AA157" i="1"/>
  <c r="AB161" i="1"/>
  <c r="AC161" i="1" s="1"/>
  <c r="AB177" i="1"/>
  <c r="AA184" i="1"/>
  <c r="AB185" i="1"/>
  <c r="AA192" i="1"/>
  <c r="AB193" i="1"/>
  <c r="AA236" i="1"/>
  <c r="AB245" i="1"/>
  <c r="AD245" i="1" s="1"/>
  <c r="AB256" i="1"/>
  <c r="AC256" i="1" s="1"/>
  <c r="AB257" i="1"/>
  <c r="AA264" i="1"/>
  <c r="AA284" i="1"/>
  <c r="AB292" i="1"/>
  <c r="AD294" i="1"/>
  <c r="AD302" i="1"/>
  <c r="AA303" i="1"/>
  <c r="AA306" i="1"/>
  <c r="AA308" i="1"/>
  <c r="AD314" i="1"/>
  <c r="AA315" i="1"/>
  <c r="AA326" i="1"/>
  <c r="AB332" i="1"/>
  <c r="AD369" i="1"/>
  <c r="AB388" i="1"/>
  <c r="AC388" i="1" s="1"/>
  <c r="AA393" i="1"/>
  <c r="AA402" i="1"/>
  <c r="AA405" i="1"/>
  <c r="AB437" i="1"/>
  <c r="AC449" i="1"/>
  <c r="AA455" i="1"/>
  <c r="AA457" i="1"/>
  <c r="AA459" i="1"/>
  <c r="AB476" i="1"/>
  <c r="AA135" i="1"/>
  <c r="AC137" i="1"/>
  <c r="AC141" i="1"/>
  <c r="AA151" i="1"/>
  <c r="AC153" i="1"/>
  <c r="AC157" i="1"/>
  <c r="AB165" i="1"/>
  <c r="AC165" i="1" s="1"/>
  <c r="AD315" i="1"/>
  <c r="AD326" i="1"/>
  <c r="AA327" i="1"/>
  <c r="AB367" i="1"/>
  <c r="AD367" i="1" s="1"/>
  <c r="AC405" i="1"/>
  <c r="AB407" i="1"/>
  <c r="AA435" i="1"/>
  <c r="AB440" i="1"/>
  <c r="AA443" i="1"/>
  <c r="AB444" i="1"/>
  <c r="AD444" i="1" s="1"/>
  <c r="AA451" i="1"/>
  <c r="AB452" i="1"/>
  <c r="AA461" i="1"/>
  <c r="AD87" i="1"/>
  <c r="AC87" i="1"/>
  <c r="AD119" i="1"/>
  <c r="AC119" i="1"/>
  <c r="AD172" i="1"/>
  <c r="AC172" i="1"/>
  <c r="AD184" i="1"/>
  <c r="AC184" i="1"/>
  <c r="AD192" i="1"/>
  <c r="AC192" i="1"/>
  <c r="AD27" i="1"/>
  <c r="AC27" i="1"/>
  <c r="AD39" i="1"/>
  <c r="AC39" i="1"/>
  <c r="AD55" i="1"/>
  <c r="AE55" i="1" s="1"/>
  <c r="AF55" i="1" s="1"/>
  <c r="AC55" i="1"/>
  <c r="AD71" i="1"/>
  <c r="AC71" i="1"/>
  <c r="AD91" i="1"/>
  <c r="AC91" i="1"/>
  <c r="AD139" i="1"/>
  <c r="AC139" i="1"/>
  <c r="AD155" i="1"/>
  <c r="AC155" i="1"/>
  <c r="AD176" i="1"/>
  <c r="AC176" i="1"/>
  <c r="AD7" i="1"/>
  <c r="AC7" i="1"/>
  <c r="AD11" i="1"/>
  <c r="AC11" i="1"/>
  <c r="AD43" i="1"/>
  <c r="AC43" i="1"/>
  <c r="AD59" i="1"/>
  <c r="AC59" i="1"/>
  <c r="AD75" i="1"/>
  <c r="AC75" i="1"/>
  <c r="AD111" i="1"/>
  <c r="AC111" i="1"/>
  <c r="AD127" i="1"/>
  <c r="AC127" i="1"/>
  <c r="AC138" i="1"/>
  <c r="AD138" i="1"/>
  <c r="AC142" i="1"/>
  <c r="AD142" i="1"/>
  <c r="AD143" i="1"/>
  <c r="AC143" i="1"/>
  <c r="AC154" i="1"/>
  <c r="AD154" i="1"/>
  <c r="AC158" i="1"/>
  <c r="AD158" i="1"/>
  <c r="AD159" i="1"/>
  <c r="AC159" i="1"/>
  <c r="AD164" i="1"/>
  <c r="AC164" i="1"/>
  <c r="AD180" i="1"/>
  <c r="AC180" i="1"/>
  <c r="AD188" i="1"/>
  <c r="AC188" i="1"/>
  <c r="AD103" i="1"/>
  <c r="AC103" i="1"/>
  <c r="AD168" i="1"/>
  <c r="AC168" i="1"/>
  <c r="AA105" i="1"/>
  <c r="AA113" i="1"/>
  <c r="AA121" i="1"/>
  <c r="AA129" i="1"/>
  <c r="AA138" i="1"/>
  <c r="AA139" i="1"/>
  <c r="AA145" i="1"/>
  <c r="AD146" i="1"/>
  <c r="AE146" i="1" s="1"/>
  <c r="AF146" i="1" s="1"/>
  <c r="AA154" i="1"/>
  <c r="AA155" i="1"/>
  <c r="AA164" i="1"/>
  <c r="AA168" i="1"/>
  <c r="AD169" i="1"/>
  <c r="AE169" i="1" s="1"/>
  <c r="AF169" i="1" s="1"/>
  <c r="AA172" i="1"/>
  <c r="AA176" i="1"/>
  <c r="AA233" i="1"/>
  <c r="AB233" i="1"/>
  <c r="AD233" i="1" s="1"/>
  <c r="AD284" i="1"/>
  <c r="AC284" i="1"/>
  <c r="AD296" i="1"/>
  <c r="AC296" i="1"/>
  <c r="AD320" i="1"/>
  <c r="AC320" i="1"/>
  <c r="AD397" i="1"/>
  <c r="AC397" i="1"/>
  <c r="AA7" i="1"/>
  <c r="AA11" i="1"/>
  <c r="AA17" i="1"/>
  <c r="AB18" i="1"/>
  <c r="AD18" i="1" s="1"/>
  <c r="AB23" i="1"/>
  <c r="AA27" i="1"/>
  <c r="AA33" i="1"/>
  <c r="AB34" i="1"/>
  <c r="AD34" i="1" s="1"/>
  <c r="AA43" i="1"/>
  <c r="AA49" i="1"/>
  <c r="AB50" i="1"/>
  <c r="AD50" i="1" s="1"/>
  <c r="AC51" i="1"/>
  <c r="AA59" i="1"/>
  <c r="AA65" i="1"/>
  <c r="AB66" i="1"/>
  <c r="AD66" i="1" s="1"/>
  <c r="AC67" i="1"/>
  <c r="AA75" i="1"/>
  <c r="AA81" i="1"/>
  <c r="AB82" i="1"/>
  <c r="AD82" i="1" s="1"/>
  <c r="AC83" i="1"/>
  <c r="AA91" i="1"/>
  <c r="AA97" i="1"/>
  <c r="AB98" i="1"/>
  <c r="AD98" i="1" s="1"/>
  <c r="AC99" i="1"/>
  <c r="AE99" i="1" s="1"/>
  <c r="AF99" i="1" s="1"/>
  <c r="AA103" i="1"/>
  <c r="AD105" i="1"/>
  <c r="AA106" i="1"/>
  <c r="AA111" i="1"/>
  <c r="AD113" i="1"/>
  <c r="AA114" i="1"/>
  <c r="AC115" i="1"/>
  <c r="AA119" i="1"/>
  <c r="AD121" i="1"/>
  <c r="AA122" i="1"/>
  <c r="AA127" i="1"/>
  <c r="AC129" i="1"/>
  <c r="AA133" i="1"/>
  <c r="AD134" i="1"/>
  <c r="AC135" i="1"/>
  <c r="AE135" i="1" s="1"/>
  <c r="AF135" i="1" s="1"/>
  <c r="AA142" i="1"/>
  <c r="AA143" i="1"/>
  <c r="AC145" i="1"/>
  <c r="AA149" i="1"/>
  <c r="AD150" i="1"/>
  <c r="AC151" i="1"/>
  <c r="AA158" i="1"/>
  <c r="AA159" i="1"/>
  <c r="AA194" i="1"/>
  <c r="AA196" i="1"/>
  <c r="AB209" i="1"/>
  <c r="AC209" i="1" s="1"/>
  <c r="AA216" i="1"/>
  <c r="AB225" i="1"/>
  <c r="AD225" i="1" s="1"/>
  <c r="AD304" i="1"/>
  <c r="AC304" i="1"/>
  <c r="AD387" i="1"/>
  <c r="AC387" i="1"/>
  <c r="AD403" i="1"/>
  <c r="AC403" i="1"/>
  <c r="AA13" i="1"/>
  <c r="AB14" i="1"/>
  <c r="AD14" i="1" s="1"/>
  <c r="AA5" i="1"/>
  <c r="AB6" i="1"/>
  <c r="AC6" i="1" s="1"/>
  <c r="AA21" i="1"/>
  <c r="AB22" i="1"/>
  <c r="AD22" i="1" s="1"/>
  <c r="AA37" i="1"/>
  <c r="AA53" i="1"/>
  <c r="AB54" i="1"/>
  <c r="AC54" i="1" s="1"/>
  <c r="AA69" i="1"/>
  <c r="AB70" i="1"/>
  <c r="AD70" i="1" s="1"/>
  <c r="AA109" i="1"/>
  <c r="AA117" i="1"/>
  <c r="AE117" i="1" s="1"/>
  <c r="AF117" i="1" s="1"/>
  <c r="AA125" i="1"/>
  <c r="AA137" i="1"/>
  <c r="AA153" i="1"/>
  <c r="AE153" i="1" s="1"/>
  <c r="AF153" i="1" s="1"/>
  <c r="AA162" i="1"/>
  <c r="AA166" i="1"/>
  <c r="AA170" i="1"/>
  <c r="AA174" i="1"/>
  <c r="AA178" i="1"/>
  <c r="AA182" i="1"/>
  <c r="AA186" i="1"/>
  <c r="AA190" i="1"/>
  <c r="AB205" i="1"/>
  <c r="AC205" i="1" s="1"/>
  <c r="AB221" i="1"/>
  <c r="AD221" i="1" s="1"/>
  <c r="AA228" i="1"/>
  <c r="AA237" i="1"/>
  <c r="AB237" i="1"/>
  <c r="AC237" i="1" s="1"/>
  <c r="AD339" i="1"/>
  <c r="AE339" i="1" s="1"/>
  <c r="AF339" i="1" s="1"/>
  <c r="AC339" i="1"/>
  <c r="AD268" i="1"/>
  <c r="AC268" i="1"/>
  <c r="AD280" i="1"/>
  <c r="AC280" i="1"/>
  <c r="AD357" i="1"/>
  <c r="AA359" i="1"/>
  <c r="AD373" i="1"/>
  <c r="AA375" i="1"/>
  <c r="AA387" i="1"/>
  <c r="AA397" i="1"/>
  <c r="AA399" i="1"/>
  <c r="AD402" i="1"/>
  <c r="AB406" i="1"/>
  <c r="AA406" i="1"/>
  <c r="AD471" i="1"/>
  <c r="AC471" i="1"/>
  <c r="W17" i="3"/>
  <c r="V17" i="3"/>
  <c r="AA244" i="1"/>
  <c r="AB253" i="1"/>
  <c r="AD253" i="1" s="1"/>
  <c r="AA260" i="1"/>
  <c r="AC272" i="1"/>
  <c r="AE272" i="1" s="1"/>
  <c r="AF272" i="1" s="1"/>
  <c r="AA280" i="1"/>
  <c r="AC288" i="1"/>
  <c r="AA296" i="1"/>
  <c r="AD298" i="1"/>
  <c r="AE298" i="1" s="1"/>
  <c r="AF298" i="1" s="1"/>
  <c r="AA304" i="1"/>
  <c r="AD306" i="1"/>
  <c r="AA307" i="1"/>
  <c r="AC308" i="1"/>
  <c r="AE308" i="1" s="1"/>
  <c r="AF308" i="1" s="1"/>
  <c r="AD311" i="1"/>
  <c r="AC312" i="1"/>
  <c r="AA320" i="1"/>
  <c r="AD322" i="1"/>
  <c r="AA323" i="1"/>
  <c r="AC324" i="1"/>
  <c r="AE324" i="1" s="1"/>
  <c r="AF324" i="1" s="1"/>
  <c r="AD327" i="1"/>
  <c r="AC328" i="1"/>
  <c r="AE328" i="1" s="1"/>
  <c r="AF328" i="1" s="1"/>
  <c r="AA339" i="1"/>
  <c r="AD361" i="1"/>
  <c r="AA363" i="1"/>
  <c r="AD377" i="1"/>
  <c r="AA379" i="1"/>
  <c r="AA389" i="1"/>
  <c r="AC393" i="1"/>
  <c r="AE393" i="1" s="1"/>
  <c r="AF393" i="1" s="1"/>
  <c r="AB394" i="1"/>
  <c r="AC394" i="1" s="1"/>
  <c r="AA401" i="1"/>
  <c r="AA403" i="1"/>
  <c r="AD441" i="1"/>
  <c r="AC441" i="1"/>
  <c r="AD451" i="1"/>
  <c r="AC451" i="1"/>
  <c r="W27" i="3"/>
  <c r="V27" i="3"/>
  <c r="W31" i="3"/>
  <c r="V31" i="3"/>
  <c r="AB249" i="1"/>
  <c r="AD249" i="1" s="1"/>
  <c r="AB265" i="1"/>
  <c r="AC265" i="1" s="1"/>
  <c r="AD267" i="1"/>
  <c r="AD270" i="1"/>
  <c r="AD283" i="1"/>
  <c r="AD286" i="1"/>
  <c r="AA302" i="1"/>
  <c r="AA314" i="1"/>
  <c r="AA318" i="1"/>
  <c r="AA330" i="1"/>
  <c r="AD342" i="1"/>
  <c r="AD365" i="1"/>
  <c r="AD381" i="1"/>
  <c r="AC389" i="1"/>
  <c r="AB398" i="1"/>
  <c r="AD398" i="1" s="1"/>
  <c r="AD401" i="1"/>
  <c r="AB413" i="1"/>
  <c r="AA413" i="1"/>
  <c r="AD463" i="1"/>
  <c r="AC463" i="1"/>
  <c r="AE315" i="1"/>
  <c r="AF315" i="1" s="1"/>
  <c r="AD330" i="1"/>
  <c r="AB409" i="1"/>
  <c r="AA409" i="1"/>
  <c r="AD447" i="1"/>
  <c r="AC447" i="1"/>
  <c r="W29" i="3"/>
  <c r="V29" i="3"/>
  <c r="Y13" i="2"/>
  <c r="Z13" i="2" s="1"/>
  <c r="Y23" i="2"/>
  <c r="Z23" i="2" s="1"/>
  <c r="AA422" i="1"/>
  <c r="AB423" i="1"/>
  <c r="AD423" i="1" s="1"/>
  <c r="AA426" i="1"/>
  <c r="AB433" i="1"/>
  <c r="AA436" i="1"/>
  <c r="AA439" i="1"/>
  <c r="AA447" i="1"/>
  <c r="AC453" i="1"/>
  <c r="AC459" i="1"/>
  <c r="AB460" i="1"/>
  <c r="AD460" i="1" s="1"/>
  <c r="AA465" i="1"/>
  <c r="AC467" i="1"/>
  <c r="AB468" i="1"/>
  <c r="AA471" i="1"/>
  <c r="AA473" i="1"/>
  <c r="AA6" i="3"/>
  <c r="U7" i="3"/>
  <c r="W7" i="3" s="1"/>
  <c r="Z10" i="3"/>
  <c r="AC10" i="3" s="1"/>
  <c r="T15" i="3"/>
  <c r="AC15" i="3"/>
  <c r="AD15" i="3" s="1"/>
  <c r="AA16" i="3"/>
  <c r="T17" i="3"/>
  <c r="AB17" i="3"/>
  <c r="T21" i="3"/>
  <c r="V23" i="3"/>
  <c r="X23" i="3" s="1"/>
  <c r="Y23" i="3" s="1"/>
  <c r="W24" i="3"/>
  <c r="AA26" i="3"/>
  <c r="T27" i="3"/>
  <c r="AA28" i="3"/>
  <c r="T29" i="3"/>
  <c r="AA30" i="3"/>
  <c r="T31" i="3"/>
  <c r="AB32" i="3"/>
  <c r="AD32" i="3" s="1"/>
  <c r="AA36" i="3"/>
  <c r="AA39" i="3"/>
  <c r="T41" i="3"/>
  <c r="AB41" i="3"/>
  <c r="AD41" i="3" s="1"/>
  <c r="Z42" i="3"/>
  <c r="AC42" i="3" s="1"/>
  <c r="AB9" i="2"/>
  <c r="AC11" i="2"/>
  <c r="AB12" i="2"/>
  <c r="Y12" i="2"/>
  <c r="Z12" i="2" s="1"/>
  <c r="AD12" i="2"/>
  <c r="AB16" i="2"/>
  <c r="AB427" i="1"/>
  <c r="AC427" i="1" s="1"/>
  <c r="AC465" i="1"/>
  <c r="AA477" i="1"/>
  <c r="AC5" i="3"/>
  <c r="AB6" i="3"/>
  <c r="AB16" i="3"/>
  <c r="AC17" i="3"/>
  <c r="AA20" i="3"/>
  <c r="AB26" i="3"/>
  <c r="AB28" i="3"/>
  <c r="AB30" i="3"/>
  <c r="AB39" i="3"/>
  <c r="AA23" i="2"/>
  <c r="AC23" i="2" s="1"/>
  <c r="AE23" i="2" s="1"/>
  <c r="AE455" i="1"/>
  <c r="AF455" i="1" s="1"/>
  <c r="AB4" i="2"/>
  <c r="W23" i="2"/>
  <c r="X23" i="2" s="1"/>
  <c r="AD15" i="2"/>
  <c r="AE15" i="2"/>
  <c r="AE16" i="2"/>
  <c r="AD16" i="2"/>
  <c r="AD19" i="2"/>
  <c r="AE19" i="2"/>
  <c r="AE22" i="2"/>
  <c r="AD22" i="2"/>
  <c r="AE4" i="2"/>
  <c r="AD4" i="2"/>
  <c r="AD7" i="2"/>
  <c r="AE7" i="2"/>
  <c r="AE8" i="2"/>
  <c r="AD8" i="2"/>
  <c r="AD5" i="2"/>
  <c r="AF5" i="2" s="1"/>
  <c r="AG5" i="2" s="1"/>
  <c r="AB7" i="2"/>
  <c r="AD9" i="2"/>
  <c r="AA13" i="2"/>
  <c r="AC13" i="2" s="1"/>
  <c r="W14" i="2"/>
  <c r="X14" i="2" s="1"/>
  <c r="AA14" i="2"/>
  <c r="AC14" i="2" s="1"/>
  <c r="AB15" i="2"/>
  <c r="AD17" i="2"/>
  <c r="AB19" i="2"/>
  <c r="AD21" i="2"/>
  <c r="W24" i="2"/>
  <c r="X24" i="2" s="1"/>
  <c r="AA24" i="2"/>
  <c r="AC24" i="2" s="1"/>
  <c r="W10" i="2"/>
  <c r="X10" i="2" s="1"/>
  <c r="AA10" i="2"/>
  <c r="AC10" i="2" s="1"/>
  <c r="AD20" i="2"/>
  <c r="AF20" i="2" s="1"/>
  <c r="AG20" i="2" s="1"/>
  <c r="AB22" i="2"/>
  <c r="V6" i="3"/>
  <c r="W6" i="3"/>
  <c r="W16" i="3"/>
  <c r="V16" i="3"/>
  <c r="V8" i="3"/>
  <c r="W8" i="3"/>
  <c r="AC4" i="3"/>
  <c r="AB4" i="3"/>
  <c r="W12" i="3"/>
  <c r="V12" i="3"/>
  <c r="W14" i="3"/>
  <c r="V14" i="3"/>
  <c r="S4" i="3"/>
  <c r="U4" i="3" s="1"/>
  <c r="AA4" i="3"/>
  <c r="AB21" i="3"/>
  <c r="AA21" i="3"/>
  <c r="AB25" i="3"/>
  <c r="AA25" i="3"/>
  <c r="W26" i="3"/>
  <c r="V26" i="3"/>
  <c r="W30" i="3"/>
  <c r="V30" i="3"/>
  <c r="U34" i="3"/>
  <c r="T34" i="3"/>
  <c r="U38" i="3"/>
  <c r="T38" i="3"/>
  <c r="W43" i="3"/>
  <c r="V43" i="3"/>
  <c r="T6" i="3"/>
  <c r="T8" i="3"/>
  <c r="V9" i="3"/>
  <c r="X9" i="3" s="1"/>
  <c r="Y9" i="3" s="1"/>
  <c r="S10" i="3"/>
  <c r="U10" i="3" s="1"/>
  <c r="AA12" i="3"/>
  <c r="AA14" i="3"/>
  <c r="T18" i="3"/>
  <c r="AC21" i="3"/>
  <c r="T22" i="3"/>
  <c r="AD22" i="3"/>
  <c r="AC25" i="3"/>
  <c r="AC29" i="3"/>
  <c r="AB29" i="3"/>
  <c r="AA29" i="3"/>
  <c r="W32" i="3"/>
  <c r="V32" i="3"/>
  <c r="W37" i="3"/>
  <c r="V37" i="3"/>
  <c r="Q4" i="3"/>
  <c r="R4" i="3" s="1"/>
  <c r="AA5" i="3"/>
  <c r="AA7" i="3"/>
  <c r="AA9" i="3"/>
  <c r="V11" i="3"/>
  <c r="T12" i="3"/>
  <c r="AB12" i="3"/>
  <c r="V13" i="3"/>
  <c r="X13" i="3" s="1"/>
  <c r="Y13" i="3" s="1"/>
  <c r="T14" i="3"/>
  <c r="AB14" i="3"/>
  <c r="V15" i="3"/>
  <c r="T16" i="3"/>
  <c r="V18" i="3"/>
  <c r="AA18" i="3"/>
  <c r="AB19" i="3"/>
  <c r="V21" i="3"/>
  <c r="W22" i="3"/>
  <c r="AB23" i="3"/>
  <c r="AA23" i="3"/>
  <c r="W28" i="3"/>
  <c r="V28" i="3"/>
  <c r="U36" i="3"/>
  <c r="T36" i="3"/>
  <c r="V40" i="3"/>
  <c r="W40" i="3"/>
  <c r="AB18" i="3"/>
  <c r="AC19" i="3"/>
  <c r="T20" i="3"/>
  <c r="X20" i="3" s="1"/>
  <c r="Y20" i="3" s="1"/>
  <c r="AC23" i="3"/>
  <c r="T24" i="3"/>
  <c r="AD24" i="3"/>
  <c r="AC27" i="3"/>
  <c r="AB27" i="3"/>
  <c r="AA27" i="3"/>
  <c r="AC31" i="3"/>
  <c r="AB31" i="3"/>
  <c r="AA31" i="3"/>
  <c r="W35" i="3"/>
  <c r="V35" i="3"/>
  <c r="Z33" i="3"/>
  <c r="AB34" i="3"/>
  <c r="AB36" i="3"/>
  <c r="AB38" i="3"/>
  <c r="T40" i="3"/>
  <c r="AB40" i="3"/>
  <c r="AD40" i="3" s="1"/>
  <c r="V41" i="3"/>
  <c r="X41" i="3" s="1"/>
  <c r="Y41" i="3" s="1"/>
  <c r="S42" i="3"/>
  <c r="AC43" i="3"/>
  <c r="S33" i="3"/>
  <c r="AD65" i="1"/>
  <c r="AC65" i="1"/>
  <c r="AC114" i="1"/>
  <c r="AD114" i="1"/>
  <c r="AD5" i="1"/>
  <c r="AC5" i="1"/>
  <c r="AD9" i="1"/>
  <c r="AC9" i="1"/>
  <c r="AD13" i="1"/>
  <c r="AC13" i="1"/>
  <c r="AD17" i="1"/>
  <c r="AC17" i="1"/>
  <c r="AD21" i="1"/>
  <c r="AC21" i="1"/>
  <c r="AD25" i="1"/>
  <c r="AC25" i="1"/>
  <c r="AD29" i="1"/>
  <c r="AC29" i="1"/>
  <c r="AD33" i="1"/>
  <c r="AC33" i="1"/>
  <c r="AD37" i="1"/>
  <c r="AC37" i="1"/>
  <c r="AD41" i="1"/>
  <c r="AC41" i="1"/>
  <c r="AD45" i="1"/>
  <c r="AC45" i="1"/>
  <c r="AD49" i="1"/>
  <c r="AC49" i="1"/>
  <c r="AD53" i="1"/>
  <c r="AC53" i="1"/>
  <c r="AD57" i="1"/>
  <c r="AC57" i="1"/>
  <c r="AD69" i="1"/>
  <c r="AC69" i="1"/>
  <c r="AC72" i="1"/>
  <c r="AD72" i="1"/>
  <c r="AD85" i="1"/>
  <c r="AC85" i="1"/>
  <c r="AC88" i="1"/>
  <c r="AD88" i="1"/>
  <c r="AD81" i="1"/>
  <c r="AC81" i="1"/>
  <c r="AC84" i="1"/>
  <c r="AD84" i="1"/>
  <c r="AD97" i="1"/>
  <c r="AC97" i="1"/>
  <c r="AC106" i="1"/>
  <c r="AD106" i="1"/>
  <c r="AC60" i="1"/>
  <c r="AD60" i="1"/>
  <c r="AD73" i="1"/>
  <c r="AC73" i="1"/>
  <c r="AC76" i="1"/>
  <c r="AD76" i="1"/>
  <c r="AD89" i="1"/>
  <c r="AC89" i="1"/>
  <c r="AC92" i="1"/>
  <c r="AD92" i="1"/>
  <c r="AC102" i="1"/>
  <c r="AD102" i="1"/>
  <c r="AE109" i="1"/>
  <c r="AF109" i="1" s="1"/>
  <c r="AC110" i="1"/>
  <c r="AD110" i="1"/>
  <c r="AC118" i="1"/>
  <c r="AD118" i="1"/>
  <c r="AC163" i="1"/>
  <c r="AD163" i="1"/>
  <c r="AC167" i="1"/>
  <c r="AD167" i="1"/>
  <c r="AC171" i="1"/>
  <c r="AD171" i="1"/>
  <c r="AC175" i="1"/>
  <c r="AD175" i="1"/>
  <c r="AC179" i="1"/>
  <c r="AD179" i="1"/>
  <c r="AC183" i="1"/>
  <c r="AD183" i="1"/>
  <c r="AC187" i="1"/>
  <c r="AD187" i="1"/>
  <c r="AC191" i="1"/>
  <c r="AD191" i="1"/>
  <c r="AC68" i="1"/>
  <c r="AD68" i="1"/>
  <c r="AC122" i="1"/>
  <c r="AD122" i="1"/>
  <c r="AB8" i="1"/>
  <c r="AA8" i="1"/>
  <c r="AD10" i="1"/>
  <c r="AB12" i="1"/>
  <c r="AA12" i="1"/>
  <c r="AB16" i="1"/>
  <c r="AA16" i="1"/>
  <c r="AB20" i="1"/>
  <c r="AA20" i="1"/>
  <c r="AC22" i="1"/>
  <c r="AB24" i="1"/>
  <c r="AA24" i="1"/>
  <c r="AD26" i="1"/>
  <c r="AC26" i="1"/>
  <c r="AB28" i="1"/>
  <c r="AA28" i="1"/>
  <c r="AB32" i="1"/>
  <c r="AA32" i="1"/>
  <c r="AB36" i="1"/>
  <c r="AA36" i="1"/>
  <c r="AB40" i="1"/>
  <c r="AA40" i="1"/>
  <c r="AB44" i="1"/>
  <c r="AA44" i="1"/>
  <c r="AD46" i="1"/>
  <c r="AC46" i="1"/>
  <c r="AB48" i="1"/>
  <c r="AA48" i="1"/>
  <c r="AB52" i="1"/>
  <c r="AA52" i="1"/>
  <c r="AB56" i="1"/>
  <c r="AA56" i="1"/>
  <c r="AD61" i="1"/>
  <c r="AC61" i="1"/>
  <c r="AC64" i="1"/>
  <c r="AD64" i="1"/>
  <c r="AD77" i="1"/>
  <c r="AC77" i="1"/>
  <c r="AC80" i="1"/>
  <c r="AD80" i="1"/>
  <c r="AD93" i="1"/>
  <c r="AC93" i="1"/>
  <c r="AC96" i="1"/>
  <c r="AD96" i="1"/>
  <c r="AC195" i="1"/>
  <c r="AD195" i="1"/>
  <c r="AB211" i="1"/>
  <c r="AA211" i="1"/>
  <c r="AC213" i="1"/>
  <c r="AB214" i="1"/>
  <c r="AA214" i="1"/>
  <c r="AD216" i="1"/>
  <c r="AC216" i="1"/>
  <c r="AB227" i="1"/>
  <c r="AA227" i="1"/>
  <c r="AC229" i="1"/>
  <c r="AB230" i="1"/>
  <c r="AA230" i="1"/>
  <c r="AD232" i="1"/>
  <c r="AC232" i="1"/>
  <c r="AB243" i="1"/>
  <c r="AA243" i="1"/>
  <c r="AB246" i="1"/>
  <c r="AA246" i="1"/>
  <c r="AD248" i="1"/>
  <c r="AC248" i="1"/>
  <c r="AB259" i="1"/>
  <c r="AA259" i="1"/>
  <c r="AB262" i="1"/>
  <c r="AA262" i="1"/>
  <c r="AD264" i="1"/>
  <c r="AC264" i="1"/>
  <c r="AA313" i="1"/>
  <c r="AB313" i="1"/>
  <c r="AA60" i="1"/>
  <c r="AC62" i="1"/>
  <c r="AE62" i="1" s="1"/>
  <c r="AF62" i="1" s="1"/>
  <c r="AA64" i="1"/>
  <c r="AA68" i="1"/>
  <c r="AC70" i="1"/>
  <c r="AA72" i="1"/>
  <c r="AA76" i="1"/>
  <c r="AA80" i="1"/>
  <c r="AA84" i="1"/>
  <c r="AC86" i="1"/>
  <c r="AA88" i="1"/>
  <c r="AA92" i="1"/>
  <c r="AA96" i="1"/>
  <c r="AA163" i="1"/>
  <c r="AA167" i="1"/>
  <c r="AA171" i="1"/>
  <c r="AA175" i="1"/>
  <c r="AA179" i="1"/>
  <c r="AA183" i="1"/>
  <c r="AA187" i="1"/>
  <c r="AA191" i="1"/>
  <c r="AA195" i="1"/>
  <c r="AD200" i="1"/>
  <c r="AC200" i="1"/>
  <c r="AD201" i="1"/>
  <c r="AC201" i="1"/>
  <c r="AB202" i="1"/>
  <c r="AA202" i="1"/>
  <c r="AD204" i="1"/>
  <c r="AC204" i="1"/>
  <c r="AB215" i="1"/>
  <c r="AA215" i="1"/>
  <c r="AD217" i="1"/>
  <c r="AC217" i="1"/>
  <c r="AB218" i="1"/>
  <c r="AA218" i="1"/>
  <c r="AD220" i="1"/>
  <c r="AC220" i="1"/>
  <c r="AB231" i="1"/>
  <c r="AA231" i="1"/>
  <c r="AB234" i="1"/>
  <c r="AA234" i="1"/>
  <c r="AD236" i="1"/>
  <c r="AC236" i="1"/>
  <c r="AB247" i="1"/>
  <c r="AA247" i="1"/>
  <c r="AB250" i="1"/>
  <c r="AA250" i="1"/>
  <c r="AD252" i="1"/>
  <c r="AC252" i="1"/>
  <c r="AB263" i="1"/>
  <c r="AA263" i="1"/>
  <c r="AB266" i="1"/>
  <c r="AA266" i="1"/>
  <c r="AB271" i="1"/>
  <c r="AA271" i="1"/>
  <c r="AA273" i="1"/>
  <c r="AB273" i="1"/>
  <c r="AB274" i="1"/>
  <c r="AA274" i="1"/>
  <c r="AB279" i="1"/>
  <c r="AA279" i="1"/>
  <c r="AA281" i="1"/>
  <c r="AB281" i="1"/>
  <c r="AB282" i="1"/>
  <c r="AA282" i="1"/>
  <c r="AB287" i="1"/>
  <c r="AA287" i="1"/>
  <c r="AA289" i="1"/>
  <c r="AB289" i="1"/>
  <c r="AB290" i="1"/>
  <c r="AA290" i="1"/>
  <c r="AB295" i="1"/>
  <c r="AA295" i="1"/>
  <c r="AA297" i="1"/>
  <c r="AB297" i="1"/>
  <c r="AC303" i="1"/>
  <c r="AD303" i="1"/>
  <c r="AA329" i="1"/>
  <c r="AB329" i="1"/>
  <c r="AD196" i="1"/>
  <c r="AC196" i="1"/>
  <c r="AD197" i="1"/>
  <c r="AC197" i="1"/>
  <c r="AB198" i="1"/>
  <c r="AA198" i="1"/>
  <c r="AB199" i="1"/>
  <c r="AA199" i="1"/>
  <c r="AB203" i="1"/>
  <c r="AA203" i="1"/>
  <c r="AB206" i="1"/>
  <c r="AA206" i="1"/>
  <c r="AC208" i="1"/>
  <c r="AB219" i="1"/>
  <c r="AA219" i="1"/>
  <c r="AB222" i="1"/>
  <c r="AA222" i="1"/>
  <c r="AD224" i="1"/>
  <c r="AC224" i="1"/>
  <c r="AB235" i="1"/>
  <c r="AA235" i="1"/>
  <c r="AB238" i="1"/>
  <c r="AA238" i="1"/>
  <c r="AD240" i="1"/>
  <c r="AC240" i="1"/>
  <c r="AB251" i="1"/>
  <c r="AA251" i="1"/>
  <c r="AC253" i="1"/>
  <c r="AB254" i="1"/>
  <c r="AA254" i="1"/>
  <c r="AD256" i="1"/>
  <c r="AC319" i="1"/>
  <c r="AD319" i="1"/>
  <c r="AB100" i="1"/>
  <c r="AB104" i="1"/>
  <c r="AB108" i="1"/>
  <c r="AB112" i="1"/>
  <c r="AB116" i="1"/>
  <c r="AB120" i="1"/>
  <c r="AB124" i="1"/>
  <c r="AB128" i="1"/>
  <c r="AB132" i="1"/>
  <c r="AB136" i="1"/>
  <c r="AB140" i="1"/>
  <c r="AB144" i="1"/>
  <c r="AB148" i="1"/>
  <c r="AB152" i="1"/>
  <c r="AB156" i="1"/>
  <c r="AB160" i="1"/>
  <c r="AC162" i="1"/>
  <c r="AC166" i="1"/>
  <c r="AE166" i="1" s="1"/>
  <c r="AF166" i="1" s="1"/>
  <c r="AC170" i="1"/>
  <c r="AE170" i="1" s="1"/>
  <c r="AF170" i="1" s="1"/>
  <c r="AC174" i="1"/>
  <c r="AE174" i="1" s="1"/>
  <c r="AF174" i="1" s="1"/>
  <c r="AC178" i="1"/>
  <c r="AC182" i="1"/>
  <c r="AC186" i="1"/>
  <c r="AE186" i="1" s="1"/>
  <c r="AF186" i="1" s="1"/>
  <c r="AC190" i="1"/>
  <c r="AE190" i="1" s="1"/>
  <c r="AF190" i="1" s="1"/>
  <c r="AD194" i="1"/>
  <c r="AC194" i="1"/>
  <c r="AB207" i="1"/>
  <c r="AA207" i="1"/>
  <c r="AB210" i="1"/>
  <c r="AA210" i="1"/>
  <c r="AD212" i="1"/>
  <c r="AC212" i="1"/>
  <c r="AB223" i="1"/>
  <c r="AA223" i="1"/>
  <c r="AC225" i="1"/>
  <c r="AB226" i="1"/>
  <c r="AA226" i="1"/>
  <c r="AD228" i="1"/>
  <c r="AC228" i="1"/>
  <c r="AB239" i="1"/>
  <c r="AA239" i="1"/>
  <c r="AD241" i="1"/>
  <c r="AB242" i="1"/>
  <c r="AA242" i="1"/>
  <c r="AD244" i="1"/>
  <c r="AC244" i="1"/>
  <c r="AB255" i="1"/>
  <c r="AA255" i="1"/>
  <c r="AD257" i="1"/>
  <c r="AC257" i="1"/>
  <c r="AB258" i="1"/>
  <c r="AA258" i="1"/>
  <c r="AD260" i="1"/>
  <c r="AC260" i="1"/>
  <c r="AC299" i="1"/>
  <c r="AD299" i="1"/>
  <c r="AA301" i="1"/>
  <c r="AB301" i="1"/>
  <c r="AE306" i="1"/>
  <c r="AF306" i="1" s="1"/>
  <c r="AA317" i="1"/>
  <c r="AB317" i="1"/>
  <c r="AB333" i="1"/>
  <c r="AA333" i="1"/>
  <c r="AB338" i="1"/>
  <c r="AA338" i="1"/>
  <c r="AA340" i="1"/>
  <c r="AB340" i="1"/>
  <c r="AB341" i="1"/>
  <c r="AA341" i="1"/>
  <c r="AB349" i="1"/>
  <c r="AA349" i="1"/>
  <c r="AB354" i="1"/>
  <c r="AA354" i="1"/>
  <c r="AE280" i="1"/>
  <c r="AF280" i="1" s="1"/>
  <c r="AE288" i="1"/>
  <c r="AF288" i="1" s="1"/>
  <c r="AA305" i="1"/>
  <c r="AB305" i="1"/>
  <c r="AA321" i="1"/>
  <c r="AB321" i="1"/>
  <c r="AA356" i="1"/>
  <c r="AB356" i="1"/>
  <c r="AD415" i="1"/>
  <c r="AC415" i="1"/>
  <c r="AC416" i="1"/>
  <c r="AD416" i="1"/>
  <c r="AA267" i="1"/>
  <c r="AB269" i="1"/>
  <c r="AA270" i="1"/>
  <c r="AE270" i="1" s="1"/>
  <c r="AF270" i="1" s="1"/>
  <c r="AA275" i="1"/>
  <c r="AE275" i="1" s="1"/>
  <c r="AF275" i="1" s="1"/>
  <c r="AB277" i="1"/>
  <c r="AA278" i="1"/>
  <c r="AA283" i="1"/>
  <c r="AE283" i="1" s="1"/>
  <c r="AF283" i="1" s="1"/>
  <c r="AB285" i="1"/>
  <c r="AA286" i="1"/>
  <c r="AA291" i="1"/>
  <c r="AE291" i="1" s="1"/>
  <c r="AF291" i="1" s="1"/>
  <c r="AB293" i="1"/>
  <c r="AA294" i="1"/>
  <c r="AE294" i="1" s="1"/>
  <c r="AF294" i="1" s="1"/>
  <c r="AD307" i="1"/>
  <c r="AE307" i="1" s="1"/>
  <c r="AF307" i="1" s="1"/>
  <c r="AA309" i="1"/>
  <c r="AB309" i="1"/>
  <c r="AD323" i="1"/>
  <c r="AA325" i="1"/>
  <c r="AB325" i="1"/>
  <c r="AD355" i="1"/>
  <c r="AC355" i="1"/>
  <c r="AB345" i="1"/>
  <c r="AA345" i="1"/>
  <c r="AB350" i="1"/>
  <c r="AA350" i="1"/>
  <c r="AD351" i="1"/>
  <c r="AC351" i="1"/>
  <c r="AA360" i="1"/>
  <c r="AB360" i="1"/>
  <c r="AA364" i="1"/>
  <c r="AB364" i="1"/>
  <c r="AA368" i="1"/>
  <c r="AB368" i="1"/>
  <c r="AA372" i="1"/>
  <c r="AB372" i="1"/>
  <c r="AA376" i="1"/>
  <c r="AB376" i="1"/>
  <c r="AA380" i="1"/>
  <c r="AB380" i="1"/>
  <c r="AA384" i="1"/>
  <c r="AB384" i="1"/>
  <c r="AB390" i="1"/>
  <c r="AA390" i="1"/>
  <c r="AB420" i="1"/>
  <c r="AA420" i="1"/>
  <c r="AB429" i="1"/>
  <c r="AA429" i="1"/>
  <c r="AA299" i="1"/>
  <c r="AC343" i="1"/>
  <c r="AE343" i="1" s="1"/>
  <c r="AF343" i="1" s="1"/>
  <c r="AB346" i="1"/>
  <c r="AA346" i="1"/>
  <c r="AB352" i="1"/>
  <c r="AA386" i="1"/>
  <c r="AB386" i="1"/>
  <c r="AD395" i="1"/>
  <c r="AC395" i="1"/>
  <c r="AB425" i="1"/>
  <c r="AA425" i="1"/>
  <c r="AA334" i="1"/>
  <c r="AB336" i="1"/>
  <c r="AA337" i="1"/>
  <c r="AA342" i="1"/>
  <c r="AE342" i="1" s="1"/>
  <c r="AF342" i="1" s="1"/>
  <c r="AB344" i="1"/>
  <c r="AB348" i="1"/>
  <c r="AB353" i="1"/>
  <c r="AA353" i="1"/>
  <c r="AD358" i="1"/>
  <c r="AD362" i="1"/>
  <c r="AD366" i="1"/>
  <c r="AD370" i="1"/>
  <c r="AD374" i="1"/>
  <c r="AD378" i="1"/>
  <c r="AD382" i="1"/>
  <c r="AC423" i="1"/>
  <c r="AB424" i="1"/>
  <c r="AA424" i="1"/>
  <c r="AB396" i="1"/>
  <c r="AA396" i="1"/>
  <c r="AD473" i="1"/>
  <c r="AC473" i="1"/>
  <c r="AA357" i="1"/>
  <c r="AE357" i="1" s="1"/>
  <c r="AF357" i="1" s="1"/>
  <c r="AA358" i="1"/>
  <c r="AC359" i="1"/>
  <c r="AA361" i="1"/>
  <c r="AE361" i="1" s="1"/>
  <c r="AF361" i="1" s="1"/>
  <c r="AA362" i="1"/>
  <c r="AC363" i="1"/>
  <c r="AE363" i="1" s="1"/>
  <c r="AF363" i="1" s="1"/>
  <c r="AA365" i="1"/>
  <c r="AA366" i="1"/>
  <c r="AC367" i="1"/>
  <c r="AE367" i="1" s="1"/>
  <c r="AF367" i="1" s="1"/>
  <c r="AA369" i="1"/>
  <c r="AE369" i="1" s="1"/>
  <c r="AF369" i="1" s="1"/>
  <c r="AA370" i="1"/>
  <c r="AE370" i="1" s="1"/>
  <c r="AF370" i="1" s="1"/>
  <c r="AC371" i="1"/>
  <c r="AE371" i="1" s="1"/>
  <c r="AF371" i="1" s="1"/>
  <c r="AA373" i="1"/>
  <c r="AA374" i="1"/>
  <c r="AC375" i="1"/>
  <c r="AE375" i="1" s="1"/>
  <c r="AF375" i="1" s="1"/>
  <c r="AA377" i="1"/>
  <c r="AA378" i="1"/>
  <c r="AC379" i="1"/>
  <c r="AE379" i="1" s="1"/>
  <c r="AF379" i="1" s="1"/>
  <c r="AA381" i="1"/>
  <c r="AE381" i="1" s="1"/>
  <c r="AF381" i="1" s="1"/>
  <c r="AA382" i="1"/>
  <c r="AC383" i="1"/>
  <c r="AE383" i="1" s="1"/>
  <c r="AF383" i="1" s="1"/>
  <c r="AA385" i="1"/>
  <c r="AE385" i="1" s="1"/>
  <c r="AF385" i="1" s="1"/>
  <c r="AB400" i="1"/>
  <c r="AA400" i="1"/>
  <c r="AD418" i="1"/>
  <c r="AD440" i="1"/>
  <c r="AC440" i="1"/>
  <c r="AD443" i="1"/>
  <c r="AC443" i="1"/>
  <c r="AC399" i="1"/>
  <c r="AA421" i="1"/>
  <c r="AB421" i="1"/>
  <c r="AD426" i="1"/>
  <c r="AC426" i="1"/>
  <c r="AB428" i="1"/>
  <c r="AA428" i="1"/>
  <c r="AD430" i="1"/>
  <c r="AC430" i="1"/>
  <c r="AD439" i="1"/>
  <c r="AC439" i="1"/>
  <c r="AD435" i="1"/>
  <c r="AC435" i="1"/>
  <c r="AD436" i="1"/>
  <c r="AC436" i="1"/>
  <c r="AC448" i="1"/>
  <c r="AD410" i="1"/>
  <c r="AE410" i="1" s="1"/>
  <c r="AF410" i="1" s="1"/>
  <c r="AA418" i="1"/>
  <c r="AB419" i="1"/>
  <c r="AD422" i="1"/>
  <c r="AB454" i="1"/>
  <c r="AA454" i="1"/>
  <c r="AD464" i="1"/>
  <c r="AC464" i="1"/>
  <c r="AB404" i="1"/>
  <c r="AB408" i="1"/>
  <c r="AB412" i="1"/>
  <c r="AB417" i="1"/>
  <c r="AB431" i="1"/>
  <c r="AA431" i="1"/>
  <c r="AB432" i="1"/>
  <c r="AB434" i="1"/>
  <c r="AA434" i="1"/>
  <c r="AD457" i="1"/>
  <c r="AC457" i="1"/>
  <c r="AB470" i="1"/>
  <c r="AA470" i="1"/>
  <c r="AB438" i="1"/>
  <c r="AA438" i="1"/>
  <c r="AD452" i="1"/>
  <c r="AC452" i="1"/>
  <c r="AB458" i="1"/>
  <c r="AA458" i="1"/>
  <c r="AD468" i="1"/>
  <c r="AC468" i="1"/>
  <c r="AE468" i="1" s="1"/>
  <c r="AF468" i="1" s="1"/>
  <c r="AB474" i="1"/>
  <c r="AA474" i="1"/>
  <c r="AB442" i="1"/>
  <c r="AA442" i="1"/>
  <c r="AB446" i="1"/>
  <c r="AA446" i="1"/>
  <c r="AD456" i="1"/>
  <c r="AC456" i="1"/>
  <c r="AE456" i="1" s="1"/>
  <c r="AF456" i="1" s="1"/>
  <c r="AB462" i="1"/>
  <c r="AA462" i="1"/>
  <c r="AD472" i="1"/>
  <c r="AC472" i="1"/>
  <c r="AE449" i="1"/>
  <c r="AF449" i="1" s="1"/>
  <c r="AB450" i="1"/>
  <c r="AA450" i="1"/>
  <c r="AC461" i="1"/>
  <c r="AE461" i="1" s="1"/>
  <c r="AF461" i="1" s="1"/>
  <c r="AB466" i="1"/>
  <c r="AA466" i="1"/>
  <c r="AD476" i="1"/>
  <c r="AC476" i="1"/>
  <c r="AC477" i="1"/>
  <c r="AE327" i="1" l="1"/>
  <c r="AF327" i="1" s="1"/>
  <c r="AC221" i="1"/>
  <c r="AC82" i="1"/>
  <c r="AE82" i="1" s="1"/>
  <c r="AF82" i="1" s="1"/>
  <c r="AC14" i="1"/>
  <c r="AC300" i="1"/>
  <c r="AE300" i="1" s="1"/>
  <c r="AF300" i="1" s="1"/>
  <c r="AE51" i="1"/>
  <c r="AF51" i="1" s="1"/>
  <c r="AD54" i="1"/>
  <c r="AE54" i="1" s="1"/>
  <c r="AF54" i="1" s="1"/>
  <c r="AC18" i="1"/>
  <c r="AE18" i="1" s="1"/>
  <c r="AF18" i="1" s="1"/>
  <c r="AE89" i="1"/>
  <c r="AF89" i="1" s="1"/>
  <c r="AE31" i="1"/>
  <c r="AF31" i="1" s="1"/>
  <c r="AB42" i="3"/>
  <c r="X11" i="3"/>
  <c r="Y11" i="3" s="1"/>
  <c r="AE11" i="3" s="1"/>
  <c r="V5" i="3"/>
  <c r="X5" i="3" s="1"/>
  <c r="Y5" i="3" s="1"/>
  <c r="AC460" i="1"/>
  <c r="AE351" i="1"/>
  <c r="AF351" i="1" s="1"/>
  <c r="AC261" i="1"/>
  <c r="AE261" i="1" s="1"/>
  <c r="AF261" i="1" s="1"/>
  <c r="AC50" i="1"/>
  <c r="AC42" i="1"/>
  <c r="AC38" i="1"/>
  <c r="AE38" i="1" s="1"/>
  <c r="AF38" i="1" s="1"/>
  <c r="AC34" i="1"/>
  <c r="AE34" i="1" s="1"/>
  <c r="AF34" i="1" s="1"/>
  <c r="AC30" i="1"/>
  <c r="AE102" i="1"/>
  <c r="AF102" i="1" s="1"/>
  <c r="AE73" i="1"/>
  <c r="AF73" i="1" s="1"/>
  <c r="AB10" i="3"/>
  <c r="AA10" i="3"/>
  <c r="AD10" i="3" s="1"/>
  <c r="AE459" i="1"/>
  <c r="AF459" i="1" s="1"/>
  <c r="AE150" i="1"/>
  <c r="AF150" i="1" s="1"/>
  <c r="AC147" i="1"/>
  <c r="AE147" i="1" s="1"/>
  <c r="AF147" i="1" s="1"/>
  <c r="AE221" i="1"/>
  <c r="AF221" i="1" s="1"/>
  <c r="AD414" i="1"/>
  <c r="AE414" i="1" s="1"/>
  <c r="AF414" i="1" s="1"/>
  <c r="AD388" i="1"/>
  <c r="AC233" i="1"/>
  <c r="AE233" i="1" s="1"/>
  <c r="AF233" i="1" s="1"/>
  <c r="AC98" i="1"/>
  <c r="AC78" i="1"/>
  <c r="AE78" i="1" s="1"/>
  <c r="AF78" i="1" s="1"/>
  <c r="AD38" i="3"/>
  <c r="W39" i="3"/>
  <c r="X39" i="3" s="1"/>
  <c r="Y39" i="3" s="1"/>
  <c r="V19" i="3"/>
  <c r="X19" i="3" s="1"/>
  <c r="Y19" i="3" s="1"/>
  <c r="AD9" i="3"/>
  <c r="AE9" i="3" s="1"/>
  <c r="AE467" i="1"/>
  <c r="AF467" i="1" s="1"/>
  <c r="AE453" i="1"/>
  <c r="AF453" i="1" s="1"/>
  <c r="AD130" i="1"/>
  <c r="AE130" i="1" s="1"/>
  <c r="AF130" i="1" s="1"/>
  <c r="AE402" i="1"/>
  <c r="AF402" i="1" s="1"/>
  <c r="AC63" i="1"/>
  <c r="AE63" i="1" s="1"/>
  <c r="AF63" i="1" s="1"/>
  <c r="AC347" i="1"/>
  <c r="AE347" i="1" s="1"/>
  <c r="AF347" i="1" s="1"/>
  <c r="AE359" i="1"/>
  <c r="AF359" i="1" s="1"/>
  <c r="AC66" i="1"/>
  <c r="AD28" i="3"/>
  <c r="AE302" i="1"/>
  <c r="AF302" i="1" s="1"/>
  <c r="AE311" i="1"/>
  <c r="AF311" i="1" s="1"/>
  <c r="AC123" i="1"/>
  <c r="AE123" i="1" s="1"/>
  <c r="AF123" i="1" s="1"/>
  <c r="AC107" i="1"/>
  <c r="AE107" i="1" s="1"/>
  <c r="AF107" i="1" s="1"/>
  <c r="AE83" i="1"/>
  <c r="AF83" i="1" s="1"/>
  <c r="AC35" i="1"/>
  <c r="AE35" i="1" s="1"/>
  <c r="AF35" i="1" s="1"/>
  <c r="AC475" i="1"/>
  <c r="AE475" i="1" s="1"/>
  <c r="AF475" i="1" s="1"/>
  <c r="AC79" i="1"/>
  <c r="AE79" i="1" s="1"/>
  <c r="AF79" i="1" s="1"/>
  <c r="AD13" i="3"/>
  <c r="AE13" i="3" s="1"/>
  <c r="AD8" i="3"/>
  <c r="AE331" i="1"/>
  <c r="AF331" i="1" s="1"/>
  <c r="AE217" i="1"/>
  <c r="AF217" i="1" s="1"/>
  <c r="AE201" i="1"/>
  <c r="AF201" i="1" s="1"/>
  <c r="AE330" i="1"/>
  <c r="AF330" i="1" s="1"/>
  <c r="AE192" i="1"/>
  <c r="AF192" i="1" s="1"/>
  <c r="AE87" i="1"/>
  <c r="AF87" i="1" s="1"/>
  <c r="AD37" i="3"/>
  <c r="AE257" i="1"/>
  <c r="AF257" i="1" s="1"/>
  <c r="AE241" i="1"/>
  <c r="AF241" i="1" s="1"/>
  <c r="AB24" i="2"/>
  <c r="AD427" i="1"/>
  <c r="AE182" i="1"/>
  <c r="AF182" i="1" s="1"/>
  <c r="X15" i="3"/>
  <c r="Y15" i="3" s="1"/>
  <c r="AE15" i="3" s="1"/>
  <c r="T10" i="3"/>
  <c r="AE158" i="1"/>
  <c r="AF158" i="1" s="1"/>
  <c r="AE115" i="1"/>
  <c r="AF115" i="1" s="1"/>
  <c r="AE67" i="1"/>
  <c r="AF67" i="1" s="1"/>
  <c r="AD161" i="1"/>
  <c r="AE161" i="1" s="1"/>
  <c r="AF161" i="1" s="1"/>
  <c r="AC131" i="1"/>
  <c r="AE131" i="1" s="1"/>
  <c r="AF131" i="1" s="1"/>
  <c r="AE7" i="1"/>
  <c r="AF7" i="1" s="1"/>
  <c r="AE27" i="1"/>
  <c r="AF27" i="1" s="1"/>
  <c r="AE326" i="1"/>
  <c r="AF326" i="1" s="1"/>
  <c r="AE405" i="1"/>
  <c r="AF405" i="1" s="1"/>
  <c r="AE314" i="1"/>
  <c r="AF314" i="1" s="1"/>
  <c r="AD20" i="3"/>
  <c r="AE20" i="3" s="1"/>
  <c r="AE310" i="1"/>
  <c r="AF310" i="1" s="1"/>
  <c r="AE86" i="1"/>
  <c r="AF86" i="1" s="1"/>
  <c r="AE149" i="1"/>
  <c r="AF149" i="1" s="1"/>
  <c r="AE125" i="1"/>
  <c r="AF125" i="1" s="1"/>
  <c r="AE70" i="1"/>
  <c r="AF70" i="1" s="1"/>
  <c r="AE440" i="1"/>
  <c r="AF440" i="1" s="1"/>
  <c r="AE337" i="1"/>
  <c r="AF337" i="1" s="1"/>
  <c r="AE66" i="1"/>
  <c r="AF66" i="1" s="1"/>
  <c r="AE118" i="1"/>
  <c r="AF118" i="1" s="1"/>
  <c r="AE472" i="1"/>
  <c r="AF472" i="1" s="1"/>
  <c r="AE303" i="1"/>
  <c r="AF303" i="1" s="1"/>
  <c r="AE463" i="1"/>
  <c r="AF463" i="1" s="1"/>
  <c r="AE334" i="1"/>
  <c r="AF334" i="1" s="1"/>
  <c r="AD7" i="3"/>
  <c r="X31" i="3"/>
  <c r="Y31" i="3" s="1"/>
  <c r="AE312" i="1"/>
  <c r="AF312" i="1" s="1"/>
  <c r="AE448" i="1"/>
  <c r="AF448" i="1" s="1"/>
  <c r="AE278" i="1"/>
  <c r="AF278" i="1" s="1"/>
  <c r="AE319" i="1"/>
  <c r="AF319" i="1" s="1"/>
  <c r="AE197" i="1"/>
  <c r="AF197" i="1" s="1"/>
  <c r="AE98" i="1"/>
  <c r="AF98" i="1" s="1"/>
  <c r="AE110" i="1"/>
  <c r="AF110" i="1" s="1"/>
  <c r="AE69" i="1"/>
  <c r="AF69" i="1" s="1"/>
  <c r="AE451" i="1"/>
  <c r="AF451" i="1" s="1"/>
  <c r="AE11" i="1"/>
  <c r="AF11" i="1" s="1"/>
  <c r="AE225" i="1"/>
  <c r="AF225" i="1" s="1"/>
  <c r="AE155" i="1"/>
  <c r="AF155" i="1" s="1"/>
  <c r="AE464" i="1"/>
  <c r="AF464" i="1" s="1"/>
  <c r="AE415" i="1"/>
  <c r="AF415" i="1" s="1"/>
  <c r="AE195" i="1"/>
  <c r="AF195" i="1" s="1"/>
  <c r="AE163" i="1"/>
  <c r="AF163" i="1" s="1"/>
  <c r="AE68" i="1"/>
  <c r="AF68" i="1" s="1"/>
  <c r="X32" i="3"/>
  <c r="Y32" i="3" s="1"/>
  <c r="AE32" i="3" s="1"/>
  <c r="V7" i="3"/>
  <c r="X7" i="3" s="1"/>
  <c r="Y7" i="3" s="1"/>
  <c r="X29" i="3"/>
  <c r="Y29" i="3" s="1"/>
  <c r="AE154" i="1"/>
  <c r="AF154" i="1" s="1"/>
  <c r="AE188" i="1"/>
  <c r="AF188" i="1" s="1"/>
  <c r="AE71" i="1"/>
  <c r="AF71" i="1" s="1"/>
  <c r="X6" i="3"/>
  <c r="Y6" i="3" s="1"/>
  <c r="AD18" i="2"/>
  <c r="AF18" i="2" s="1"/>
  <c r="AG18" i="2" s="1"/>
  <c r="AC19" i="1"/>
  <c r="AE19" i="1" s="1"/>
  <c r="AF19" i="1" s="1"/>
  <c r="AD445" i="1"/>
  <c r="AC445" i="1"/>
  <c r="AE80" i="1"/>
  <c r="AF80" i="1" s="1"/>
  <c r="AE323" i="1"/>
  <c r="AF323" i="1" s="1"/>
  <c r="AD126" i="1"/>
  <c r="AD34" i="3"/>
  <c r="AE441" i="1"/>
  <c r="AF441" i="1" s="1"/>
  <c r="AE322" i="1"/>
  <c r="AF322" i="1" s="1"/>
  <c r="AE397" i="1"/>
  <c r="AF397" i="1" s="1"/>
  <c r="AE268" i="1"/>
  <c r="AF268" i="1" s="1"/>
  <c r="AC444" i="1"/>
  <c r="AE444" i="1" s="1"/>
  <c r="AF444" i="1" s="1"/>
  <c r="AE399" i="1"/>
  <c r="AF399" i="1" s="1"/>
  <c r="AE194" i="1"/>
  <c r="AF194" i="1" s="1"/>
  <c r="AD43" i="3"/>
  <c r="AE318" i="1"/>
  <c r="AF318" i="1" s="1"/>
  <c r="AE387" i="1"/>
  <c r="AF387" i="1" s="1"/>
  <c r="AE134" i="1"/>
  <c r="AF134" i="1" s="1"/>
  <c r="AE39" i="1"/>
  <c r="AF39" i="1" s="1"/>
  <c r="X21" i="3"/>
  <c r="Y21" i="3" s="1"/>
  <c r="AC94" i="1"/>
  <c r="AE94" i="1" s="1"/>
  <c r="AF94" i="1" s="1"/>
  <c r="AE422" i="1"/>
  <c r="AF422" i="1" s="1"/>
  <c r="AC398" i="1"/>
  <c r="AE398" i="1" s="1"/>
  <c r="AF398" i="1" s="1"/>
  <c r="AE267" i="1"/>
  <c r="AF267" i="1" s="1"/>
  <c r="AE253" i="1"/>
  <c r="AF253" i="1" s="1"/>
  <c r="AE179" i="1"/>
  <c r="AF179" i="1" s="1"/>
  <c r="AC245" i="1"/>
  <c r="AE245" i="1" s="1"/>
  <c r="AF245" i="1" s="1"/>
  <c r="AE229" i="1"/>
  <c r="AF229" i="1" s="1"/>
  <c r="AE213" i="1"/>
  <c r="AF213" i="1" s="1"/>
  <c r="AE320" i="1"/>
  <c r="AF320" i="1" s="1"/>
  <c r="AE452" i="1"/>
  <c r="AF452" i="1" s="1"/>
  <c r="AE457" i="1"/>
  <c r="AF457" i="1" s="1"/>
  <c r="AD394" i="1"/>
  <c r="AE365" i="1"/>
  <c r="AF365" i="1" s="1"/>
  <c r="AE416" i="1"/>
  <c r="AF416" i="1" s="1"/>
  <c r="AC90" i="1"/>
  <c r="AE90" i="1" s="1"/>
  <c r="AF90" i="1" s="1"/>
  <c r="AC74" i="1"/>
  <c r="AE74" i="1" s="1"/>
  <c r="AF74" i="1" s="1"/>
  <c r="AC58" i="1"/>
  <c r="AE58" i="1" s="1"/>
  <c r="AF58" i="1" s="1"/>
  <c r="V25" i="3"/>
  <c r="X25" i="3" s="1"/>
  <c r="Y25" i="3" s="1"/>
  <c r="X12" i="3"/>
  <c r="Y12" i="3" s="1"/>
  <c r="AE151" i="1"/>
  <c r="AF151" i="1" s="1"/>
  <c r="AE133" i="1"/>
  <c r="AF133" i="1" s="1"/>
  <c r="AC15" i="1"/>
  <c r="AE15" i="1" s="1"/>
  <c r="AF15" i="1" s="1"/>
  <c r="AE284" i="1"/>
  <c r="AF284" i="1" s="1"/>
  <c r="AF4" i="2"/>
  <c r="AG4" i="2" s="1"/>
  <c r="AF9" i="2"/>
  <c r="AG9" i="2" s="1"/>
  <c r="AF8" i="2"/>
  <c r="AG8" i="2" s="1"/>
  <c r="AF12" i="2"/>
  <c r="AG12" i="2" s="1"/>
  <c r="AF21" i="2"/>
  <c r="AG21" i="2" s="1"/>
  <c r="X35" i="3"/>
  <c r="Y35" i="3" s="1"/>
  <c r="AE35" i="3" s="1"/>
  <c r="X43" i="3"/>
  <c r="Y43" i="3" s="1"/>
  <c r="AD316" i="1"/>
  <c r="AC316" i="1"/>
  <c r="AC181" i="1"/>
  <c r="AD181" i="1"/>
  <c r="AD335" i="1"/>
  <c r="AC335" i="1"/>
  <c r="AE176" i="1"/>
  <c r="AF176" i="1" s="1"/>
  <c r="AD95" i="1"/>
  <c r="AC95" i="1"/>
  <c r="AE388" i="1"/>
  <c r="AF388" i="1" s="1"/>
  <c r="AE355" i="1"/>
  <c r="AF355" i="1" s="1"/>
  <c r="AE187" i="1"/>
  <c r="AF187" i="1" s="1"/>
  <c r="AE171" i="1"/>
  <c r="AF171" i="1" s="1"/>
  <c r="AE88" i="1"/>
  <c r="AF88" i="1" s="1"/>
  <c r="AE72" i="1"/>
  <c r="AF72" i="1" s="1"/>
  <c r="AE93" i="1"/>
  <c r="AF93" i="1" s="1"/>
  <c r="AE122" i="1"/>
  <c r="AF122" i="1" s="1"/>
  <c r="AE126" i="1"/>
  <c r="AF126" i="1" s="1"/>
  <c r="AE114" i="1"/>
  <c r="AF114" i="1" s="1"/>
  <c r="AE142" i="1"/>
  <c r="AF142" i="1" s="1"/>
  <c r="AD173" i="1"/>
  <c r="AE173" i="1" s="1"/>
  <c r="AF173" i="1" s="1"/>
  <c r="AC189" i="1"/>
  <c r="AD189" i="1"/>
  <c r="AE423" i="1"/>
  <c r="AF423" i="1" s="1"/>
  <c r="AE183" i="1"/>
  <c r="AF183" i="1" s="1"/>
  <c r="AE167" i="1"/>
  <c r="AF167" i="1" s="1"/>
  <c r="AE45" i="1"/>
  <c r="AF45" i="1" s="1"/>
  <c r="AE37" i="1"/>
  <c r="AF37" i="1" s="1"/>
  <c r="AE29" i="1"/>
  <c r="AF29" i="1" s="1"/>
  <c r="AE5" i="1"/>
  <c r="AF5" i="1" s="1"/>
  <c r="AE65" i="1"/>
  <c r="AF65" i="1" s="1"/>
  <c r="AE159" i="1"/>
  <c r="AF159" i="1" s="1"/>
  <c r="AE127" i="1"/>
  <c r="AF127" i="1" s="1"/>
  <c r="AE119" i="1"/>
  <c r="AF119" i="1" s="1"/>
  <c r="AE103" i="1"/>
  <c r="AF103" i="1" s="1"/>
  <c r="AE91" i="1"/>
  <c r="AF91" i="1" s="1"/>
  <c r="AE75" i="1"/>
  <c r="AF75" i="1" s="1"/>
  <c r="AE43" i="1"/>
  <c r="AF43" i="1" s="1"/>
  <c r="AE113" i="1"/>
  <c r="AF113" i="1" s="1"/>
  <c r="AE180" i="1"/>
  <c r="AF180" i="1" s="1"/>
  <c r="AC276" i="1"/>
  <c r="AE276" i="1" s="1"/>
  <c r="AF276" i="1" s="1"/>
  <c r="AE6" i="2"/>
  <c r="AD6" i="2"/>
  <c r="AF17" i="2"/>
  <c r="AG17" i="2" s="1"/>
  <c r="AA42" i="3"/>
  <c r="AD42" i="3" s="1"/>
  <c r="AE43" i="3"/>
  <c r="X40" i="3"/>
  <c r="Y40" i="3" s="1"/>
  <c r="AE40" i="3" s="1"/>
  <c r="X30" i="3"/>
  <c r="Y30" i="3" s="1"/>
  <c r="AD5" i="3"/>
  <c r="AE5" i="3" s="1"/>
  <c r="AE394" i="1"/>
  <c r="AF394" i="1" s="1"/>
  <c r="AE164" i="1"/>
  <c r="AF164" i="1" s="1"/>
  <c r="AE172" i="1"/>
  <c r="AF172" i="1" s="1"/>
  <c r="AD407" i="1"/>
  <c r="AC407" i="1"/>
  <c r="AE141" i="1"/>
  <c r="AF141" i="1" s="1"/>
  <c r="AC101" i="1"/>
  <c r="AD101" i="1"/>
  <c r="AE296" i="1"/>
  <c r="AF296" i="1" s="1"/>
  <c r="AD437" i="1"/>
  <c r="AC437" i="1"/>
  <c r="AD292" i="1"/>
  <c r="AC292" i="1"/>
  <c r="AD193" i="1"/>
  <c r="AC193" i="1"/>
  <c r="AE193" i="1" s="1"/>
  <c r="AF193" i="1" s="1"/>
  <c r="AC177" i="1"/>
  <c r="AD177" i="1"/>
  <c r="AE418" i="1"/>
  <c r="AF418" i="1" s="1"/>
  <c r="AE427" i="1"/>
  <c r="AF427" i="1" s="1"/>
  <c r="AE382" i="1"/>
  <c r="AF382" i="1" s="1"/>
  <c r="AE395" i="1"/>
  <c r="AF395" i="1" s="1"/>
  <c r="AE252" i="1"/>
  <c r="AF252" i="1" s="1"/>
  <c r="AC249" i="1"/>
  <c r="AE249" i="1" s="1"/>
  <c r="AF249" i="1" s="1"/>
  <c r="AE236" i="1"/>
  <c r="AF236" i="1" s="1"/>
  <c r="AE220" i="1"/>
  <c r="AF220" i="1" s="1"/>
  <c r="AE204" i="1"/>
  <c r="AF204" i="1" s="1"/>
  <c r="AE60" i="1"/>
  <c r="AF60" i="1" s="1"/>
  <c r="AE53" i="1"/>
  <c r="AF53" i="1" s="1"/>
  <c r="AE21" i="1"/>
  <c r="AF21" i="1" s="1"/>
  <c r="AE13" i="1"/>
  <c r="AF13" i="1" s="1"/>
  <c r="AE473" i="1"/>
  <c r="AF473" i="1" s="1"/>
  <c r="AE465" i="1"/>
  <c r="AF465" i="1" s="1"/>
  <c r="AE447" i="1"/>
  <c r="AF447" i="1" s="1"/>
  <c r="AE184" i="1"/>
  <c r="AF184" i="1" s="1"/>
  <c r="AE436" i="1"/>
  <c r="AF436" i="1" s="1"/>
  <c r="AE439" i="1"/>
  <c r="AF439" i="1" s="1"/>
  <c r="AE61" i="1"/>
  <c r="AF61" i="1" s="1"/>
  <c r="AE50" i="1"/>
  <c r="AF50" i="1" s="1"/>
  <c r="AE46" i="1"/>
  <c r="AF46" i="1" s="1"/>
  <c r="AE42" i="1"/>
  <c r="AF42" i="1" s="1"/>
  <c r="AE30" i="1"/>
  <c r="AF30" i="1" s="1"/>
  <c r="AE26" i="1"/>
  <c r="AF26" i="1" s="1"/>
  <c r="AE22" i="1"/>
  <c r="AF22" i="1" s="1"/>
  <c r="AE14" i="1"/>
  <c r="AF14" i="1" s="1"/>
  <c r="AE10" i="1"/>
  <c r="AF10" i="1" s="1"/>
  <c r="AE85" i="1"/>
  <c r="AF85" i="1" s="1"/>
  <c r="AE137" i="1"/>
  <c r="AF137" i="1" s="1"/>
  <c r="AD165" i="1"/>
  <c r="AE165" i="1" s="1"/>
  <c r="AF165" i="1" s="1"/>
  <c r="AE168" i="1"/>
  <c r="AF168" i="1" s="1"/>
  <c r="AD332" i="1"/>
  <c r="AC332" i="1"/>
  <c r="AC185" i="1"/>
  <c r="AD185" i="1"/>
  <c r="AE157" i="1"/>
  <c r="AF157" i="1" s="1"/>
  <c r="AB23" i="2"/>
  <c r="AC413" i="1"/>
  <c r="AD413" i="1"/>
  <c r="X17" i="3"/>
  <c r="Y17" i="3" s="1"/>
  <c r="AD23" i="1"/>
  <c r="AC23" i="1"/>
  <c r="AE477" i="1"/>
  <c r="AF477" i="1" s="1"/>
  <c r="AE426" i="1"/>
  <c r="AF426" i="1" s="1"/>
  <c r="AE476" i="1"/>
  <c r="AF476" i="1" s="1"/>
  <c r="AE460" i="1"/>
  <c r="AF460" i="1" s="1"/>
  <c r="AE378" i="1"/>
  <c r="AF378" i="1" s="1"/>
  <c r="AE373" i="1"/>
  <c r="AF373" i="1" s="1"/>
  <c r="AE362" i="1"/>
  <c r="AF362" i="1" s="1"/>
  <c r="AD209" i="1"/>
  <c r="AE209" i="1" s="1"/>
  <c r="AF209" i="1" s="1"/>
  <c r="AE178" i="1"/>
  <c r="AF178" i="1" s="1"/>
  <c r="AE162" i="1"/>
  <c r="AF162" i="1" s="1"/>
  <c r="AD237" i="1"/>
  <c r="AE237" i="1" s="1"/>
  <c r="AF237" i="1" s="1"/>
  <c r="AD205" i="1"/>
  <c r="AE205" i="1" s="1"/>
  <c r="AF205" i="1" s="1"/>
  <c r="AD265" i="1"/>
  <c r="AE265" i="1" s="1"/>
  <c r="AF265" i="1" s="1"/>
  <c r="AE191" i="1"/>
  <c r="AF191" i="1" s="1"/>
  <c r="AE175" i="1"/>
  <c r="AF175" i="1" s="1"/>
  <c r="AD6" i="1"/>
  <c r="AE6" i="1" s="1"/>
  <c r="AF6" i="1" s="1"/>
  <c r="AE97" i="1"/>
  <c r="AF97" i="1" s="1"/>
  <c r="AE81" i="1"/>
  <c r="AF81" i="1" s="1"/>
  <c r="AE57" i="1"/>
  <c r="AF57" i="1" s="1"/>
  <c r="AE49" i="1"/>
  <c r="AF49" i="1" s="1"/>
  <c r="AE41" i="1"/>
  <c r="AF41" i="1" s="1"/>
  <c r="AE33" i="1"/>
  <c r="AF33" i="1" s="1"/>
  <c r="AE25" i="1"/>
  <c r="AF25" i="1" s="1"/>
  <c r="AE17" i="1"/>
  <c r="AF17" i="1" s="1"/>
  <c r="AE9" i="1"/>
  <c r="AF9" i="1" s="1"/>
  <c r="AE41" i="3"/>
  <c r="AD36" i="3"/>
  <c r="X16" i="3"/>
  <c r="Y16" i="3" s="1"/>
  <c r="X37" i="3"/>
  <c r="Y37" i="3" s="1"/>
  <c r="AD29" i="3"/>
  <c r="AD23" i="2"/>
  <c r="X27" i="3"/>
  <c r="Y27" i="3" s="1"/>
  <c r="AC409" i="1"/>
  <c r="AD409" i="1"/>
  <c r="AE403" i="1"/>
  <c r="AF403" i="1" s="1"/>
  <c r="AE389" i="1"/>
  <c r="AF389" i="1" s="1"/>
  <c r="AE139" i="1"/>
  <c r="AF139" i="1" s="1"/>
  <c r="AE129" i="1"/>
  <c r="AF129" i="1" s="1"/>
  <c r="AE435" i="1"/>
  <c r="AF435" i="1" s="1"/>
  <c r="AE377" i="1"/>
  <c r="AF377" i="1" s="1"/>
  <c r="AE299" i="1"/>
  <c r="AF299" i="1" s="1"/>
  <c r="AE200" i="1"/>
  <c r="AF200" i="1" s="1"/>
  <c r="AE96" i="1"/>
  <c r="AF96" i="1" s="1"/>
  <c r="AE64" i="1"/>
  <c r="AF64" i="1" s="1"/>
  <c r="X26" i="3"/>
  <c r="Y26" i="3" s="1"/>
  <c r="AF7" i="2"/>
  <c r="AG7" i="2" s="1"/>
  <c r="AD39" i="3"/>
  <c r="AD30" i="3"/>
  <c r="AD26" i="3"/>
  <c r="AD17" i="3"/>
  <c r="AD6" i="3"/>
  <c r="AE6" i="3" s="1"/>
  <c r="AD433" i="1"/>
  <c r="AC433" i="1"/>
  <c r="AE401" i="1"/>
  <c r="AF401" i="1" s="1"/>
  <c r="AE304" i="1"/>
  <c r="AF304" i="1" s="1"/>
  <c r="AE471" i="1"/>
  <c r="AF471" i="1" s="1"/>
  <c r="AE111" i="1"/>
  <c r="AF111" i="1" s="1"/>
  <c r="AE59" i="1"/>
  <c r="AF59" i="1" s="1"/>
  <c r="AE138" i="1"/>
  <c r="AF138" i="1" s="1"/>
  <c r="AE121" i="1"/>
  <c r="AF121" i="1" s="1"/>
  <c r="AE11" i="2"/>
  <c r="AD11" i="2"/>
  <c r="AE374" i="1"/>
  <c r="AF374" i="1" s="1"/>
  <c r="AE358" i="1"/>
  <c r="AF358" i="1" s="1"/>
  <c r="AE286" i="1"/>
  <c r="AF286" i="1" s="1"/>
  <c r="AE92" i="1"/>
  <c r="AF92" i="1" s="1"/>
  <c r="AE84" i="1"/>
  <c r="AF84" i="1" s="1"/>
  <c r="AE76" i="1"/>
  <c r="AF76" i="1" s="1"/>
  <c r="AE106" i="1"/>
  <c r="AF106" i="1" s="1"/>
  <c r="X24" i="3"/>
  <c r="Y24" i="3" s="1"/>
  <c r="AE24" i="3" s="1"/>
  <c r="X14" i="3"/>
  <c r="Y14" i="3" s="1"/>
  <c r="AE30" i="3"/>
  <c r="AD4" i="3"/>
  <c r="AF22" i="2"/>
  <c r="AG22" i="2" s="1"/>
  <c r="AF16" i="2"/>
  <c r="AG16" i="2" s="1"/>
  <c r="AD16" i="3"/>
  <c r="AC406" i="1"/>
  <c r="AD406" i="1"/>
  <c r="AE143" i="1"/>
  <c r="AF143" i="1" s="1"/>
  <c r="AE145" i="1"/>
  <c r="AF145" i="1" s="1"/>
  <c r="AE105" i="1"/>
  <c r="AF105" i="1" s="1"/>
  <c r="AE10" i="2"/>
  <c r="AD10" i="2"/>
  <c r="AE14" i="2"/>
  <c r="AD14" i="2"/>
  <c r="AB10" i="2"/>
  <c r="AB14" i="2"/>
  <c r="AF19" i="2"/>
  <c r="AG19" i="2" s="1"/>
  <c r="AB13" i="2"/>
  <c r="AE24" i="2"/>
  <c r="AD24" i="2"/>
  <c r="AE13" i="2"/>
  <c r="AD13" i="2"/>
  <c r="AF15" i="2"/>
  <c r="AG15" i="2" s="1"/>
  <c r="AD27" i="3"/>
  <c r="V38" i="3"/>
  <c r="W38" i="3"/>
  <c r="V34" i="3"/>
  <c r="W34" i="3"/>
  <c r="T33" i="3"/>
  <c r="U33" i="3"/>
  <c r="AD31" i="3"/>
  <c r="AE31" i="3" s="1"/>
  <c r="AD18" i="3"/>
  <c r="X18" i="3"/>
  <c r="Y18" i="3" s="1"/>
  <c r="W10" i="3"/>
  <c r="V10" i="3"/>
  <c r="AB33" i="3"/>
  <c r="AC33" i="3"/>
  <c r="V36" i="3"/>
  <c r="W36" i="3"/>
  <c r="AD23" i="3"/>
  <c r="AE23" i="3" s="1"/>
  <c r="AA33" i="3"/>
  <c r="AE29" i="3"/>
  <c r="AD14" i="3"/>
  <c r="AD21" i="3"/>
  <c r="AE21" i="3" s="1"/>
  <c r="V4" i="3"/>
  <c r="W4" i="3"/>
  <c r="U42" i="3"/>
  <c r="T42" i="3"/>
  <c r="X28" i="3"/>
  <c r="Y28" i="3" s="1"/>
  <c r="AE28" i="3" s="1"/>
  <c r="AD19" i="3"/>
  <c r="AE19" i="3" s="1"/>
  <c r="X22" i="3"/>
  <c r="Y22" i="3" s="1"/>
  <c r="AE22" i="3" s="1"/>
  <c r="AD12" i="3"/>
  <c r="X8" i="3"/>
  <c r="Y8" i="3" s="1"/>
  <c r="AE8" i="3" s="1"/>
  <c r="T4" i="3"/>
  <c r="AD25" i="3"/>
  <c r="AC450" i="1"/>
  <c r="AD450" i="1"/>
  <c r="AC438" i="1"/>
  <c r="AD438" i="1"/>
  <c r="AC432" i="1"/>
  <c r="AD432" i="1"/>
  <c r="AD408" i="1"/>
  <c r="AC408" i="1"/>
  <c r="AC419" i="1"/>
  <c r="AD419" i="1"/>
  <c r="AE443" i="1"/>
  <c r="AF443" i="1" s="1"/>
  <c r="AC353" i="1"/>
  <c r="AD353" i="1"/>
  <c r="AC425" i="1"/>
  <c r="AD425" i="1"/>
  <c r="AD380" i="1"/>
  <c r="AC380" i="1"/>
  <c r="AD372" i="1"/>
  <c r="AC372" i="1"/>
  <c r="AD364" i="1"/>
  <c r="AC364" i="1"/>
  <c r="AC350" i="1"/>
  <c r="AD350" i="1"/>
  <c r="AD269" i="1"/>
  <c r="AC269" i="1"/>
  <c r="AD340" i="1"/>
  <c r="AC340" i="1"/>
  <c r="AD317" i="1"/>
  <c r="AC317" i="1"/>
  <c r="AD301" i="1"/>
  <c r="AC301" i="1"/>
  <c r="AE260" i="1"/>
  <c r="AF260" i="1" s="1"/>
  <c r="AE244" i="1"/>
  <c r="AF244" i="1" s="1"/>
  <c r="AE228" i="1"/>
  <c r="AF228" i="1" s="1"/>
  <c r="AE212" i="1"/>
  <c r="AF212" i="1" s="1"/>
  <c r="AD152" i="1"/>
  <c r="AC152" i="1"/>
  <c r="AD136" i="1"/>
  <c r="AC136" i="1"/>
  <c r="AD120" i="1"/>
  <c r="AC120" i="1"/>
  <c r="AD104" i="1"/>
  <c r="AC104" i="1"/>
  <c r="AE196" i="1"/>
  <c r="AF196" i="1" s="1"/>
  <c r="AC295" i="1"/>
  <c r="AD295" i="1"/>
  <c r="AC282" i="1"/>
  <c r="AD282" i="1"/>
  <c r="AC279" i="1"/>
  <c r="AD279" i="1"/>
  <c r="AC266" i="1"/>
  <c r="AD266" i="1"/>
  <c r="AC263" i="1"/>
  <c r="AD263" i="1"/>
  <c r="AD250" i="1"/>
  <c r="AC250" i="1"/>
  <c r="AC247" i="1"/>
  <c r="AD247" i="1"/>
  <c r="AD234" i="1"/>
  <c r="AC234" i="1"/>
  <c r="AC231" i="1"/>
  <c r="AD231" i="1"/>
  <c r="AD218" i="1"/>
  <c r="AC218" i="1"/>
  <c r="AC215" i="1"/>
  <c r="AD215" i="1"/>
  <c r="AD202" i="1"/>
  <c r="AC202" i="1"/>
  <c r="AD262" i="1"/>
  <c r="AC262" i="1"/>
  <c r="AC259" i="1"/>
  <c r="AD259" i="1"/>
  <c r="AD246" i="1"/>
  <c r="AC246" i="1"/>
  <c r="AC243" i="1"/>
  <c r="AD243" i="1"/>
  <c r="AD230" i="1"/>
  <c r="AC230" i="1"/>
  <c r="AC227" i="1"/>
  <c r="AD227" i="1"/>
  <c r="AD214" i="1"/>
  <c r="AC214" i="1"/>
  <c r="AC211" i="1"/>
  <c r="AD211" i="1"/>
  <c r="AC466" i="1"/>
  <c r="AD466" i="1"/>
  <c r="AC462" i="1"/>
  <c r="AD462" i="1"/>
  <c r="AC474" i="1"/>
  <c r="AD474" i="1"/>
  <c r="AD417" i="1"/>
  <c r="AC417" i="1"/>
  <c r="AD404" i="1"/>
  <c r="AC404" i="1"/>
  <c r="AC454" i="1"/>
  <c r="AD454" i="1"/>
  <c r="AD428" i="1"/>
  <c r="AC428" i="1"/>
  <c r="AE366" i="1"/>
  <c r="AF366" i="1" s="1"/>
  <c r="AD348" i="1"/>
  <c r="AC348" i="1"/>
  <c r="AD336" i="1"/>
  <c r="AC336" i="1"/>
  <c r="AD352" i="1"/>
  <c r="AC352" i="1"/>
  <c r="AC429" i="1"/>
  <c r="AD429" i="1"/>
  <c r="AC390" i="1"/>
  <c r="AD390" i="1"/>
  <c r="AD277" i="1"/>
  <c r="AC277" i="1"/>
  <c r="AD305" i="1"/>
  <c r="AC305" i="1"/>
  <c r="AC349" i="1"/>
  <c r="AD349" i="1"/>
  <c r="AC333" i="1"/>
  <c r="AD333" i="1"/>
  <c r="AD148" i="1"/>
  <c r="AC148" i="1"/>
  <c r="AD132" i="1"/>
  <c r="AC132" i="1"/>
  <c r="AD116" i="1"/>
  <c r="AC116" i="1"/>
  <c r="AD100" i="1"/>
  <c r="AC100" i="1"/>
  <c r="AD254" i="1"/>
  <c r="AC254" i="1"/>
  <c r="AC251" i="1"/>
  <c r="AD251" i="1"/>
  <c r="AD238" i="1"/>
  <c r="AC238" i="1"/>
  <c r="AC235" i="1"/>
  <c r="AD235" i="1"/>
  <c r="AD222" i="1"/>
  <c r="AC222" i="1"/>
  <c r="AC219" i="1"/>
  <c r="AD219" i="1"/>
  <c r="AD206" i="1"/>
  <c r="AC206" i="1"/>
  <c r="AC203" i="1"/>
  <c r="AD203" i="1"/>
  <c r="AD198" i="1"/>
  <c r="AC198" i="1"/>
  <c r="AD329" i="1"/>
  <c r="AC329" i="1"/>
  <c r="AD297" i="1"/>
  <c r="AC297" i="1"/>
  <c r="AD281" i="1"/>
  <c r="AC281" i="1"/>
  <c r="AE264" i="1"/>
  <c r="AF264" i="1" s="1"/>
  <c r="AE248" i="1"/>
  <c r="AF248" i="1" s="1"/>
  <c r="AE232" i="1"/>
  <c r="AF232" i="1" s="1"/>
  <c r="AE216" i="1"/>
  <c r="AF216" i="1" s="1"/>
  <c r="AE77" i="1"/>
  <c r="AF77" i="1" s="1"/>
  <c r="AC470" i="1"/>
  <c r="AD470" i="1"/>
  <c r="AD431" i="1"/>
  <c r="AC431" i="1"/>
  <c r="AE430" i="1"/>
  <c r="AF430" i="1" s="1"/>
  <c r="AC400" i="1"/>
  <c r="AD400" i="1"/>
  <c r="AC396" i="1"/>
  <c r="AD396" i="1"/>
  <c r="AD424" i="1"/>
  <c r="AC424" i="1"/>
  <c r="AD344" i="1"/>
  <c r="AC344" i="1"/>
  <c r="AC346" i="1"/>
  <c r="AD346" i="1"/>
  <c r="AD384" i="1"/>
  <c r="AC384" i="1"/>
  <c r="AD376" i="1"/>
  <c r="AC376" i="1"/>
  <c r="AD368" i="1"/>
  <c r="AC368" i="1"/>
  <c r="AD360" i="1"/>
  <c r="AC360" i="1"/>
  <c r="AD325" i="1"/>
  <c r="AC325" i="1"/>
  <c r="AD285" i="1"/>
  <c r="AC285" i="1"/>
  <c r="AD356" i="1"/>
  <c r="AC356" i="1"/>
  <c r="AE356" i="1" s="1"/>
  <c r="AF356" i="1" s="1"/>
  <c r="AD321" i="1"/>
  <c r="AC321" i="1"/>
  <c r="AC354" i="1"/>
  <c r="AD354" i="1"/>
  <c r="AD160" i="1"/>
  <c r="AC160" i="1"/>
  <c r="AD144" i="1"/>
  <c r="AC144" i="1"/>
  <c r="AD128" i="1"/>
  <c r="AC128" i="1"/>
  <c r="AD112" i="1"/>
  <c r="AC112" i="1"/>
  <c r="AE256" i="1"/>
  <c r="AF256" i="1" s="1"/>
  <c r="AE240" i="1"/>
  <c r="AF240" i="1" s="1"/>
  <c r="AE224" i="1"/>
  <c r="AF224" i="1" s="1"/>
  <c r="AE208" i="1"/>
  <c r="AF208" i="1" s="1"/>
  <c r="AC290" i="1"/>
  <c r="AD290" i="1"/>
  <c r="AC287" i="1"/>
  <c r="AD287" i="1"/>
  <c r="AC274" i="1"/>
  <c r="AD274" i="1"/>
  <c r="AC271" i="1"/>
  <c r="AD271" i="1"/>
  <c r="AC446" i="1"/>
  <c r="AD446" i="1"/>
  <c r="AC442" i="1"/>
  <c r="AD442" i="1"/>
  <c r="AC458" i="1"/>
  <c r="AD458" i="1"/>
  <c r="AC434" i="1"/>
  <c r="AD434" i="1"/>
  <c r="AD412" i="1"/>
  <c r="AC412" i="1"/>
  <c r="AD421" i="1"/>
  <c r="AC421" i="1"/>
  <c r="AC386" i="1"/>
  <c r="AD386" i="1"/>
  <c r="AC420" i="1"/>
  <c r="AD420" i="1"/>
  <c r="AC345" i="1"/>
  <c r="AD345" i="1"/>
  <c r="AD309" i="1"/>
  <c r="AC309" i="1"/>
  <c r="AD293" i="1"/>
  <c r="AC293" i="1"/>
  <c r="AC341" i="1"/>
  <c r="AD341" i="1"/>
  <c r="AC338" i="1"/>
  <c r="AD338" i="1"/>
  <c r="AD258" i="1"/>
  <c r="AC258" i="1"/>
  <c r="AC255" i="1"/>
  <c r="AD255" i="1"/>
  <c r="AD242" i="1"/>
  <c r="AC242" i="1"/>
  <c r="AC239" i="1"/>
  <c r="AD239" i="1"/>
  <c r="AD226" i="1"/>
  <c r="AC226" i="1"/>
  <c r="AC223" i="1"/>
  <c r="AD223" i="1"/>
  <c r="AD210" i="1"/>
  <c r="AC210" i="1"/>
  <c r="AC207" i="1"/>
  <c r="AD207" i="1"/>
  <c r="AD156" i="1"/>
  <c r="AC156" i="1"/>
  <c r="AD140" i="1"/>
  <c r="AC140" i="1"/>
  <c r="AD124" i="1"/>
  <c r="AC124" i="1"/>
  <c r="AD108" i="1"/>
  <c r="AC108" i="1"/>
  <c r="AC199" i="1"/>
  <c r="AD199" i="1"/>
  <c r="AD289" i="1"/>
  <c r="AC289" i="1"/>
  <c r="AD273" i="1"/>
  <c r="AC273" i="1"/>
  <c r="AD313" i="1"/>
  <c r="AC313" i="1"/>
  <c r="AE246" i="1"/>
  <c r="AF246" i="1" s="1"/>
  <c r="AC56" i="1"/>
  <c r="AD56" i="1"/>
  <c r="AC52" i="1"/>
  <c r="AD52" i="1"/>
  <c r="AC48" i="1"/>
  <c r="AD48" i="1"/>
  <c r="AC44" i="1"/>
  <c r="AD44" i="1"/>
  <c r="AC40" i="1"/>
  <c r="AD40" i="1"/>
  <c r="AC36" i="1"/>
  <c r="AD36" i="1"/>
  <c r="AC32" i="1"/>
  <c r="AD32" i="1"/>
  <c r="AC28" i="1"/>
  <c r="AD28" i="1"/>
  <c r="AC24" i="1"/>
  <c r="AD24" i="1"/>
  <c r="AC20" i="1"/>
  <c r="AD20" i="1"/>
  <c r="AC16" i="1"/>
  <c r="AD16" i="1"/>
  <c r="AC12" i="1"/>
  <c r="AD12" i="1"/>
  <c r="AC8" i="1"/>
  <c r="AD8" i="1"/>
  <c r="AE350" i="1" l="1"/>
  <c r="AF350" i="1" s="1"/>
  <c r="AE25" i="3"/>
  <c r="AE37" i="3"/>
  <c r="AE7" i="3"/>
  <c r="AE17" i="3"/>
  <c r="AE445" i="1"/>
  <c r="AF445" i="1" s="1"/>
  <c r="AE335" i="1"/>
  <c r="AF335" i="1" s="1"/>
  <c r="AE408" i="1"/>
  <c r="AF408" i="1" s="1"/>
  <c r="AE27" i="3"/>
  <c r="AE263" i="1"/>
  <c r="AF263" i="1" s="1"/>
  <c r="AE316" i="1"/>
  <c r="AF316" i="1" s="1"/>
  <c r="AE203" i="1"/>
  <c r="AF203" i="1" s="1"/>
  <c r="AE409" i="1"/>
  <c r="AF409" i="1" s="1"/>
  <c r="AE214" i="1"/>
  <c r="AF214" i="1" s="1"/>
  <c r="AE215" i="1"/>
  <c r="AF215" i="1" s="1"/>
  <c r="AE247" i="1"/>
  <c r="AF247" i="1" s="1"/>
  <c r="AE279" i="1"/>
  <c r="AF279" i="1" s="1"/>
  <c r="AE450" i="1"/>
  <c r="AF450" i="1" s="1"/>
  <c r="AE458" i="1"/>
  <c r="AF458" i="1" s="1"/>
  <c r="AE446" i="1"/>
  <c r="AF446" i="1" s="1"/>
  <c r="AE346" i="1"/>
  <c r="AF346" i="1" s="1"/>
  <c r="AE230" i="1"/>
  <c r="AF230" i="1" s="1"/>
  <c r="AE262" i="1"/>
  <c r="AF262" i="1" s="1"/>
  <c r="AE231" i="1"/>
  <c r="AF231" i="1" s="1"/>
  <c r="AE295" i="1"/>
  <c r="AF295" i="1" s="1"/>
  <c r="AE199" i="1"/>
  <c r="AF199" i="1" s="1"/>
  <c r="AE211" i="1"/>
  <c r="AF211" i="1" s="1"/>
  <c r="AE243" i="1"/>
  <c r="AF243" i="1" s="1"/>
  <c r="AE202" i="1"/>
  <c r="AF202" i="1" s="1"/>
  <c r="AE234" i="1"/>
  <c r="AF234" i="1" s="1"/>
  <c r="AE266" i="1"/>
  <c r="AF266" i="1" s="1"/>
  <c r="AE297" i="1"/>
  <c r="AF297" i="1" s="1"/>
  <c r="AE44" i="1"/>
  <c r="AF44" i="1" s="1"/>
  <c r="AE52" i="1"/>
  <c r="AF52" i="1" s="1"/>
  <c r="AE462" i="1"/>
  <c r="AF462" i="1" s="1"/>
  <c r="AE259" i="1"/>
  <c r="AF259" i="1" s="1"/>
  <c r="AE282" i="1"/>
  <c r="AF282" i="1" s="1"/>
  <c r="AE28" i="1"/>
  <c r="AF28" i="1" s="1"/>
  <c r="AE396" i="1"/>
  <c r="AF396" i="1" s="1"/>
  <c r="AE20" i="1"/>
  <c r="AF20" i="1" s="1"/>
  <c r="AE341" i="1"/>
  <c r="AF341" i="1" s="1"/>
  <c r="AE12" i="1"/>
  <c r="AF12" i="1" s="1"/>
  <c r="AE36" i="1"/>
  <c r="AF36" i="1" s="1"/>
  <c r="AE454" i="1"/>
  <c r="AF454" i="1" s="1"/>
  <c r="AE227" i="1"/>
  <c r="AF227" i="1" s="1"/>
  <c r="AE218" i="1"/>
  <c r="AF218" i="1" s="1"/>
  <c r="AE250" i="1"/>
  <c r="AF250" i="1" s="1"/>
  <c r="AE420" i="1"/>
  <c r="AF420" i="1" s="1"/>
  <c r="AE189" i="1"/>
  <c r="AF189" i="1" s="1"/>
  <c r="AE12" i="3"/>
  <c r="AF10" i="2"/>
  <c r="AG10" i="2" s="1"/>
  <c r="AF6" i="2"/>
  <c r="AG6" i="2" s="1"/>
  <c r="X36" i="3"/>
  <c r="Y36" i="3" s="1"/>
  <c r="AE36" i="3" s="1"/>
  <c r="X38" i="3"/>
  <c r="Y38" i="3" s="1"/>
  <c r="AE38" i="3" s="1"/>
  <c r="AE289" i="1"/>
  <c r="AF289" i="1" s="1"/>
  <c r="AE424" i="1"/>
  <c r="AF424" i="1" s="1"/>
  <c r="AE329" i="1"/>
  <c r="AF329" i="1" s="1"/>
  <c r="AE305" i="1"/>
  <c r="AF305" i="1" s="1"/>
  <c r="AE390" i="1"/>
  <c r="AF390" i="1" s="1"/>
  <c r="AE419" i="1"/>
  <c r="AF419" i="1" s="1"/>
  <c r="AE406" i="1"/>
  <c r="AF406" i="1" s="1"/>
  <c r="AE185" i="1"/>
  <c r="AF185" i="1" s="1"/>
  <c r="AE101" i="1"/>
  <c r="AF101" i="1" s="1"/>
  <c r="AE181" i="1"/>
  <c r="AF181" i="1" s="1"/>
  <c r="AE273" i="1"/>
  <c r="AF273" i="1" s="1"/>
  <c r="AE325" i="1"/>
  <c r="AF325" i="1" s="1"/>
  <c r="AE384" i="1"/>
  <c r="AF384" i="1" s="1"/>
  <c r="AE104" i="1"/>
  <c r="AF104" i="1" s="1"/>
  <c r="AE136" i="1"/>
  <c r="AF136" i="1" s="1"/>
  <c r="AE301" i="1"/>
  <c r="AF301" i="1" s="1"/>
  <c r="AE340" i="1"/>
  <c r="AF340" i="1" s="1"/>
  <c r="AE372" i="1"/>
  <c r="AF372" i="1" s="1"/>
  <c r="AE425" i="1"/>
  <c r="AF425" i="1" s="1"/>
  <c r="AE438" i="1"/>
  <c r="AF438" i="1" s="1"/>
  <c r="AE177" i="1"/>
  <c r="AF177" i="1" s="1"/>
  <c r="AE95" i="1"/>
  <c r="AF95" i="1" s="1"/>
  <c r="AF11" i="2"/>
  <c r="AG11" i="2" s="1"/>
  <c r="AF23" i="2"/>
  <c r="AG23" i="2" s="1"/>
  <c r="AE39" i="3"/>
  <c r="AE437" i="1"/>
  <c r="AF437" i="1" s="1"/>
  <c r="AE400" i="1"/>
  <c r="AF400" i="1" s="1"/>
  <c r="AE333" i="1"/>
  <c r="AF333" i="1" s="1"/>
  <c r="AE434" i="1"/>
  <c r="AF434" i="1" s="1"/>
  <c r="AE219" i="1"/>
  <c r="AF219" i="1" s="1"/>
  <c r="AE251" i="1"/>
  <c r="AF251" i="1" s="1"/>
  <c r="AE16" i="1"/>
  <c r="AF16" i="1" s="1"/>
  <c r="AE24" i="1"/>
  <c r="AF24" i="1" s="1"/>
  <c r="AE32" i="1"/>
  <c r="AF32" i="1" s="1"/>
  <c r="AE40" i="1"/>
  <c r="AF40" i="1" s="1"/>
  <c r="AE48" i="1"/>
  <c r="AF48" i="1" s="1"/>
  <c r="AE56" i="1"/>
  <c r="AF56" i="1" s="1"/>
  <c r="AE207" i="1"/>
  <c r="AF207" i="1" s="1"/>
  <c r="AE223" i="1"/>
  <c r="AF223" i="1" s="1"/>
  <c r="AE239" i="1"/>
  <c r="AF239" i="1" s="1"/>
  <c r="AE255" i="1"/>
  <c r="AF255" i="1" s="1"/>
  <c r="AE338" i="1"/>
  <c r="AF338" i="1" s="1"/>
  <c r="AE386" i="1"/>
  <c r="AF386" i="1" s="1"/>
  <c r="AE128" i="1"/>
  <c r="AF128" i="1" s="1"/>
  <c r="AE160" i="1"/>
  <c r="AF160" i="1" s="1"/>
  <c r="AE474" i="1"/>
  <c r="AF474" i="1" s="1"/>
  <c r="AE466" i="1"/>
  <c r="AF466" i="1" s="1"/>
  <c r="AE332" i="1"/>
  <c r="AF332" i="1" s="1"/>
  <c r="AE292" i="1"/>
  <c r="AF292" i="1" s="1"/>
  <c r="AE235" i="1"/>
  <c r="AF235" i="1" s="1"/>
  <c r="AE8" i="1"/>
  <c r="AF8" i="1" s="1"/>
  <c r="AE210" i="1"/>
  <c r="AF210" i="1" s="1"/>
  <c r="AE242" i="1"/>
  <c r="AF242" i="1" s="1"/>
  <c r="AE321" i="1"/>
  <c r="AF321" i="1" s="1"/>
  <c r="AE285" i="1"/>
  <c r="AF285" i="1" s="1"/>
  <c r="AE360" i="1"/>
  <c r="AF360" i="1" s="1"/>
  <c r="AE376" i="1"/>
  <c r="AF376" i="1" s="1"/>
  <c r="AE431" i="1"/>
  <c r="AF431" i="1" s="1"/>
  <c r="AE277" i="1"/>
  <c r="AF277" i="1" s="1"/>
  <c r="AE269" i="1"/>
  <c r="AF269" i="1" s="1"/>
  <c r="AE364" i="1"/>
  <c r="AF364" i="1" s="1"/>
  <c r="AE380" i="1"/>
  <c r="AF380" i="1" s="1"/>
  <c r="AE353" i="1"/>
  <c r="AF353" i="1" s="1"/>
  <c r="AE433" i="1"/>
  <c r="AF433" i="1" s="1"/>
  <c r="AE413" i="1"/>
  <c r="AF413" i="1" s="1"/>
  <c r="AE407" i="1"/>
  <c r="AF407" i="1" s="1"/>
  <c r="AE313" i="1"/>
  <c r="AF313" i="1" s="1"/>
  <c r="AE108" i="1"/>
  <c r="AF108" i="1" s="1"/>
  <c r="AE140" i="1"/>
  <c r="AF140" i="1" s="1"/>
  <c r="AE309" i="1"/>
  <c r="AF309" i="1" s="1"/>
  <c r="AE345" i="1"/>
  <c r="AF345" i="1" s="1"/>
  <c r="AE412" i="1"/>
  <c r="AF412" i="1" s="1"/>
  <c r="AE442" i="1"/>
  <c r="AF442" i="1" s="1"/>
  <c r="AE271" i="1"/>
  <c r="AF271" i="1" s="1"/>
  <c r="AE287" i="1"/>
  <c r="AF287" i="1" s="1"/>
  <c r="AE354" i="1"/>
  <c r="AF354" i="1" s="1"/>
  <c r="AE281" i="1"/>
  <c r="AF281" i="1" s="1"/>
  <c r="AE100" i="1"/>
  <c r="AF100" i="1" s="1"/>
  <c r="AE132" i="1"/>
  <c r="AF132" i="1" s="1"/>
  <c r="AE349" i="1"/>
  <c r="AF349" i="1" s="1"/>
  <c r="AE352" i="1"/>
  <c r="AF352" i="1" s="1"/>
  <c r="AE348" i="1"/>
  <c r="AF348" i="1" s="1"/>
  <c r="AE428" i="1"/>
  <c r="AF428" i="1" s="1"/>
  <c r="AE317" i="1"/>
  <c r="AF317" i="1" s="1"/>
  <c r="AE432" i="1"/>
  <c r="AF432" i="1" s="1"/>
  <c r="X10" i="3"/>
  <c r="Y10" i="3" s="1"/>
  <c r="AE10" i="3" s="1"/>
  <c r="X34" i="3"/>
  <c r="Y34" i="3" s="1"/>
  <c r="AE34" i="3" s="1"/>
  <c r="AF24" i="2"/>
  <c r="AG24" i="2" s="1"/>
  <c r="AE23" i="1"/>
  <c r="AF23" i="1" s="1"/>
  <c r="AE26" i="3"/>
  <c r="AE124" i="1"/>
  <c r="AF124" i="1" s="1"/>
  <c r="AE156" i="1"/>
  <c r="AF156" i="1" s="1"/>
  <c r="AE226" i="1"/>
  <c r="AF226" i="1" s="1"/>
  <c r="AE258" i="1"/>
  <c r="AF258" i="1" s="1"/>
  <c r="AE293" i="1"/>
  <c r="AF293" i="1" s="1"/>
  <c r="AE421" i="1"/>
  <c r="AF421" i="1" s="1"/>
  <c r="AE274" i="1"/>
  <c r="AF274" i="1" s="1"/>
  <c r="AE290" i="1"/>
  <c r="AF290" i="1" s="1"/>
  <c r="AE368" i="1"/>
  <c r="AF368" i="1" s="1"/>
  <c r="AE344" i="1"/>
  <c r="AF344" i="1" s="1"/>
  <c r="AE470" i="1"/>
  <c r="AF470" i="1" s="1"/>
  <c r="AE198" i="1"/>
  <c r="AF198" i="1" s="1"/>
  <c r="AE206" i="1"/>
  <c r="AF206" i="1" s="1"/>
  <c r="AE222" i="1"/>
  <c r="AF222" i="1" s="1"/>
  <c r="AE238" i="1"/>
  <c r="AF238" i="1" s="1"/>
  <c r="AE254" i="1"/>
  <c r="AF254" i="1" s="1"/>
  <c r="AE116" i="1"/>
  <c r="AF116" i="1" s="1"/>
  <c r="AE148" i="1"/>
  <c r="AF148" i="1" s="1"/>
  <c r="AE429" i="1"/>
  <c r="AF429" i="1" s="1"/>
  <c r="AE14" i="3"/>
  <c r="AE16" i="3"/>
  <c r="AF14" i="2"/>
  <c r="AG14" i="2" s="1"/>
  <c r="AF13" i="2"/>
  <c r="AG13" i="2" s="1"/>
  <c r="W42" i="3"/>
  <c r="V42" i="3"/>
  <c r="AE18" i="3"/>
  <c r="W33" i="3"/>
  <c r="V33" i="3"/>
  <c r="X4" i="3"/>
  <c r="Y4" i="3" s="1"/>
  <c r="AE4" i="3" s="1"/>
  <c r="AD33" i="3"/>
  <c r="AE336" i="1"/>
  <c r="AF336" i="1" s="1"/>
  <c r="AE404" i="1"/>
  <c r="AF404" i="1" s="1"/>
  <c r="AE417" i="1"/>
  <c r="AF417" i="1" s="1"/>
  <c r="AE112" i="1"/>
  <c r="AF112" i="1" s="1"/>
  <c r="AE144" i="1"/>
  <c r="AF144" i="1" s="1"/>
  <c r="AE120" i="1"/>
  <c r="AF120" i="1" s="1"/>
  <c r="AE152" i="1"/>
  <c r="AF152" i="1" s="1"/>
  <c r="X42" i="3" l="1"/>
  <c r="Y42" i="3" s="1"/>
  <c r="AE42" i="3" s="1"/>
  <c r="X33" i="3"/>
  <c r="Y33" i="3" s="1"/>
  <c r="AE33" i="3" s="1"/>
  <c r="E24" i="6" l="1"/>
  <c r="E10" i="6"/>
  <c r="F10" i="6" s="1"/>
  <c r="G10" i="6" s="1"/>
  <c r="L16" i="7"/>
  <c r="M16" i="7" s="1"/>
  <c r="L17" i="7"/>
  <c r="M17" i="7" s="1"/>
  <c r="L18" i="7"/>
  <c r="M18" i="7" s="1"/>
  <c r="L14" i="7"/>
  <c r="L15" i="7"/>
  <c r="M15" i="7" s="1"/>
  <c r="M13" i="7"/>
  <c r="L26" i="7"/>
  <c r="M26" i="7" s="1"/>
  <c r="L27" i="7"/>
  <c r="M27" i="7" s="1"/>
  <c r="L24" i="7"/>
  <c r="M24" i="7" s="1"/>
  <c r="L25" i="7"/>
  <c r="M25" i="7" s="1"/>
  <c r="M23" i="7"/>
  <c r="B56" i="6"/>
  <c r="B57" i="6" s="1"/>
  <c r="B58" i="6" s="1"/>
  <c r="B59" i="6" s="1"/>
  <c r="E16" i="6"/>
  <c r="E15" i="6"/>
  <c r="E14" i="6"/>
  <c r="D16" i="6"/>
  <c r="D15" i="6"/>
  <c r="D14" i="6"/>
  <c r="E12" i="6"/>
  <c r="D12" i="6"/>
  <c r="C12" i="6"/>
  <c r="B12" i="6"/>
  <c r="F11" i="6"/>
  <c r="G11" i="6" s="1"/>
  <c r="E3" i="4"/>
  <c r="G3" i="4" s="1"/>
  <c r="C5" i="4"/>
  <c r="E4" i="4"/>
  <c r="G4" i="4" s="1"/>
  <c r="D6" i="4"/>
  <c r="H7" i="4"/>
  <c r="C4" i="4"/>
  <c r="C8" i="4"/>
  <c r="C9" i="4"/>
  <c r="C10" i="4"/>
  <c r="C11" i="4"/>
  <c r="C12" i="4"/>
  <c r="C13" i="4"/>
  <c r="P4" i="4"/>
  <c r="M6" i="5"/>
  <c r="M7" i="5"/>
  <c r="M8" i="5"/>
  <c r="M9" i="5"/>
  <c r="M10" i="5"/>
  <c r="M3" i="5"/>
  <c r="C6" i="5"/>
  <c r="C7" i="5"/>
  <c r="C8" i="5"/>
  <c r="C9" i="5"/>
  <c r="C10" i="5"/>
  <c r="C4" i="5"/>
  <c r="C3" i="5"/>
  <c r="C20" i="4"/>
  <c r="C21" i="4"/>
  <c r="C22" i="4"/>
  <c r="C23" i="4"/>
  <c r="C19" i="4"/>
  <c r="C14" i="4"/>
  <c r="E38" i="7"/>
  <c r="F38" i="7" s="1"/>
  <c r="E39" i="7"/>
  <c r="F39" i="7" s="1"/>
  <c r="E40" i="7"/>
  <c r="F40" i="7" s="1"/>
  <c r="E41" i="7"/>
  <c r="F41" i="7" s="1"/>
  <c r="N6" i="5"/>
  <c r="N7" i="5"/>
  <c r="N8" i="5"/>
  <c r="N9" i="5"/>
  <c r="N10" i="5"/>
  <c r="P6" i="5"/>
  <c r="P7" i="5"/>
  <c r="P8" i="5"/>
  <c r="P9" i="5"/>
  <c r="P10" i="5"/>
  <c r="S6" i="5"/>
  <c r="S7" i="5"/>
  <c r="S8" i="5"/>
  <c r="S9" i="5"/>
  <c r="S10" i="5"/>
  <c r="N4" i="5"/>
  <c r="S3" i="5"/>
  <c r="P3" i="5"/>
  <c r="N3" i="5"/>
  <c r="J6" i="5"/>
  <c r="J7" i="5"/>
  <c r="J8" i="5"/>
  <c r="J9" i="5"/>
  <c r="J10" i="5"/>
  <c r="H6" i="5"/>
  <c r="H7" i="5"/>
  <c r="H8" i="5"/>
  <c r="H9" i="5"/>
  <c r="H10" i="5"/>
  <c r="E6" i="5"/>
  <c r="G6" i="5" s="1"/>
  <c r="E7" i="5"/>
  <c r="G7" i="5" s="1"/>
  <c r="E8" i="5"/>
  <c r="G8" i="5" s="1"/>
  <c r="E9" i="5"/>
  <c r="G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G19" i="4" s="1"/>
  <c r="D19" i="4"/>
  <c r="S8" i="4"/>
  <c r="S9" i="4"/>
  <c r="S10" i="4"/>
  <c r="S11" i="4"/>
  <c r="S12" i="4"/>
  <c r="S13" i="4"/>
  <c r="S14" i="4"/>
  <c r="P8" i="4"/>
  <c r="P9" i="4"/>
  <c r="P10" i="4"/>
  <c r="P11" i="4"/>
  <c r="P12" i="4"/>
  <c r="P13" i="4"/>
  <c r="P14" i="4"/>
  <c r="N8" i="4"/>
  <c r="N9" i="4"/>
  <c r="N10" i="4"/>
  <c r="N11" i="4"/>
  <c r="N12" i="4"/>
  <c r="N13" i="4"/>
  <c r="N14" i="4"/>
  <c r="J8" i="4"/>
  <c r="J9" i="4"/>
  <c r="J10" i="4"/>
  <c r="J11" i="4"/>
  <c r="J12" i="4"/>
  <c r="J13" i="4"/>
  <c r="J14" i="4"/>
  <c r="H8" i="4"/>
  <c r="H9" i="4"/>
  <c r="H10" i="4"/>
  <c r="H11" i="4"/>
  <c r="H12" i="4"/>
  <c r="H13" i="4"/>
  <c r="H14" i="4"/>
  <c r="E7" i="4"/>
  <c r="G7" i="4" s="1"/>
  <c r="E8" i="4"/>
  <c r="G8" i="4" s="1"/>
  <c r="E9" i="4"/>
  <c r="G9" i="4" s="1"/>
  <c r="E10" i="4"/>
  <c r="G10" i="4" s="1"/>
  <c r="E11" i="4"/>
  <c r="G11" i="4" s="1"/>
  <c r="E12" i="4"/>
  <c r="G12" i="4" s="1"/>
  <c r="E13" i="4"/>
  <c r="G13" i="4" s="1"/>
  <c r="E14" i="4"/>
  <c r="G14" i="4" s="1"/>
  <c r="D7" i="4"/>
  <c r="D8" i="4"/>
  <c r="D9" i="4"/>
  <c r="D10" i="4"/>
  <c r="D11" i="4"/>
  <c r="D12" i="4"/>
  <c r="D13" i="4"/>
  <c r="D14" i="4"/>
  <c r="N3" i="4"/>
  <c r="E3" i="5"/>
  <c r="G3" i="5" s="1"/>
  <c r="J3" i="5"/>
  <c r="D3" i="5"/>
  <c r="H3" i="5"/>
  <c r="D3" i="4"/>
  <c r="G9" i="6"/>
  <c r="B53" i="6"/>
  <c r="E45" i="7"/>
  <c r="F45" i="7" s="1"/>
  <c r="E44" i="7"/>
  <c r="F44" i="7" s="1"/>
  <c r="E43" i="7"/>
  <c r="F43" i="7" s="1"/>
  <c r="E42" i="7"/>
  <c r="F42" i="7" s="1"/>
  <c r="E37" i="7"/>
  <c r="E36" i="7"/>
  <c r="F36" i="7" s="1"/>
  <c r="F35" i="7"/>
  <c r="E54" i="6"/>
  <c r="F54" i="6" s="1"/>
  <c r="B52" i="6"/>
  <c r="B50" i="6"/>
  <c r="G44" i="6"/>
  <c r="G43" i="6"/>
  <c r="F39" i="6"/>
  <c r="G39" i="6" s="1"/>
  <c r="F38" i="6"/>
  <c r="G38" i="6" s="1"/>
  <c r="E31" i="7"/>
  <c r="F31" i="7" s="1"/>
  <c r="E30" i="7"/>
  <c r="F30" i="7" s="1"/>
  <c r="E29" i="7"/>
  <c r="F29" i="7" s="1"/>
  <c r="E28" i="7"/>
  <c r="F28" i="7" s="1"/>
  <c r="E27" i="7"/>
  <c r="F27" i="7" s="1"/>
  <c r="E26" i="7"/>
  <c r="F26" i="7" s="1"/>
  <c r="E25" i="7"/>
  <c r="F24" i="7"/>
  <c r="F13" i="7"/>
  <c r="F2" i="7"/>
  <c r="E20" i="7"/>
  <c r="F20" i="7" s="1"/>
  <c r="E19" i="7"/>
  <c r="F19" i="7" s="1"/>
  <c r="E18" i="7"/>
  <c r="F18" i="7" s="1"/>
  <c r="E17" i="7"/>
  <c r="F17" i="7" s="1"/>
  <c r="E16" i="7"/>
  <c r="F16" i="7" s="1"/>
  <c r="E15" i="7"/>
  <c r="F15" i="7" s="1"/>
  <c r="E14" i="7"/>
  <c r="F14" i="7" s="1"/>
  <c r="F28" i="6"/>
  <c r="G28" i="6" s="1"/>
  <c r="F27" i="6"/>
  <c r="G27" i="6" s="1"/>
  <c r="E8" i="7"/>
  <c r="F8" i="7" s="1"/>
  <c r="E9" i="7"/>
  <c r="F9" i="7" s="1"/>
  <c r="E4" i="7"/>
  <c r="F4" i="7" s="1"/>
  <c r="E5" i="7"/>
  <c r="F5" i="7" s="1"/>
  <c r="E6" i="7"/>
  <c r="F6" i="7" s="1"/>
  <c r="E7" i="7"/>
  <c r="F7" i="7" s="1"/>
  <c r="E3" i="7"/>
  <c r="F12" i="6" s="1"/>
  <c r="H5" i="4"/>
  <c r="P3" i="4"/>
  <c r="F15" i="6" l="1"/>
  <c r="G15" i="6" s="1"/>
  <c r="F16" i="6"/>
  <c r="G16" i="6" s="1"/>
  <c r="I21" i="4"/>
  <c r="O8" i="5"/>
  <c r="Q3" i="5"/>
  <c r="K20" i="4"/>
  <c r="M23" i="4"/>
  <c r="I22" i="4"/>
  <c r="K21" i="4"/>
  <c r="O9" i="5"/>
  <c r="T10" i="5"/>
  <c r="Q10" i="5"/>
  <c r="O3" i="5"/>
  <c r="E6" i="4"/>
  <c r="G6" i="4" s="1"/>
  <c r="N5" i="5"/>
  <c r="C3" i="4"/>
  <c r="H6" i="4"/>
  <c r="N5" i="4"/>
  <c r="P5" i="4"/>
  <c r="D4" i="4"/>
  <c r="E5" i="4"/>
  <c r="G5" i="4" s="1"/>
  <c r="I5" i="4" s="1"/>
  <c r="N4" i="4"/>
  <c r="O4" i="4" s="1"/>
  <c r="K19" i="4"/>
  <c r="H4" i="4"/>
  <c r="I4" i="4" s="1"/>
  <c r="I10" i="5"/>
  <c r="D5" i="4"/>
  <c r="H3" i="4"/>
  <c r="I3" i="4" s="1"/>
  <c r="C6" i="4"/>
  <c r="D5" i="5"/>
  <c r="I23" i="4"/>
  <c r="I3" i="5"/>
  <c r="K8" i="5"/>
  <c r="D54" i="6"/>
  <c r="K3" i="5"/>
  <c r="M4" i="5"/>
  <c r="I20" i="4"/>
  <c r="Q4" i="4"/>
  <c r="T9" i="5"/>
  <c r="T6" i="5"/>
  <c r="I6" i="5"/>
  <c r="Q6" i="5"/>
  <c r="M22" i="4"/>
  <c r="K22" i="4"/>
  <c r="I8" i="5"/>
  <c r="G54" i="6"/>
  <c r="M5" i="5"/>
  <c r="N7" i="4"/>
  <c r="O7" i="4" s="1"/>
  <c r="C7" i="4"/>
  <c r="F14" i="6"/>
  <c r="G14" i="6" s="1"/>
  <c r="E5" i="5"/>
  <c r="G5" i="5" s="1"/>
  <c r="I19" i="4"/>
  <c r="D4" i="5"/>
  <c r="P4" i="5"/>
  <c r="E32" i="7"/>
  <c r="E18" i="6" s="1"/>
  <c r="F18" i="6" s="1"/>
  <c r="G18" i="6" s="1"/>
  <c r="E46" i="7"/>
  <c r="E19" i="6" s="1"/>
  <c r="F19" i="6" s="1"/>
  <c r="G19" i="6" s="1"/>
  <c r="F25" i="7"/>
  <c r="F32" i="7" s="1"/>
  <c r="M19" i="7"/>
  <c r="M28" i="7"/>
  <c r="L28" i="7"/>
  <c r="L19" i="7"/>
  <c r="O12" i="7" s="1"/>
  <c r="M14" i="7"/>
  <c r="E10" i="7"/>
  <c r="F3" i="7"/>
  <c r="F10" i="7" s="1"/>
  <c r="O3" i="4"/>
  <c r="T3" i="5"/>
  <c r="T8" i="5"/>
  <c r="O10" i="5"/>
  <c r="O6" i="5"/>
  <c r="T13" i="4"/>
  <c r="T9" i="4"/>
  <c r="I9" i="5"/>
  <c r="K10" i="5"/>
  <c r="K6" i="5"/>
  <c r="Q8" i="5"/>
  <c r="Q3" i="4"/>
  <c r="J5" i="4"/>
  <c r="Q9" i="5"/>
  <c r="K23" i="4"/>
  <c r="I7" i="4"/>
  <c r="K14" i="4"/>
  <c r="M14" i="4" s="1"/>
  <c r="T14" i="4"/>
  <c r="Q14" i="4"/>
  <c r="I14" i="4"/>
  <c r="O14" i="4"/>
  <c r="O10" i="4"/>
  <c r="Q10" i="4"/>
  <c r="I10" i="4"/>
  <c r="K10" i="4"/>
  <c r="M10" i="4" s="1"/>
  <c r="T10" i="4"/>
  <c r="I9" i="4"/>
  <c r="K12" i="4"/>
  <c r="M12" i="4" s="1"/>
  <c r="K8" i="4"/>
  <c r="M8" i="4" s="1"/>
  <c r="O11" i="4"/>
  <c r="G24" i="4"/>
  <c r="M21" i="4"/>
  <c r="Q11" i="4"/>
  <c r="I11" i="4"/>
  <c r="T11" i="4"/>
  <c r="K11" i="4"/>
  <c r="M11" i="4" s="1"/>
  <c r="Q13" i="4"/>
  <c r="I13" i="4"/>
  <c r="K13" i="4"/>
  <c r="M13" i="4" s="1"/>
  <c r="O13" i="4"/>
  <c r="K9" i="4"/>
  <c r="M9" i="4" s="1"/>
  <c r="Q9" i="4"/>
  <c r="O9" i="4"/>
  <c r="K7" i="5"/>
  <c r="I7" i="5"/>
  <c r="Q7" i="5"/>
  <c r="T7" i="5"/>
  <c r="O7" i="5"/>
  <c r="F21" i="7"/>
  <c r="O12" i="4"/>
  <c r="I12" i="4"/>
  <c r="Q12" i="4"/>
  <c r="T12" i="4"/>
  <c r="I8" i="4"/>
  <c r="T8" i="4"/>
  <c r="O8" i="4"/>
  <c r="Q8" i="4"/>
  <c r="P5" i="5"/>
  <c r="H5" i="5"/>
  <c r="K9" i="5"/>
  <c r="F37" i="7"/>
  <c r="F46" i="7" s="1"/>
  <c r="M19" i="4"/>
  <c r="P7" i="4"/>
  <c r="Q7" i="4" s="1"/>
  <c r="H4" i="5"/>
  <c r="C54" i="6"/>
  <c r="M20" i="4"/>
  <c r="E4" i="5"/>
  <c r="G4" i="5" s="1"/>
  <c r="N6" i="4"/>
  <c r="C5" i="5"/>
  <c r="P6" i="4"/>
  <c r="E21" i="7"/>
  <c r="E17" i="6" s="1"/>
  <c r="F17" i="6" s="1"/>
  <c r="U9" i="5" l="1"/>
  <c r="R10" i="5"/>
  <c r="I6" i="4"/>
  <c r="R3" i="5"/>
  <c r="G12" i="6"/>
  <c r="I24" i="4"/>
  <c r="Q6" i="4"/>
  <c r="R6" i="4" s="1"/>
  <c r="G67" i="6" s="1"/>
  <c r="Q5" i="4"/>
  <c r="R5" i="4" s="1"/>
  <c r="G66" i="6" s="1"/>
  <c r="O6" i="4"/>
  <c r="G15" i="4"/>
  <c r="O5" i="4"/>
  <c r="K5" i="4"/>
  <c r="M5" i="4" s="1"/>
  <c r="U3" i="5"/>
  <c r="U10" i="5"/>
  <c r="R4" i="4"/>
  <c r="G65" i="6" s="1"/>
  <c r="O5" i="5"/>
  <c r="J4" i="5"/>
  <c r="K4" i="5" s="1"/>
  <c r="U6" i="5"/>
  <c r="I5" i="5"/>
  <c r="Q5" i="5"/>
  <c r="K24" i="4"/>
  <c r="S3" i="4"/>
  <c r="T3" i="4" s="1"/>
  <c r="R3" i="4"/>
  <c r="G64" i="6" s="1"/>
  <c r="R9" i="5"/>
  <c r="U8" i="5"/>
  <c r="R8" i="5"/>
  <c r="J5" i="5"/>
  <c r="K5" i="5" s="1"/>
  <c r="U12" i="4"/>
  <c r="U10" i="4"/>
  <c r="U14" i="4"/>
  <c r="S4" i="5"/>
  <c r="T4" i="5" s="1"/>
  <c r="R6" i="5"/>
  <c r="U9" i="4"/>
  <c r="J7" i="4"/>
  <c r="K7" i="4" s="1"/>
  <c r="M7" i="4" s="1"/>
  <c r="J6" i="4"/>
  <c r="K6" i="4" s="1"/>
  <c r="M6" i="4" s="1"/>
  <c r="R11" i="4"/>
  <c r="R10" i="4"/>
  <c r="R14" i="4"/>
  <c r="S4" i="4"/>
  <c r="T4" i="4" s="1"/>
  <c r="S5" i="4"/>
  <c r="T5" i="4" s="1"/>
  <c r="M24" i="4"/>
  <c r="U7" i="5"/>
  <c r="R13" i="4"/>
  <c r="U13" i="4"/>
  <c r="J4" i="4"/>
  <c r="K4" i="4" s="1"/>
  <c r="M4" i="4" s="1"/>
  <c r="G17" i="6"/>
  <c r="Q4" i="5"/>
  <c r="G11" i="5"/>
  <c r="U8" i="4"/>
  <c r="R12" i="4"/>
  <c r="O4" i="5"/>
  <c r="R9" i="4"/>
  <c r="R7" i="4"/>
  <c r="G68" i="6" s="1"/>
  <c r="I4" i="5"/>
  <c r="R8" i="4"/>
  <c r="R7" i="5"/>
  <c r="U11" i="4"/>
  <c r="U5" i="4" l="1"/>
  <c r="H66" i="6" s="1"/>
  <c r="O11" i="5"/>
  <c r="D24" i="6" s="1"/>
  <c r="F24" i="6" s="1"/>
  <c r="G24" i="6" s="1"/>
  <c r="D26" i="6"/>
  <c r="F26" i="6" s="1"/>
  <c r="G26" i="6" s="1"/>
  <c r="O15" i="4"/>
  <c r="D21" i="6" s="1"/>
  <c r="F21" i="6" s="1"/>
  <c r="G21" i="6" s="1"/>
  <c r="U4" i="5"/>
  <c r="H73" i="6" s="1"/>
  <c r="F73" i="6" s="1"/>
  <c r="R5" i="5"/>
  <c r="G74" i="6" s="1"/>
  <c r="R4" i="5"/>
  <c r="G73" i="6" s="1"/>
  <c r="J3" i="4"/>
  <c r="K3" i="4" s="1"/>
  <c r="M3" i="4" s="1"/>
  <c r="G69" i="6"/>
  <c r="R15" i="4"/>
  <c r="E22" i="6" s="1"/>
  <c r="F22" i="6" s="1"/>
  <c r="G22" i="6" s="1"/>
  <c r="S5" i="5"/>
  <c r="T5" i="5" s="1"/>
  <c r="U5" i="5" s="1"/>
  <c r="S6" i="4"/>
  <c r="T6" i="4" s="1"/>
  <c r="U6" i="4" s="1"/>
  <c r="H67" i="6" s="1"/>
  <c r="U4" i="4"/>
  <c r="H65" i="6" s="1"/>
  <c r="D66" i="6"/>
  <c r="F66" i="6"/>
  <c r="B66" i="6"/>
  <c r="C66" i="6"/>
  <c r="D73" i="6" l="1"/>
  <c r="B73" i="6"/>
  <c r="C73" i="6"/>
  <c r="S7" i="4"/>
  <c r="T7" i="4" s="1"/>
  <c r="U7" i="4" s="1"/>
  <c r="H68" i="6" s="1"/>
  <c r="D68" i="6" s="1"/>
  <c r="G75" i="6"/>
  <c r="R11" i="5"/>
  <c r="E25" i="6" s="1"/>
  <c r="F25" i="6" s="1"/>
  <c r="G25" i="6" s="1"/>
  <c r="E66" i="6"/>
  <c r="U3" i="4"/>
  <c r="H64" i="6" s="1"/>
  <c r="F67" i="6"/>
  <c r="B67" i="6"/>
  <c r="C67" i="6"/>
  <c r="D67" i="6"/>
  <c r="H74" i="6"/>
  <c r="U11" i="5"/>
  <c r="E35" i="6" s="1"/>
  <c r="F35" i="6" s="1"/>
  <c r="G35" i="6" s="1"/>
  <c r="F65" i="6"/>
  <c r="D65" i="6"/>
  <c r="B65" i="6"/>
  <c r="C65" i="6"/>
  <c r="C68" i="6" l="1"/>
  <c r="E73" i="6"/>
  <c r="F68" i="6"/>
  <c r="B68" i="6"/>
  <c r="H69" i="6"/>
  <c r="D29" i="6"/>
  <c r="F29" i="6" s="1"/>
  <c r="G29" i="6" s="1"/>
  <c r="G30" i="6" s="1"/>
  <c r="F64" i="6"/>
  <c r="F69" i="6" s="1"/>
  <c r="D64" i="6"/>
  <c r="C64" i="6"/>
  <c r="B64" i="6"/>
  <c r="U15" i="4"/>
  <c r="E34" i="6" s="1"/>
  <c r="F34" i="6" s="1"/>
  <c r="G34" i="6" s="1"/>
  <c r="E67" i="6"/>
  <c r="E68" i="6"/>
  <c r="E65" i="6"/>
  <c r="D74" i="6"/>
  <c r="F74" i="6"/>
  <c r="F75" i="6" s="1"/>
  <c r="B74" i="6"/>
  <c r="C74" i="6"/>
  <c r="H75" i="6"/>
  <c r="F30" i="6" l="1"/>
  <c r="D36" i="6" s="1"/>
  <c r="F36" i="6" s="1"/>
  <c r="G36" i="6" s="1"/>
  <c r="E64" i="6"/>
  <c r="E69" i="6" s="1"/>
  <c r="E74" i="6"/>
  <c r="E75" i="6" s="1"/>
  <c r="D56" i="6" l="1"/>
  <c r="G56" i="6"/>
  <c r="E55" i="6"/>
  <c r="E58" i="6"/>
  <c r="G58" i="6"/>
  <c r="D57" i="6"/>
  <c r="D58" i="6"/>
  <c r="E59" i="6"/>
  <c r="F59" i="6"/>
  <c r="G57" i="6"/>
  <c r="D59" i="6"/>
  <c r="F56" i="6"/>
  <c r="F57" i="6"/>
  <c r="F55" i="6"/>
  <c r="D37" i="6"/>
  <c r="F37" i="6" s="1"/>
  <c r="G37" i="6" s="1"/>
  <c r="G40" i="6" s="1"/>
  <c r="G42" i="6" s="1"/>
  <c r="C59" i="6"/>
  <c r="D55" i="6"/>
  <c r="F58" i="6"/>
  <c r="G55" i="6"/>
  <c r="C55" i="6"/>
  <c r="E56" i="6"/>
  <c r="C56" i="6"/>
  <c r="C57" i="6"/>
  <c r="E57" i="6"/>
  <c r="G59" i="6"/>
  <c r="C58" i="6"/>
  <c r="F40" i="6" l="1"/>
  <c r="F42" i="6" s="1"/>
</calcChain>
</file>

<file path=xl/sharedStrings.xml><?xml version="1.0" encoding="utf-8"?>
<sst xmlns="http://schemas.openxmlformats.org/spreadsheetml/2006/main" count="2063" uniqueCount="554">
  <si>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</si>
  <si>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</si>
  <si>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</si>
  <si>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</si>
  <si>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</si>
  <si>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</si>
  <si>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</si>
  <si>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</si>
  <si>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</si>
  <si>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</si>
  <si>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</si>
  <si>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</si>
  <si>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</si>
  <si>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</si>
  <si>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</si>
  <si>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</si>
  <si>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</si>
  <si>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</si>
  <si>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</si>
  <si>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</si>
  <si>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</si>
  <si>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</si>
  <si>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</si>
  <si>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</si>
  <si>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</si>
  <si>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</si>
  <si>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</si>
  <si>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</si>
  <si>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</si>
  <si>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</si>
  <si>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</si>
  <si>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</si>
  <si>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</si>
  <si>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</si>
  <si>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</si>
  <si>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</si>
  <si>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</si>
  <si>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</si>
  <si>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</si>
  <si>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</si>
  <si>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</si>
  <si>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</si>
  <si>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</si>
  <si>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</si>
  <si>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</si>
  <si>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</si>
  <si>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</si>
  <si>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</si>
  <si>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</si>
  <si>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</si>
  <si>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</si>
  <si>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</si>
  <si>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</si>
  <si>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</si>
  <si>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</si>
  <si>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</si>
  <si>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</si>
  <si>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</si>
  <si>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</si>
  <si>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</si>
  <si>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</si>
  <si>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</si>
  <si>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</si>
  <si>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</si>
  <si>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</si>
  <si>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</si>
  <si>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</si>
  <si>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</si>
  <si>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</si>
  <si>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</si>
  <si>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</si>
  <si>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</si>
  <si>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</si>
  <si>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</si>
  <si>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</si>
  <si>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</si>
  <si>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</si>
  <si>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</si>
  <si>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</si>
  <si>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</si>
  <si>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</si>
  <si>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</si>
  <si>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</si>
  <si>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</si>
  <si>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</si>
  <si>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</si>
  <si>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</si>
  <si>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</si>
  <si>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</si>
  <si>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</si>
  <si>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</si>
  <si>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</si>
  <si>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</si>
  <si>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</si>
  <si>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</si>
  <si>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</si>
  <si>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</si>
  <si>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</si>
  <si>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</si>
  <si>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</si>
  <si>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</si>
  <si>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</si>
  <si>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</si>
  <si>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</si>
  <si>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</si>
  <si>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</si>
  <si>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</si>
  <si>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</si>
  <si>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</si>
  <si>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</si>
  <si>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</si>
  <si>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</si>
  <si>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</si>
  <si>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</si>
  <si>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</si>
  <si>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</si>
  <si>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</si>
  <si>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</si>
  <si>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</si>
  <si>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</si>
  <si>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</si>
  <si>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</si>
  <si>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</si>
  <si>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</si>
  <si>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</si>
  <si>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</si>
  <si>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</si>
  <si>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</si>
  <si>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</si>
  <si>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</si>
  <si>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</si>
  <si>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</si>
  <si>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</si>
  <si>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</si>
  <si>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</si>
  <si>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</si>
  <si>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</si>
  <si>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</si>
  <si>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</si>
  <si>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</si>
  <si>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</si>
  <si>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</si>
  <si>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</si>
  <si>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</si>
  <si>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</si>
  <si>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</si>
  <si>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</si>
  <si>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</si>
  <si>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</si>
  <si>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</si>
  <si>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</si>
  <si>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</si>
  <si>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</si>
  <si>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</si>
  <si>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</si>
  <si>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</si>
  <si>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</si>
  <si>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</si>
  <si>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</si>
  <si>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</si>
  <si>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</si>
  <si>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</si>
  <si>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</si>
  <si>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</si>
  <si>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</si>
  <si>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</si>
  <si>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</si>
  <si>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</si>
  <si>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</si>
  <si>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</si>
  <si>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</si>
  <si>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</si>
  <si>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</si>
  <si>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</si>
  <si>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</si>
  <si>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</si>
  <si>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</si>
  <si>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</si>
  <si>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</si>
  <si>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</si>
  <si>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</si>
  <si>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</si>
  <si>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</si>
  <si>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</si>
  <si>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</si>
  <si>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</si>
  <si>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</si>
  <si>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</si>
  <si>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</si>
  <si>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</si>
  <si>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</si>
  <si>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</si>
  <si>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</si>
  <si>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</si>
  <si>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</si>
  <si>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</si>
  <si>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</si>
  <si>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</si>
  <si>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</si>
  <si>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</si>
  <si>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</si>
  <si>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</si>
  <si>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</si>
  <si>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</si>
  <si>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</si>
  <si>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</si>
  <si>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</si>
  <si>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</si>
  <si>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</si>
  <si>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</si>
  <si>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</si>
  <si>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</si>
  <si>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</si>
  <si>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</si>
  <si>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</si>
  <si>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</si>
  <si>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</si>
  <si>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</si>
  <si>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</si>
  <si>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</si>
  <si>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</si>
  <si>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</si>
  <si>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</si>
  <si>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</si>
  <si>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</si>
  <si>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</si>
  <si>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</si>
  <si>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</si>
  <si>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</si>
  <si>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</si>
  <si>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</si>
  <si>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</si>
  <si>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</si>
  <si>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</si>
  <si>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</si>
  <si>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</si>
  <si>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</si>
  <si>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</si>
  <si>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</si>
  <si>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</si>
  <si>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</si>
  <si>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</si>
  <si>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</si>
  <si>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</si>
  <si>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</si>
  <si>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</si>
  <si>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</si>
  <si>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</si>
  <si>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</si>
  <si>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</si>
  <si>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</si>
  <si>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</si>
  <si>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</si>
  <si>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</si>
  <si>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</si>
  <si>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</si>
  <si>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</si>
  <si>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</si>
  <si>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</si>
  <si>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</si>
  <si>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</si>
  <si>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</si>
  <si>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</si>
  <si>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</si>
  <si>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</si>
  <si>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</si>
  <si>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</si>
  <si>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</si>
  <si>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</si>
  <si>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</si>
  <si>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</si>
  <si>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</si>
  <si>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</si>
  <si>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</si>
  <si>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</si>
  <si>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</si>
  <si>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</si>
  <si>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</si>
  <si>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</si>
  <si>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</si>
  <si>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</si>
  <si>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</si>
  <si>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</si>
  <si>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</si>
  <si>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</si>
  <si>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</si>
  <si>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</si>
  <si>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</si>
  <si>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</si>
  <si>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</si>
  <si>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</si>
  <si>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</si>
  <si>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</si>
  <si>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</si>
  <si>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</si>
  <si>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</si>
  <si>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</si>
  <si>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</si>
  <si>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</si>
  <si>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</si>
  <si>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</si>
  <si>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</si>
  <si>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</si>
  <si>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</si>
  <si>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</si>
  <si>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</si>
  <si>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</si>
  <si>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</si>
  <si>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</si>
  <si>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</si>
  <si>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</si>
  <si>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</si>
  <si>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</si>
  <si>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</si>
  <si>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</si>
  <si>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</si>
  <si>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</si>
  <si>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</si>
  <si>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</si>
  <si>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</si>
  <si>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</si>
  <si>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</si>
  <si>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</si>
  <si>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</si>
  <si>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</si>
  <si>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</si>
  <si>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</si>
  <si>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</si>
  <si>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</si>
  <si>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</si>
  <si>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</si>
  <si>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</si>
  <si>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</si>
  <si>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</si>
  <si>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</si>
  <si>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</si>
  <si>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</si>
  <si>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</si>
  <si>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</si>
  <si>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</si>
  <si>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</si>
  <si>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</si>
  <si>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</si>
  <si>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</si>
  <si>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</si>
  <si>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</si>
  <si>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</si>
  <si>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</si>
  <si>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</si>
  <si>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</si>
  <si>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</si>
  <si>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</si>
  <si>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</si>
  <si>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</si>
  <si>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</si>
  <si>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</si>
  <si>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</si>
  <si>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</si>
  <si>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</si>
  <si>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</si>
  <si>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</si>
  <si>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</si>
  <si>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</si>
  <si>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</si>
  <si>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</si>
  <si>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</si>
  <si>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</si>
  <si>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</si>
  <si>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</si>
  <si>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</si>
  <si>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</si>
  <si>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</si>
  <si>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</si>
  <si>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</si>
  <si>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</si>
  <si>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</si>
  <si>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</si>
  <si>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</si>
  <si>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</si>
  <si>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</si>
  <si>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</si>
  <si>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</si>
  <si>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</si>
  <si>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</si>
  <si>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</si>
  <si>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</si>
  <si>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</si>
  <si>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</si>
  <si>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</si>
  <si>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</si>
  <si>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</si>
  <si>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</si>
  <si>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</si>
  <si>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</si>
  <si>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</si>
  <si>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</si>
  <si>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</si>
  <si>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</si>
  <si>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</si>
  <si>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</si>
  <si>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</si>
  <si>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</si>
  <si>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</si>
  <si>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</si>
  <si>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</si>
  <si>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</si>
  <si>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</si>
  <si>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</si>
  <si>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</si>
  <si>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</si>
  <si>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</si>
  <si>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</si>
  <si>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</si>
  <si>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</si>
  <si>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</si>
  <si>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</si>
  <si>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</si>
  <si>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</si>
  <si>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</si>
  <si>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</si>
  <si>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</si>
  <si>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</si>
  <si>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</si>
  <si>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</si>
  <si>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</si>
  <si>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</si>
  <si>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</si>
  <si>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</si>
  <si>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</si>
  <si>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</si>
  <si>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</si>
  <si>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</si>
  <si>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</si>
  <si>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</si>
  <si>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</si>
  <si>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</si>
  <si>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</si>
  <si>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</si>
  <si>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</si>
  <si>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</si>
  <si>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</si>
  <si>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</si>
  <si>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</si>
  <si>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</si>
  <si>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</si>
  <si>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</si>
  <si>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</si>
  <si>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</si>
  <si>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</si>
  <si>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</si>
  <si>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</si>
  <si>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</si>
  <si>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</si>
  <si>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</si>
  <si>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</si>
  <si>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</si>
  <si>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</si>
  <si>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</si>
  <si>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</si>
  <si>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</si>
  <si>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</si>
  <si>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</si>
  <si>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</si>
  <si>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</si>
  <si>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</si>
  <si>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</si>
  <si>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</si>
  <si>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</si>
  <si>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</si>
  <si>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</si>
  <si>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</si>
  <si>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</si>
  <si>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</si>
  <si>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</si>
  <si>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</si>
  <si>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</si>
  <si>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</si>
  <si>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Non-Irrigated Soybeans</t>
  </si>
  <si>
    <t>bushel</t>
  </si>
  <si>
    <t>bag</t>
  </si>
  <si>
    <t>Inoculant</t>
  </si>
  <si>
    <t>Boron</t>
  </si>
  <si>
    <t>lb</t>
  </si>
  <si>
    <t xml:space="preserve">  Boron</t>
  </si>
  <si>
    <t>Glyphosate</t>
  </si>
  <si>
    <t>Reflex</t>
  </si>
  <si>
    <t>oz</t>
  </si>
  <si>
    <t>pt</t>
  </si>
  <si>
    <t>Dimilin</t>
  </si>
  <si>
    <t>Karate</t>
  </si>
  <si>
    <t>Headline</t>
  </si>
  <si>
    <t>1.6, Heavy Disk 27'</t>
  </si>
  <si>
    <t>1.08, Disk Harrow 32'</t>
  </si>
  <si>
    <t>0.03, Bed-Disk  (Hipper)  6R-36</t>
  </si>
  <si>
    <t>2.6, Plant - Rigid  6R-36</t>
  </si>
  <si>
    <t>3.47, Spray (Broadcast) 60'</t>
  </si>
  <si>
    <t>0.28, Tractor (180-199 hp) MFWD 190</t>
  </si>
  <si>
    <t>0.22, Tractor (120-139 hp) 2WD 130</t>
  </si>
  <si>
    <t>0.01, Combine (200-249 hp) 240 hp</t>
  </si>
  <si>
    <t>Labor Use*** (hrs/ac)</t>
  </si>
  <si>
    <t>*** Includes unallocated labor factor of 0.25.  Unallocated labor factor is percentage allowance for additional labor required to move equipment and hook/unhook implements, etc.</t>
  </si>
  <si>
    <t>Your Yield</t>
  </si>
  <si>
    <t>Your Farm</t>
  </si>
  <si>
    <t>Dual</t>
  </si>
  <si>
    <t>RR Weed Control Detail</t>
  </si>
  <si>
    <t>Enlist Weed Control Detail</t>
  </si>
  <si>
    <t>Valor</t>
  </si>
  <si>
    <t>2,4-D</t>
  </si>
  <si>
    <t>Enlist Duo</t>
  </si>
  <si>
    <t>Liberty Weed Control Detail</t>
  </si>
  <si>
    <t>Dual Magnum</t>
  </si>
  <si>
    <t xml:space="preserve">Liberty </t>
  </si>
  <si>
    <t>* In the case of Asian Soybean Rust or other disease, add $15-$30 for additional fungicide sprays.</t>
  </si>
  <si>
    <t xml:space="preserve">Weed Control </t>
  </si>
  <si>
    <t>Disease Control *</t>
  </si>
  <si>
    <t>Seeds</t>
  </si>
  <si>
    <t>Enlist Seed</t>
  </si>
  <si>
    <t>Liberty Seed</t>
  </si>
  <si>
    <t>RR Seed</t>
  </si>
  <si>
    <t>Bag</t>
  </si>
  <si>
    <t>0.26, Grain Cart Soybean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</si>
  <si>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</si>
  <si>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</si>
  <si>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</si>
  <si>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</si>
  <si>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</si>
  <si>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</si>
  <si>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</si>
  <si>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</si>
  <si>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</si>
  <si>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</si>
  <si>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</si>
  <si>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</si>
  <si>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</si>
  <si>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</si>
  <si>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</si>
  <si>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0.38, Header -Soybean 22' Flex</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</si>
  <si>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</si>
  <si>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</si>
  <si>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</si>
  <si>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</si>
  <si>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</si>
  <si>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</si>
  <si>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</si>
  <si>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2023. Due to volatility, prices may change rapidly.</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</si>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</sst>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rgb="FFEBF1DE"/>
        <bgColor rgb="FF000000"/>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50">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 fillId="33" borderId="0" xfId="43" applyFill="1"/>
    <xf numFmtId="0" fontId="16" fillId="0" borderId="0" xfId="0" applyFont="1" applyAlignment="1">
      <alignment horizontal="center"/>
    </xf>
    <xf numFmtId="44" fontId="16" fillId="0" borderId="0" xfId="1" applyFont="1" applyFill="1" applyBorder="1"/>
    <xf numFmtId="0" fontId="16" fillId="33" borderId="10" xfId="0" applyFont="1" applyFill="1" applyBorder="1" applyAlignment="1">
      <alignment horizontal="center"/>
    </xf>
    <xf numFmtId="44" fontId="36" fillId="43" borderId="15" xfId="0" applyNumberFormat="1" applyFont="1" applyFill="1" applyBorder="1"/>
    <xf numFmtId="44" fontId="36" fillId="43" borderId="0" xfId="0" applyNumberFormat="1" applyFont="1" applyFill="1"/>
    <xf numFmtId="44" fontId="1" fillId="39" borderId="0" xfId="1" applyFont="1" applyFill="1" applyBorder="1"/>
    <xf numFmtId="0" fontId="16" fillId="33" borderId="0" xfId="0" applyFont="1" applyFill="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44" fontId="36" fillId="44" borderId="0" xfId="0" applyNumberFormat="1" applyFont="1" applyFill="1"/>
    <xf numFmtId="0" fontId="37" fillId="0" borderId="0" xfId="0" applyFont="1" applyAlignment="1">
      <alignment horizontal="center"/>
    </xf>
    <xf numFmtId="0" fontId="38" fillId="0" borderId="0" xfId="0" applyFont="1"/>
    <xf numFmtId="0" fontId="38" fillId="0" borderId="0" xfId="0" applyFont="1" applyAlignment="1">
      <alignment horizontal="center"/>
    </xf>
    <xf numFmtId="0" fontId="37" fillId="0" borderId="0" xfId="0" applyFont="1"/>
    <xf numFmtId="0" fontId="38" fillId="35" borderId="0" xfId="0" applyFont="1" applyFill="1" applyAlignment="1">
      <alignment wrapText="1"/>
    </xf>
    <xf numFmtId="0" fontId="38"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33" borderId="10" xfId="0" applyFont="1" applyFill="1" applyBorder="1" applyAlignment="1">
      <alignment horizontal="center"/>
    </xf>
    <xf numFmtId="0" fontId="16" fillId="36"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0" fontId="36" fillId="35" borderId="0" xfId="0" applyFont="1" applyFill="1"/>
    <xf numFmtId="169" fontId="0" fillId="35" borderId="0" xfId="48" applyNumberFormat="1" applyFont="1" applyFill="1"/>
    <xf numFmtId="169" fontId="0" fillId="0" borderId="0" xfId="48" applyNumberFormat="1" applyFont="1"/>
    <xf numFmtId="169" fontId="1" fillId="0" borderId="0" xfId="48" applyNumberFormat="1"/>
    <xf numFmtId="169" fontId="39" fillId="45" borderId="0" xfId="48" applyNumberFormat="1" applyFont="1" applyFill="1"/>
    <xf numFmtId="169" fontId="1" fillId="35" borderId="0" xfId="48" applyNumberFormat="1" applyFill="1"/>
    <xf numFmtId="0" fontId="16" fillId="0"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5">
    <dxf>
      <font>
        <condense val="0"/>
        <extend val="0"/>
        <color auto="1"/>
      </font>
      <fill>
        <patternFill>
          <bgColor indexed="22"/>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ziehl/Desktop/2019-20%20M&amp;B/2019%20Irrigated%20ST%20Soyb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 Weed, Insct, Dis"/>
      <sheetName val="PreHarvest"/>
      <sheetName val="Harvest"/>
      <sheetName val="Implmnt"/>
      <sheetName val="Tractors"/>
      <sheetName val="SelfPros"/>
    </sheetNames>
    <sheetDataSet>
      <sheetData sheetId="0">
        <row r="6">
          <cell r="D6" t="str">
            <v>bushel</v>
          </cell>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1:I4" totalsRowShown="0" headerRowDxfId="4" dataDxfId="3">
  <autoFilter ref="H1:I4" xr:uid="{00000000-0009-0000-0100-000001000000}"/>
  <tableColumns count="2">
    <tableColumn id="1" xr3:uid="{00000000-0010-0000-0000-000001000000}" name="Seeds" dataDxfId="2"/>
    <tableColumn id="2" xr3:uid="{00000000-0010-0000-0000-000002000000}" name="Bag"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4B59-0F40-8642-9742-9BD189548E49}">
  <dimension ref="A1:A18"/>
  <sheetViews>
    <sheetView tabSelected="1" workbookViewId="0"/>
  </sheetViews>
  <sheetFormatPr baseColWidth="10" defaultRowHeight="19" x14ac:dyDescent="0.25"/>
  <cols>
    <col min="1" max="1" width="86.83203125" style="208" customWidth="1"/>
    <col min="2" max="16384" width="10.83203125" style="208"/>
  </cols>
  <sheetData>
    <row r="1" spans="1:1" x14ac:dyDescent="0.25">
      <c r="A1" s="207" t="s">
        <v>537</v>
      </c>
    </row>
    <row r="2" spans="1:1" x14ac:dyDescent="0.25">
      <c r="A2" s="209" t="s">
        <v>538</v>
      </c>
    </row>
    <row r="3" spans="1:1" x14ac:dyDescent="0.25">
      <c r="A3" s="209" t="s">
        <v>539</v>
      </c>
    </row>
    <row r="4" spans="1:1" x14ac:dyDescent="0.25">
      <c r="A4" s="209" t="s">
        <v>540</v>
      </c>
    </row>
    <row r="5" spans="1:1" x14ac:dyDescent="0.25">
      <c r="A5" s="209"/>
    </row>
    <row r="6" spans="1:1" x14ac:dyDescent="0.25">
      <c r="A6" s="209" t="s">
        <v>541</v>
      </c>
    </row>
    <row r="7" spans="1:1" x14ac:dyDescent="0.25">
      <c r="A7" s="209" t="s">
        <v>542</v>
      </c>
    </row>
    <row r="8" spans="1:1" x14ac:dyDescent="0.25">
      <c r="A8" s="209"/>
    </row>
    <row r="9" spans="1:1" x14ac:dyDescent="0.25">
      <c r="A9" s="210" t="s">
        <v>543</v>
      </c>
    </row>
    <row r="10" spans="1:1" ht="100" x14ac:dyDescent="0.25">
      <c r="A10" s="211" t="s">
        <v>544</v>
      </c>
    </row>
    <row r="11" spans="1:1" x14ac:dyDescent="0.25">
      <c r="A11" s="212"/>
    </row>
    <row r="12" spans="1:1" x14ac:dyDescent="0.25">
      <c r="A12" s="210" t="s">
        <v>545</v>
      </c>
    </row>
    <row r="13" spans="1:1" ht="120" x14ac:dyDescent="0.25">
      <c r="A13" s="212" t="s">
        <v>546</v>
      </c>
    </row>
    <row r="14" spans="1:1" ht="80" x14ac:dyDescent="0.25">
      <c r="A14" s="212" t="s">
        <v>547</v>
      </c>
    </row>
    <row r="15" spans="1:1" ht="40" x14ac:dyDescent="0.25">
      <c r="A15" s="212" t="s">
        <v>548</v>
      </c>
    </row>
    <row r="16" spans="1:1" ht="40" x14ac:dyDescent="0.25">
      <c r="A16" s="212" t="s">
        <v>549</v>
      </c>
    </row>
    <row r="17" spans="1:1" ht="40" x14ac:dyDescent="0.25">
      <c r="A17" s="212" t="s">
        <v>550</v>
      </c>
    </row>
    <row r="18" spans="1:1" ht="100" x14ac:dyDescent="0.25">
      <c r="A18" s="212" t="s">
        <v>551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1"/>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6" width="9.83203125" bestFit="1" customWidth="1"/>
    <col min="7" max="7" width="9.6640625" customWidth="1"/>
    <col min="8" max="8" width="10" bestFit="1" customWidth="1"/>
  </cols>
  <sheetData>
    <row r="1" spans="1:9" x14ac:dyDescent="0.2">
      <c r="B1" s="213" t="s">
        <v>477</v>
      </c>
      <c r="C1" s="213"/>
      <c r="D1" s="213"/>
      <c r="E1" s="213"/>
      <c r="F1" s="213"/>
      <c r="G1" s="213"/>
      <c r="H1" s="213"/>
      <c r="I1" s="38"/>
    </row>
    <row r="2" spans="1:9" x14ac:dyDescent="0.2">
      <c r="B2" s="213" t="s">
        <v>552</v>
      </c>
      <c r="C2" s="213"/>
      <c r="D2" s="213"/>
      <c r="E2" s="213"/>
      <c r="F2" s="213"/>
      <c r="G2" s="213"/>
      <c r="H2" s="213"/>
      <c r="I2" s="38"/>
    </row>
    <row r="3" spans="1:9" ht="15" customHeight="1" x14ac:dyDescent="0.2">
      <c r="B3" s="217" t="s">
        <v>553</v>
      </c>
      <c r="C3" s="217"/>
      <c r="D3" s="217"/>
      <c r="E3" s="217"/>
      <c r="F3" s="217"/>
      <c r="G3" s="217"/>
      <c r="H3" s="217"/>
      <c r="I3" s="38"/>
    </row>
    <row r="4" spans="1:9" ht="30" customHeight="1" x14ac:dyDescent="0.2">
      <c r="B4" s="217"/>
      <c r="C4" s="217"/>
      <c r="D4" s="217"/>
      <c r="E4" s="217"/>
      <c r="F4" s="217"/>
      <c r="G4" s="217"/>
      <c r="H4" s="217"/>
      <c r="I4" s="38"/>
    </row>
    <row r="5" spans="1:9" x14ac:dyDescent="0.2">
      <c r="I5" s="38"/>
    </row>
    <row r="6" spans="1:9" x14ac:dyDescent="0.2">
      <c r="B6" s="213" t="s">
        <v>361</v>
      </c>
      <c r="C6" s="213"/>
      <c r="D6" s="213"/>
      <c r="E6" s="213"/>
      <c r="F6" s="213"/>
      <c r="G6" s="213"/>
      <c r="H6" s="213"/>
    </row>
    <row r="7" spans="1:9" x14ac:dyDescent="0.2">
      <c r="B7" s="55" t="s">
        <v>362</v>
      </c>
      <c r="C7" s="38">
        <v>30</v>
      </c>
      <c r="D7" t="s">
        <v>478</v>
      </c>
      <c r="E7" t="s">
        <v>501</v>
      </c>
    </row>
    <row r="8" spans="1:9" x14ac:dyDescent="0.2">
      <c r="F8" s="35"/>
    </row>
    <row r="9" spans="1:9" x14ac:dyDescent="0.2">
      <c r="B9" s="84" t="s">
        <v>363</v>
      </c>
      <c r="C9" s="84" t="s">
        <v>356</v>
      </c>
      <c r="D9" s="54" t="s">
        <v>357</v>
      </c>
      <c r="E9" s="54" t="s">
        <v>358</v>
      </c>
      <c r="F9" s="54" t="s">
        <v>364</v>
      </c>
      <c r="G9" s="54" t="str">
        <f>CONCATENATE("$/",$D$7)</f>
        <v>$/bushel</v>
      </c>
      <c r="H9" s="54" t="s">
        <v>502</v>
      </c>
    </row>
    <row r="10" spans="1:9" x14ac:dyDescent="0.2">
      <c r="B10" t="s">
        <v>518</v>
      </c>
      <c r="C10" t="s">
        <v>479</v>
      </c>
      <c r="D10">
        <v>1</v>
      </c>
      <c r="E10" s="56">
        <f>IF(B10="Enlist Seed",'Fert, Weed, Insct, Dis'!I2,(IF(B10="RR Seed",'Fert, Weed, Insct, Dis'!I4,IF(B10="Extendimax Seed",'Fert, Weed, Insct, Dis'!#REF!,IF(B10="Liberty Seed",'Fert, Weed, Insct, Dis'!I3)))))</f>
        <v>63</v>
      </c>
      <c r="F10" s="30">
        <f>E10*D10</f>
        <v>63</v>
      </c>
      <c r="G10" s="56">
        <f>F10/yield</f>
        <v>2.1</v>
      </c>
    </row>
    <row r="11" spans="1:9" x14ac:dyDescent="0.2">
      <c r="B11" t="s">
        <v>480</v>
      </c>
      <c r="C11" t="s">
        <v>375</v>
      </c>
      <c r="D11">
        <v>1</v>
      </c>
      <c r="E11" s="30">
        <v>9.25</v>
      </c>
      <c r="F11" s="30">
        <f>E11*D11</f>
        <v>9.25</v>
      </c>
      <c r="G11" s="56">
        <f>F11/yield</f>
        <v>0.30833333333333335</v>
      </c>
      <c r="H11" s="35"/>
    </row>
    <row r="12" spans="1:9" x14ac:dyDescent="0.2">
      <c r="B12" t="str">
        <f>'Fert, Weed, Insct, Dis'!A3</f>
        <v>Lime</v>
      </c>
      <c r="C12" t="str">
        <f>'Fert, Weed, Insct, Dis'!B3</f>
        <v>ton</v>
      </c>
      <c r="D12">
        <f>'Fert, Weed, Insct, Dis'!C3</f>
        <v>0.33</v>
      </c>
      <c r="E12" s="56">
        <f>'Fert, Weed, Insct, Dis'!D3</f>
        <v>45</v>
      </c>
      <c r="F12" s="56">
        <f>'Fert, Weed, Insct, Dis'!E3</f>
        <v>14.850000000000001</v>
      </c>
      <c r="G12" s="56">
        <f>'Fert, Weed, Insct, Dis'!F3</f>
        <v>0.49500000000000005</v>
      </c>
      <c r="H12" s="35"/>
    </row>
    <row r="13" spans="1:9" x14ac:dyDescent="0.2">
      <c r="A13" s="124" t="s">
        <v>428</v>
      </c>
      <c r="B13" t="s">
        <v>366</v>
      </c>
      <c r="F13" s="30"/>
      <c r="G13" s="56"/>
    </row>
    <row r="14" spans="1:9" x14ac:dyDescent="0.2">
      <c r="B14" s="82" t="s">
        <v>367</v>
      </c>
      <c r="C14" t="s">
        <v>359</v>
      </c>
      <c r="D14">
        <f>'Fert, Weed, Insct, Dis'!$C$4</f>
        <v>40</v>
      </c>
      <c r="E14" s="56">
        <f>'Fert, Weed, Insct, Dis'!D4</f>
        <v>0.7</v>
      </c>
      <c r="F14" s="30">
        <f t="shared" ref="F14:F19" si="0">E14*D14</f>
        <v>28</v>
      </c>
      <c r="G14" s="56">
        <f t="shared" ref="G14:G19" si="1">F14/yield</f>
        <v>0.93333333333333335</v>
      </c>
    </row>
    <row r="15" spans="1:9" x14ac:dyDescent="0.2">
      <c r="B15" s="82" t="s">
        <v>368</v>
      </c>
      <c r="C15" t="s">
        <v>359</v>
      </c>
      <c r="D15">
        <f>'Fert, Weed, Insct, Dis'!$C$5</f>
        <v>80</v>
      </c>
      <c r="E15" s="56">
        <f>'Fert, Weed, Insct, Dis'!D5</f>
        <v>0.42</v>
      </c>
      <c r="F15" s="30">
        <f t="shared" si="0"/>
        <v>33.6</v>
      </c>
      <c r="G15" s="56">
        <f t="shared" si="1"/>
        <v>1.1200000000000001</v>
      </c>
      <c r="H15" s="35"/>
    </row>
    <row r="16" spans="1:9" x14ac:dyDescent="0.2">
      <c r="B16" s="82" t="s">
        <v>483</v>
      </c>
      <c r="C16" t="s">
        <v>359</v>
      </c>
      <c r="D16">
        <f>'Fert, Weed, Insct, Dis'!$C$6</f>
        <v>0.5</v>
      </c>
      <c r="E16" s="56">
        <f>'Fert, Weed, Insct, Dis'!D6</f>
        <v>13.32</v>
      </c>
      <c r="F16" s="30">
        <f t="shared" si="0"/>
        <v>6.66</v>
      </c>
      <c r="G16" s="56">
        <f t="shared" si="1"/>
        <v>0.222</v>
      </c>
    </row>
    <row r="17" spans="1:8" x14ac:dyDescent="0.2">
      <c r="A17" s="124" t="s">
        <v>429</v>
      </c>
      <c r="B17" t="s">
        <v>513</v>
      </c>
      <c r="C17" t="s">
        <v>375</v>
      </c>
      <c r="D17">
        <v>1</v>
      </c>
      <c r="E17" s="56">
        <f>IF(B10="Enlist Seed",'Fert, Weed, Insct, Dis'!L28,(IF(B10="RR Seed",'Fert, Weed, Insct, Dis'!E21,IF(B10="Extendimax Seed",'Fert, Weed, Insct, Dis'!#REF!,IF(B10="Liberty Seed",'Fert, Weed, Insct, Dis'!L19)))))</f>
        <v>18.016874999999999</v>
      </c>
      <c r="F17" s="30">
        <f t="shared" si="0"/>
        <v>18.016874999999999</v>
      </c>
      <c r="G17" s="56">
        <f t="shared" si="1"/>
        <v>0.6005625</v>
      </c>
      <c r="H17" s="35"/>
    </row>
    <row r="18" spans="1:8" x14ac:dyDescent="0.2">
      <c r="A18" s="124" t="s">
        <v>430</v>
      </c>
      <c r="B18" t="s">
        <v>369</v>
      </c>
      <c r="C18" t="s">
        <v>375</v>
      </c>
      <c r="D18">
        <v>1</v>
      </c>
      <c r="E18" s="56">
        <f>'Fert, Weed, Insct, Dis'!$E$32</f>
        <v>2.1470000000000002</v>
      </c>
      <c r="F18" s="30">
        <f t="shared" si="0"/>
        <v>2.1470000000000002</v>
      </c>
      <c r="G18" s="56">
        <f t="shared" si="1"/>
        <v>7.1566666666666681E-2</v>
      </c>
    </row>
    <row r="19" spans="1:8" x14ac:dyDescent="0.2">
      <c r="A19" s="124" t="s">
        <v>431</v>
      </c>
      <c r="B19" t="s">
        <v>514</v>
      </c>
      <c r="C19" t="s">
        <v>375</v>
      </c>
      <c r="D19">
        <v>1</v>
      </c>
      <c r="E19" s="56">
        <f>'Fert, Weed, Insct, Dis'!$E$46</f>
        <v>0</v>
      </c>
      <c r="F19" s="30">
        <f t="shared" si="0"/>
        <v>0</v>
      </c>
      <c r="G19" s="56">
        <f t="shared" si="1"/>
        <v>0</v>
      </c>
      <c r="H19" s="35"/>
    </row>
    <row r="20" spans="1:8" x14ac:dyDescent="0.2">
      <c r="A20" s="124" t="s">
        <v>433</v>
      </c>
      <c r="B20" t="s">
        <v>370</v>
      </c>
      <c r="F20" s="30"/>
      <c r="G20" s="56"/>
    </row>
    <row r="21" spans="1:8" x14ac:dyDescent="0.2">
      <c r="B21" s="82" t="s">
        <v>371</v>
      </c>
      <c r="C21" t="s">
        <v>376</v>
      </c>
      <c r="D21" s="162">
        <f>PreHarvest!O15+PreHarvest!I24</f>
        <v>4.7894406445022337</v>
      </c>
      <c r="E21" s="30">
        <v>3</v>
      </c>
      <c r="F21" s="30">
        <f>E21*D21</f>
        <v>14.368321933506701</v>
      </c>
      <c r="G21" s="56">
        <f>F21/yield</f>
        <v>0.47894406445022336</v>
      </c>
    </row>
    <row r="22" spans="1:8" x14ac:dyDescent="0.2">
      <c r="B22" s="82" t="s">
        <v>372</v>
      </c>
      <c r="C22" t="s">
        <v>375</v>
      </c>
      <c r="D22">
        <v>1</v>
      </c>
      <c r="E22" s="30">
        <f>PreHarvest!$R$15+PreHarvest!$K$24</f>
        <v>17.222886228082665</v>
      </c>
      <c r="F22" s="30">
        <f>E22*D22</f>
        <v>17.222886228082665</v>
      </c>
      <c r="G22" s="56">
        <f>F22/yield</f>
        <v>0.57409620760275548</v>
      </c>
      <c r="H22" s="35"/>
    </row>
    <row r="23" spans="1:8" x14ac:dyDescent="0.2">
      <c r="A23" s="124" t="s">
        <v>432</v>
      </c>
      <c r="B23" t="s">
        <v>373</v>
      </c>
      <c r="F23" s="30"/>
      <c r="G23" s="56"/>
    </row>
    <row r="24" spans="1:8" x14ac:dyDescent="0.2">
      <c r="B24" s="82" t="s">
        <v>371</v>
      </c>
      <c r="C24" t="s">
        <v>376</v>
      </c>
      <c r="D24" s="162">
        <f>Harvest!O11</f>
        <v>2.0628151294117649</v>
      </c>
      <c r="E24" s="30">
        <f>E21</f>
        <v>3</v>
      </c>
      <c r="F24" s="30">
        <f t="shared" ref="F24:F29" si="2">E24*D24</f>
        <v>6.1884453882352943</v>
      </c>
      <c r="G24" s="56">
        <f t="shared" ref="G24:G29" si="3">F24/yield</f>
        <v>0.20628151294117647</v>
      </c>
    </row>
    <row r="25" spans="1:8" x14ac:dyDescent="0.2">
      <c r="B25" s="82" t="s">
        <v>372</v>
      </c>
      <c r="C25" t="s">
        <v>375</v>
      </c>
      <c r="D25">
        <v>1</v>
      </c>
      <c r="E25" s="30">
        <f>Harvest!$R$11</f>
        <v>8.5665937269644719</v>
      </c>
      <c r="F25" s="30">
        <f t="shared" si="2"/>
        <v>8.5665937269644719</v>
      </c>
      <c r="G25" s="56">
        <f t="shared" si="3"/>
        <v>0.28555312423214907</v>
      </c>
      <c r="H25" s="35"/>
    </row>
    <row r="26" spans="1:8" x14ac:dyDescent="0.2">
      <c r="B26" t="s">
        <v>377</v>
      </c>
      <c r="C26" t="s">
        <v>382</v>
      </c>
      <c r="D26" s="162">
        <f>1.25*((PreHarvest!G15+PreHarvest!G24)+Harvest!G11)</f>
        <v>0.94953889159408722</v>
      </c>
      <c r="E26" s="30">
        <v>16.079999999999998</v>
      </c>
      <c r="F26" s="30">
        <f t="shared" si="2"/>
        <v>15.26858537683292</v>
      </c>
      <c r="G26" s="56">
        <f t="shared" si="3"/>
        <v>0.50895284589443068</v>
      </c>
    </row>
    <row r="27" spans="1:8" x14ac:dyDescent="0.2">
      <c r="B27" t="s">
        <v>378</v>
      </c>
      <c r="C27" t="s">
        <v>375</v>
      </c>
      <c r="D27">
        <v>1</v>
      </c>
      <c r="E27" s="30">
        <v>14</v>
      </c>
      <c r="F27" s="30">
        <f t="shared" si="2"/>
        <v>14</v>
      </c>
      <c r="G27" s="56">
        <f t="shared" si="3"/>
        <v>0.46666666666666667</v>
      </c>
      <c r="H27" s="35"/>
    </row>
    <row r="28" spans="1:8" x14ac:dyDescent="0.2">
      <c r="B28" t="s">
        <v>379</v>
      </c>
      <c r="C28" t="s">
        <v>375</v>
      </c>
      <c r="D28">
        <v>1</v>
      </c>
      <c r="E28" s="30">
        <v>0</v>
      </c>
      <c r="F28" s="30">
        <f t="shared" si="2"/>
        <v>0</v>
      </c>
      <c r="G28" s="56">
        <f t="shared" si="3"/>
        <v>0</v>
      </c>
    </row>
    <row r="29" spans="1:8" x14ac:dyDescent="0.2">
      <c r="B29" t="s">
        <v>380</v>
      </c>
      <c r="C29" t="s">
        <v>381</v>
      </c>
      <c r="D29" s="56">
        <f>SUM(F10:F28)*0.5</f>
        <v>125.56935382681102</v>
      </c>
      <c r="E29" s="205">
        <v>0.08</v>
      </c>
      <c r="F29" s="30">
        <f t="shared" si="2"/>
        <v>10.045548306144882</v>
      </c>
      <c r="G29" s="56">
        <f t="shared" si="3"/>
        <v>0.3348516102048294</v>
      </c>
      <c r="H29" s="35"/>
    </row>
    <row r="30" spans="1:8" x14ac:dyDescent="0.2">
      <c r="B30" s="214" t="s">
        <v>383</v>
      </c>
      <c r="C30" s="214"/>
      <c r="D30" s="214"/>
      <c r="E30" s="214"/>
      <c r="F30" s="83">
        <f>SUM(F10:F29)</f>
        <v>261.18425595976692</v>
      </c>
      <c r="G30" s="83">
        <f>SUM(G10:G29)</f>
        <v>8.7061418653255647</v>
      </c>
      <c r="H30" s="35"/>
    </row>
    <row r="32" spans="1:8" x14ac:dyDescent="0.2">
      <c r="B32" s="85" t="s">
        <v>387</v>
      </c>
      <c r="C32" s="85"/>
      <c r="D32" s="85"/>
      <c r="E32" s="85"/>
      <c r="F32" s="85"/>
      <c r="G32" s="85"/>
      <c r="H32" s="35"/>
    </row>
    <row r="33" spans="2:8" x14ac:dyDescent="0.2">
      <c r="B33" s="222" t="s">
        <v>388</v>
      </c>
      <c r="C33" s="222"/>
      <c r="D33" s="222"/>
      <c r="E33" s="222"/>
      <c r="F33" s="222"/>
      <c r="G33" s="222"/>
      <c r="H33" s="222"/>
    </row>
    <row r="34" spans="2:8" x14ac:dyDescent="0.2">
      <c r="B34" s="82" t="s">
        <v>389</v>
      </c>
      <c r="C34" t="s">
        <v>375</v>
      </c>
      <c r="D34">
        <v>1</v>
      </c>
      <c r="E34" s="30">
        <f>PreHarvest!$U$15+PreHarvest!$M$24</f>
        <v>49.318091604788421</v>
      </c>
      <c r="F34" s="30">
        <f>E34*D34</f>
        <v>49.318091604788421</v>
      </c>
      <c r="G34" s="30">
        <f t="shared" ref="G34:G39" si="4">F34/yield</f>
        <v>1.6439363868262806</v>
      </c>
    </row>
    <row r="35" spans="2:8" x14ac:dyDescent="0.2">
      <c r="B35" s="82" t="s">
        <v>390</v>
      </c>
      <c r="C35" t="s">
        <v>375</v>
      </c>
      <c r="D35">
        <v>1</v>
      </c>
      <c r="E35" s="30">
        <f>Harvest!$U$11</f>
        <v>41.396526288309012</v>
      </c>
      <c r="F35" s="30">
        <f t="shared" ref="F35:F39" si="5">E35*D35</f>
        <v>41.396526288309012</v>
      </c>
      <c r="G35" s="30">
        <f t="shared" si="4"/>
        <v>1.3798842096103003</v>
      </c>
      <c r="H35" s="35"/>
    </row>
    <row r="36" spans="2:8" x14ac:dyDescent="0.2">
      <c r="B36" t="s">
        <v>391</v>
      </c>
      <c r="C36" t="s">
        <v>392</v>
      </c>
      <c r="D36" s="30">
        <f>tvc</f>
        <v>261.18425595976692</v>
      </c>
      <c r="E36" s="86">
        <v>0.05</v>
      </c>
      <c r="F36" s="30">
        <f t="shared" si="5"/>
        <v>13.059212797988346</v>
      </c>
      <c r="G36" s="30">
        <f t="shared" si="4"/>
        <v>0.4353070932662782</v>
      </c>
    </row>
    <row r="37" spans="2:8" x14ac:dyDescent="0.2">
      <c r="B37" t="s">
        <v>393</v>
      </c>
      <c r="C37" t="s">
        <v>392</v>
      </c>
      <c r="D37" s="30">
        <f>tvc</f>
        <v>261.18425595976692</v>
      </c>
      <c r="E37" s="86">
        <v>0.05</v>
      </c>
      <c r="F37" s="30">
        <f>E37*D37</f>
        <v>13.059212797988346</v>
      </c>
      <c r="G37" s="30">
        <f t="shared" si="4"/>
        <v>0.4353070932662782</v>
      </c>
      <c r="H37" s="35"/>
    </row>
    <row r="38" spans="2:8" ht="16" x14ac:dyDescent="0.2">
      <c r="B38" s="87" t="s">
        <v>394</v>
      </c>
      <c r="C38" t="s">
        <v>375</v>
      </c>
      <c r="D38">
        <v>1</v>
      </c>
      <c r="E38" s="30">
        <v>0</v>
      </c>
      <c r="F38" s="30">
        <f t="shared" si="5"/>
        <v>0</v>
      </c>
      <c r="G38" s="30">
        <f t="shared" si="4"/>
        <v>0</v>
      </c>
    </row>
    <row r="39" spans="2:8" x14ac:dyDescent="0.2">
      <c r="B39" s="41" t="s">
        <v>395</v>
      </c>
      <c r="C39" s="41" t="s">
        <v>375</v>
      </c>
      <c r="D39" s="41">
        <v>1</v>
      </c>
      <c r="E39" s="88">
        <v>0</v>
      </c>
      <c r="F39" s="88">
        <f t="shared" si="5"/>
        <v>0</v>
      </c>
      <c r="G39" s="30">
        <f t="shared" si="4"/>
        <v>0</v>
      </c>
      <c r="H39" s="35"/>
    </row>
    <row r="40" spans="2:8" x14ac:dyDescent="0.2">
      <c r="B40" s="214" t="s">
        <v>396</v>
      </c>
      <c r="C40" s="214"/>
      <c r="D40" s="214"/>
      <c r="E40" s="214"/>
      <c r="F40" s="83">
        <f>SUM(F34:F39)</f>
        <v>116.83304348907413</v>
      </c>
      <c r="G40" s="83">
        <f>SUM(G34:G39)</f>
        <v>3.894434782969137</v>
      </c>
      <c r="H40" s="35"/>
    </row>
    <row r="42" spans="2:8" ht="16" thickBot="1" x14ac:dyDescent="0.25">
      <c r="B42" s="89" t="s">
        <v>397</v>
      </c>
      <c r="C42" s="89"/>
      <c r="D42" s="89"/>
      <c r="E42" s="89"/>
      <c r="F42" s="90">
        <f>F30+F40</f>
        <v>378.01729944884107</v>
      </c>
      <c r="G42" s="90">
        <f>G30+G40</f>
        <v>12.600576648294702</v>
      </c>
      <c r="H42" s="35"/>
    </row>
    <row r="43" spans="2:8" x14ac:dyDescent="0.2">
      <c r="B43" s="91" t="s">
        <v>398</v>
      </c>
      <c r="C43" s="91"/>
      <c r="D43" s="91"/>
      <c r="E43" s="92" t="s">
        <v>399</v>
      </c>
      <c r="F43" s="98"/>
      <c r="G43" s="93" t="str">
        <f>CONCATENATE("/",$D$7)</f>
        <v>/bushel</v>
      </c>
    </row>
    <row r="44" spans="2:8" ht="16" thickBot="1" x14ac:dyDescent="0.25">
      <c r="B44" s="94" t="s">
        <v>400</v>
      </c>
      <c r="C44" s="94"/>
      <c r="D44" s="94"/>
      <c r="E44" s="95" t="s">
        <v>399</v>
      </c>
      <c r="F44" s="96"/>
      <c r="G44" s="97" t="str">
        <f>CONCATENATE("/",$D$7)</f>
        <v>/bushel</v>
      </c>
    </row>
    <row r="45" spans="2:8" x14ac:dyDescent="0.2">
      <c r="E45" s="55"/>
      <c r="F45" s="121"/>
      <c r="G45" s="122"/>
    </row>
    <row r="46" spans="2:8" ht="29" customHeight="1" x14ac:dyDescent="0.2">
      <c r="B46" s="225" t="s">
        <v>512</v>
      </c>
      <c r="C46" s="225"/>
      <c r="D46" s="225"/>
      <c r="E46" s="225"/>
      <c r="F46" s="225"/>
      <c r="G46" s="225"/>
      <c r="H46" s="225"/>
    </row>
    <row r="47" spans="2:8" ht="18.75" customHeight="1" x14ac:dyDescent="0.2">
      <c r="B47" s="165"/>
      <c r="C47" s="165"/>
      <c r="D47" s="165"/>
      <c r="E47" s="165"/>
      <c r="F47" s="165"/>
      <c r="G47" s="165"/>
      <c r="H47" s="165"/>
    </row>
    <row r="48" spans="2:8" ht="14.5" customHeight="1" x14ac:dyDescent="0.2">
      <c r="B48" s="220" t="s">
        <v>535</v>
      </c>
      <c r="C48" s="220"/>
      <c r="D48" s="220"/>
      <c r="E48" s="220"/>
      <c r="F48" s="220"/>
      <c r="G48" s="220"/>
      <c r="H48" s="220"/>
    </row>
    <row r="49" spans="2:8" x14ac:dyDescent="0.2">
      <c r="B49" s="221"/>
      <c r="C49" s="221"/>
      <c r="D49" s="221"/>
      <c r="E49" s="221"/>
      <c r="F49" s="221"/>
      <c r="G49" s="221"/>
      <c r="H49" s="221"/>
    </row>
    <row r="50" spans="2:8" x14ac:dyDescent="0.2">
      <c r="B50" s="219" t="str">
        <f>CONCATENATE("Sensitivity Analysis of ",B1)</f>
        <v>Sensitivity Analysis of Non-Irrigated Soybeans</v>
      </c>
      <c r="C50" s="219"/>
      <c r="D50" s="219"/>
      <c r="E50" s="219"/>
      <c r="F50" s="219"/>
      <c r="G50" s="219"/>
      <c r="H50" s="38"/>
    </row>
    <row r="51" spans="2:8" x14ac:dyDescent="0.2">
      <c r="B51" s="223" t="s">
        <v>401</v>
      </c>
      <c r="C51" s="223"/>
      <c r="D51" s="223"/>
      <c r="E51" s="223"/>
      <c r="F51" s="223"/>
      <c r="G51" s="223"/>
    </row>
    <row r="52" spans="2:8" x14ac:dyDescent="0.2">
      <c r="B52" s="224" t="str">
        <f>CONCATENATE("Varying Prices and Yields ","(",(D7),")")</f>
        <v>Varying Prices and Yields (bushel)</v>
      </c>
      <c r="C52" s="224"/>
      <c r="D52" s="224"/>
      <c r="E52" s="224"/>
      <c r="F52" s="224"/>
      <c r="G52" s="224"/>
    </row>
    <row r="53" spans="2:8" x14ac:dyDescent="0.2">
      <c r="B53" s="215" t="str">
        <f>CONCATENATE("Price \ ",$D$7,"/Acre")</f>
        <v>Price \ bushel/Acre</v>
      </c>
      <c r="C53" s="99" t="s">
        <v>402</v>
      </c>
      <c r="D53" s="99" t="s">
        <v>403</v>
      </c>
      <c r="E53" s="39" t="s">
        <v>404</v>
      </c>
      <c r="F53" s="99" t="s">
        <v>405</v>
      </c>
      <c r="G53" s="99" t="s">
        <v>406</v>
      </c>
    </row>
    <row r="54" spans="2:8" x14ac:dyDescent="0.2">
      <c r="B54" s="216"/>
      <c r="C54" s="100">
        <f>E54*0.75</f>
        <v>22.5</v>
      </c>
      <c r="D54" s="100">
        <f>E54*0.9</f>
        <v>27</v>
      </c>
      <c r="E54" s="100">
        <f>yield</f>
        <v>30</v>
      </c>
      <c r="F54" s="100">
        <f>E54*1.1</f>
        <v>33</v>
      </c>
      <c r="G54" s="100">
        <f>E54*1.25</f>
        <v>37.5</v>
      </c>
    </row>
    <row r="55" spans="2:8" x14ac:dyDescent="0.2">
      <c r="B55" s="101">
        <v>8</v>
      </c>
      <c r="C55" s="102">
        <f t="shared" ref="C55:G59" si="6">$B55*C$54-tvc</f>
        <v>-81.184255959766915</v>
      </c>
      <c r="D55" s="102">
        <f t="shared" si="6"/>
        <v>-45.184255959766915</v>
      </c>
      <c r="E55" s="102">
        <f t="shared" si="6"/>
        <v>-21.184255959766915</v>
      </c>
      <c r="F55" s="102">
        <f t="shared" si="6"/>
        <v>2.8157440402330849</v>
      </c>
      <c r="G55" s="102">
        <f t="shared" si="6"/>
        <v>38.815744040233085</v>
      </c>
    </row>
    <row r="56" spans="2:8" x14ac:dyDescent="0.2">
      <c r="B56" s="103">
        <f>B55+1</f>
        <v>9</v>
      </c>
      <c r="C56" s="104">
        <f t="shared" si="6"/>
        <v>-58.684255959766915</v>
      </c>
      <c r="D56" s="104">
        <f t="shared" si="6"/>
        <v>-18.184255959766915</v>
      </c>
      <c r="E56" s="104">
        <f t="shared" si="6"/>
        <v>8.8157440402330849</v>
      </c>
      <c r="F56" s="104">
        <f t="shared" si="6"/>
        <v>35.815744040233085</v>
      </c>
      <c r="G56" s="104">
        <f t="shared" si="6"/>
        <v>76.315744040233085</v>
      </c>
    </row>
    <row r="57" spans="2:8" x14ac:dyDescent="0.2">
      <c r="B57" s="103">
        <f t="shared" ref="B57:B58" si="7">B56+1</f>
        <v>10</v>
      </c>
      <c r="C57" s="104">
        <f t="shared" si="6"/>
        <v>-36.184255959766915</v>
      </c>
      <c r="D57" s="104">
        <f t="shared" si="6"/>
        <v>8.8157440402330849</v>
      </c>
      <c r="E57" s="104">
        <f t="shared" si="6"/>
        <v>38.815744040233085</v>
      </c>
      <c r="F57" s="104">
        <f t="shared" si="6"/>
        <v>68.815744040233085</v>
      </c>
      <c r="G57" s="104">
        <f t="shared" si="6"/>
        <v>113.81574404023308</v>
      </c>
    </row>
    <row r="58" spans="2:8" x14ac:dyDescent="0.2">
      <c r="B58" s="103">
        <f t="shared" si="7"/>
        <v>11</v>
      </c>
      <c r="C58" s="104">
        <f t="shared" si="6"/>
        <v>-13.684255959766915</v>
      </c>
      <c r="D58" s="104">
        <f t="shared" si="6"/>
        <v>35.815744040233085</v>
      </c>
      <c r="E58" s="104">
        <f t="shared" si="6"/>
        <v>68.815744040233085</v>
      </c>
      <c r="F58" s="104">
        <f t="shared" si="6"/>
        <v>101.81574404023308</v>
      </c>
      <c r="G58" s="104">
        <f t="shared" si="6"/>
        <v>151.31574404023308</v>
      </c>
    </row>
    <row r="59" spans="2:8" x14ac:dyDescent="0.2">
      <c r="B59" s="105">
        <f>B58+1</f>
        <v>12</v>
      </c>
      <c r="C59" s="106">
        <f t="shared" si="6"/>
        <v>8.8157440402330849</v>
      </c>
      <c r="D59" s="106">
        <f t="shared" si="6"/>
        <v>62.815744040233085</v>
      </c>
      <c r="E59" s="106">
        <f t="shared" si="6"/>
        <v>98.815744040233085</v>
      </c>
      <c r="F59" s="106">
        <f t="shared" si="6"/>
        <v>134.81574404023308</v>
      </c>
      <c r="G59" s="106">
        <f t="shared" si="6"/>
        <v>188.81574404023308</v>
      </c>
    </row>
    <row r="61" spans="2:8" x14ac:dyDescent="0.2">
      <c r="B61" s="218" t="s">
        <v>407</v>
      </c>
      <c r="C61" s="218"/>
      <c r="D61" s="218"/>
      <c r="E61" s="218"/>
      <c r="F61" s="218"/>
      <c r="G61" s="218"/>
      <c r="H61" s="218"/>
    </row>
    <row r="62" spans="2:8" x14ac:dyDescent="0.2">
      <c r="B62" s="219" t="s">
        <v>408</v>
      </c>
      <c r="C62" s="219"/>
      <c r="D62" s="219"/>
      <c r="E62" s="219"/>
      <c r="F62" s="219"/>
      <c r="G62" s="219"/>
      <c r="H62" s="219"/>
    </row>
    <row r="63" spans="2:8" ht="48" x14ac:dyDescent="0.2">
      <c r="B63" s="107" t="s">
        <v>409</v>
      </c>
      <c r="C63" s="108" t="s">
        <v>410</v>
      </c>
      <c r="D63" s="108" t="s">
        <v>411</v>
      </c>
      <c r="E63" s="108" t="s">
        <v>499</v>
      </c>
      <c r="F63" s="108" t="s">
        <v>412</v>
      </c>
      <c r="G63" s="108" t="s">
        <v>413</v>
      </c>
      <c r="H63" s="108" t="s">
        <v>414</v>
      </c>
    </row>
    <row r="64" spans="2:8" ht="32" x14ac:dyDescent="0.2">
      <c r="B64" s="130" t="str">
        <f>IF(H64&gt;0,(CONCATENATE(PreHarvest!$C3," with ",PreHarvest!$M3))," ")</f>
        <v>Heavy Disk 21' with Tractor (180-199 hp) MFWD 190</v>
      </c>
      <c r="C64" s="161">
        <f>IF(H64&gt;0,(1/PreHarvest!$E3)," ")</f>
        <v>10.277272727272726</v>
      </c>
      <c r="D64" s="109">
        <f>IF(H64&gt;0,(PreHarvest!$F3)," ")</f>
        <v>2</v>
      </c>
      <c r="E64" s="110">
        <f>IF(H64&gt;0,(D64*1/C64*1.25)," ")</f>
        <v>0.24325519681556834</v>
      </c>
      <c r="F64" s="110">
        <f>IF(H64&gt;0, (PreHarvest!$O3)," ")</f>
        <v>1.9031897390535162</v>
      </c>
      <c r="G64" s="172">
        <f>PreHarvest!$R3</f>
        <v>7.9980764235518782</v>
      </c>
      <c r="H64" s="172">
        <f>PreHarvest!$U3</f>
        <v>23.23073383739461</v>
      </c>
    </row>
    <row r="65" spans="2:8" ht="32" x14ac:dyDescent="0.2">
      <c r="B65" s="176" t="str">
        <f>IF(H65&gt;0,(CONCATENATE(PreHarvest!$C4," with ",PreHarvest!$M4))," ")</f>
        <v>Disk Harrow 32' with Tractor (180-199 hp) MFWD 190</v>
      </c>
      <c r="C65" s="177">
        <f>IF(H65&gt;0,(1/PreHarvest!$E4)," ")</f>
        <v>16.290909090909089</v>
      </c>
      <c r="D65" s="36">
        <f>IF(H65&gt;0,(PreHarvest!$F4)," ")</f>
        <v>1</v>
      </c>
      <c r="E65" s="173">
        <f t="shared" ref="E65" si="8">IF(H65&gt;0,(D65*1/C65*1.25)," ")</f>
        <v>7.6729910714285726E-2</v>
      </c>
      <c r="F65" s="173">
        <f>IF(H65&gt;0, (PreHarvest!$O4)," ")</f>
        <v>0.60032254464285717</v>
      </c>
      <c r="G65" s="174">
        <f>PreHarvest!$R4</f>
        <v>2.6933416595804993</v>
      </c>
      <c r="H65" s="174">
        <f>PreHarvest!$U4</f>
        <v>7.8190755651218824</v>
      </c>
    </row>
    <row r="66" spans="2:8" ht="32" x14ac:dyDescent="0.2">
      <c r="B66" s="176" t="str">
        <f>IF(H66&gt;0,(CONCATENATE(PreHarvest!$C5," with ",PreHarvest!$M5))," ")</f>
        <v>Bed-Disk  (Hipper)  6R-36 with Tractor (180-199 hp) MFWD 190</v>
      </c>
      <c r="C66" s="177">
        <f>IF(H66&gt;0,(1/PreHarvest!$E5)," ")</f>
        <v>9.6</v>
      </c>
      <c r="D66" s="36">
        <f>IF(H66&gt;0,(PreHarvest!$F5)," ")</f>
        <v>1</v>
      </c>
      <c r="E66" s="173">
        <f t="shared" ref="E66:E68" si="9">IF(H66&gt;0,(D66*1/C66*1.25)," ")</f>
        <v>0.13020833333333334</v>
      </c>
      <c r="F66" s="173">
        <f>IF(H66&gt;0, (PreHarvest!$O5)," ")</f>
        <v>1.0187291666666667</v>
      </c>
      <c r="G66" s="174">
        <f>PreHarvest!$R5</f>
        <v>2.6532738095238098</v>
      </c>
      <c r="H66" s="174">
        <f>PreHarvest!$U5</f>
        <v>8.1860404265873008</v>
      </c>
    </row>
    <row r="67" spans="2:8" ht="32" x14ac:dyDescent="0.2">
      <c r="B67" s="176" t="str">
        <f>IF(H67&gt;0,(CONCATENATE(PreHarvest!$C6," with ",PreHarvest!$M6))," ")</f>
        <v>Plant - Rigid  6R-36 with Tractor (120-139 hp) 2WD 130</v>
      </c>
      <c r="C67" s="177">
        <f>IF(H67&gt;0,(1/PreHarvest!$E6)," ")</f>
        <v>9.545454545454545</v>
      </c>
      <c r="D67" s="36">
        <f>IF(H67&gt;0,(PreHarvest!$F6)," ")</f>
        <v>1</v>
      </c>
      <c r="E67" s="173">
        <f t="shared" si="9"/>
        <v>0.13095238095238096</v>
      </c>
      <c r="F67" s="173">
        <f>IF(H67&gt;0, (PreHarvest!$O6)," ")</f>
        <v>0.70100380952380947</v>
      </c>
      <c r="G67" s="174">
        <f>PreHarvest!$R6</f>
        <v>2.3674319727891158</v>
      </c>
      <c r="H67" s="174">
        <f>PreHarvest!$U6</f>
        <v>6.599645804988663</v>
      </c>
    </row>
    <row r="68" spans="2:8" ht="32" x14ac:dyDescent="0.2">
      <c r="B68" s="176" t="str">
        <f>IF(H68&gt;0,(CONCATENATE(PreHarvest!$C7," with ",PreHarvest!$M7))," ")</f>
        <v>Spray (Broadcast) 60' with Tractor (120-139 hp) 2WD 130</v>
      </c>
      <c r="C68" s="177">
        <f>IF(H68&gt;0,(1/PreHarvest!$E7)," ")</f>
        <v>35.454545454545453</v>
      </c>
      <c r="D68" s="36">
        <f>IF(H68&gt;0,(PreHarvest!$F7)," ")</f>
        <v>3</v>
      </c>
      <c r="E68" s="173">
        <f t="shared" si="9"/>
        <v>0.10576923076923078</v>
      </c>
      <c r="F68" s="173">
        <f>IF(H68&gt;0, (PreHarvest!$O7)," ")</f>
        <v>0.56619538461538466</v>
      </c>
      <c r="G68" s="174">
        <f>PreHarvest!$R7</f>
        <v>1.5107623626373627</v>
      </c>
      <c r="H68" s="174">
        <f>PreHarvest!$U7</f>
        <v>3.482595970695971</v>
      </c>
    </row>
    <row r="69" spans="2:8" x14ac:dyDescent="0.2">
      <c r="B69" s="126" t="s">
        <v>415</v>
      </c>
      <c r="C69" s="127"/>
      <c r="D69" s="127"/>
      <c r="E69" s="128">
        <f>SUM(E64:E68)</f>
        <v>0.68691505258479912</v>
      </c>
      <c r="F69" s="128">
        <f>SUM(F64:F68)</f>
        <v>4.7894406445022337</v>
      </c>
      <c r="G69" s="129">
        <f>SUM(G64:G68)</f>
        <v>17.222886228082665</v>
      </c>
      <c r="H69" s="129">
        <f>SUM(H64:H68)</f>
        <v>49.318091604788421</v>
      </c>
    </row>
    <row r="71" spans="2:8" x14ac:dyDescent="0.2">
      <c r="B71" s="38" t="s">
        <v>416</v>
      </c>
    </row>
    <row r="72" spans="2:8" ht="48" x14ac:dyDescent="0.2">
      <c r="B72" s="107" t="s">
        <v>409</v>
      </c>
      <c r="C72" s="108" t="s">
        <v>410</v>
      </c>
      <c r="D72" s="108" t="s">
        <v>411</v>
      </c>
      <c r="E72" s="108" t="s">
        <v>499</v>
      </c>
      <c r="F72" s="108" t="s">
        <v>412</v>
      </c>
      <c r="G72" s="108" t="s">
        <v>413</v>
      </c>
      <c r="H72" s="108" t="s">
        <v>414</v>
      </c>
    </row>
    <row r="73" spans="2:8" ht="32" x14ac:dyDescent="0.2">
      <c r="B73" s="176" t="str">
        <f>IF(H73&gt;0,(CONCATENATE(Harvest!$C4," with ",Harvest!$M4))," ")</f>
        <v>Header -Soybean 22' Flex with Combine (200-249 hp) 240 hp</v>
      </c>
      <c r="C73" s="160">
        <f>IF(H73&gt;0,(1/Harvest!$E4)," ")</f>
        <v>8.6133333333333315</v>
      </c>
      <c r="D73" s="125">
        <f>IF(H73&gt;0,(Harvest!$F4)," ")</f>
        <v>1</v>
      </c>
      <c r="E73" s="159">
        <f t="shared" ref="E73:E74" si="10">IF(H73&gt;0,(1/C73*D73*1.25)," ")</f>
        <v>0.14512383900928796</v>
      </c>
      <c r="F73" s="159">
        <f>IF(H73&gt;0,(Harvest!$O4)," ")</f>
        <v>1.4338235294117649</v>
      </c>
      <c r="G73" s="175">
        <f>Harvest!$R4</f>
        <v>6.7811532507739951</v>
      </c>
      <c r="H73" s="175">
        <f>Harvest!$U4</f>
        <v>36.615270897832822</v>
      </c>
    </row>
    <row r="74" spans="2:8" ht="32" x14ac:dyDescent="0.2">
      <c r="B74" s="176" t="str">
        <f>IF(H74&gt;0,(CONCATENATE(Harvest!$C5," with ",Harvest!$M5))," ")</f>
        <v>Grain Cart Soybean  500 bu with Tractor (120-139 hp) 2WD 130</v>
      </c>
      <c r="C74" s="160">
        <f>IF(H74&gt;0,(1/Harvest!$E5)," ")</f>
        <v>10.638297872340425</v>
      </c>
      <c r="D74" s="125">
        <f>IF(H74&gt;0,(Harvest!$F5)," ")</f>
        <v>1</v>
      </c>
      <c r="E74" s="159">
        <f t="shared" si="10"/>
        <v>0.11749999999999999</v>
      </c>
      <c r="F74" s="159">
        <f>IF(H74&gt;0,(Harvest!$O5)," ")</f>
        <v>0.62899159999999998</v>
      </c>
      <c r="G74" s="175">
        <f>Harvest!$R5</f>
        <v>1.7854404761904763</v>
      </c>
      <c r="H74" s="175">
        <f>Harvest!$U5</f>
        <v>4.7812553904761899</v>
      </c>
    </row>
    <row r="75" spans="2:8" ht="14.5" customHeight="1" x14ac:dyDescent="0.2">
      <c r="B75" s="126" t="s">
        <v>417</v>
      </c>
      <c r="C75" s="127"/>
      <c r="D75" s="127"/>
      <c r="E75" s="128">
        <f>SUM(E73:E74)</f>
        <v>0.26262383900928798</v>
      </c>
      <c r="F75" s="128">
        <f>SUM(F73:F74)</f>
        <v>2.0628151294117649</v>
      </c>
      <c r="G75" s="129">
        <f>SUM(G73:G74)</f>
        <v>8.5665937269644719</v>
      </c>
      <c r="H75" s="129">
        <f>SUM(H73:H74)</f>
        <v>41.396526288309012</v>
      </c>
    </row>
    <row r="76" spans="2:8" x14ac:dyDescent="0.2">
      <c r="B76" s="163"/>
      <c r="C76" s="109"/>
      <c r="D76" s="109"/>
      <c r="E76" s="110"/>
      <c r="F76" s="110"/>
      <c r="G76" s="164"/>
      <c r="H76" s="164"/>
    </row>
    <row r="77" spans="2:8" ht="29" customHeight="1" x14ac:dyDescent="0.2">
      <c r="B77" s="225" t="s">
        <v>500</v>
      </c>
      <c r="C77" s="225"/>
      <c r="D77" s="225"/>
      <c r="E77" s="225"/>
      <c r="F77" s="225"/>
      <c r="G77" s="225"/>
      <c r="H77" s="225"/>
    </row>
    <row r="78" spans="2:8" ht="25.5" customHeight="1" x14ac:dyDescent="0.2">
      <c r="B78" s="166"/>
      <c r="C78" s="166"/>
      <c r="D78" s="166"/>
      <c r="E78" s="166"/>
      <c r="F78" s="166"/>
      <c r="G78" s="166"/>
      <c r="H78" s="166"/>
    </row>
    <row r="79" spans="2:8" ht="14.5" customHeight="1" x14ac:dyDescent="0.2">
      <c r="B79" s="220" t="s">
        <v>535</v>
      </c>
      <c r="C79" s="220"/>
      <c r="D79" s="220"/>
      <c r="E79" s="220"/>
      <c r="F79" s="220"/>
      <c r="G79" s="220"/>
      <c r="H79" s="220"/>
    </row>
    <row r="80" spans="2:8" x14ac:dyDescent="0.2">
      <c r="B80" s="221"/>
      <c r="C80" s="221"/>
      <c r="D80" s="221"/>
      <c r="E80" s="221"/>
      <c r="F80" s="221"/>
      <c r="G80" s="221"/>
      <c r="H80" s="221"/>
    </row>
    <row r="81" spans="2:8" x14ac:dyDescent="0.2">
      <c r="B81" s="120"/>
      <c r="C81" s="120"/>
      <c r="D81" s="120"/>
      <c r="E81" s="120"/>
      <c r="F81" s="120"/>
      <c r="G81" s="120"/>
      <c r="H81" s="120"/>
    </row>
  </sheetData>
  <mergeCells count="17">
    <mergeCell ref="B61:H61"/>
    <mergeCell ref="B62:H62"/>
    <mergeCell ref="B79:H80"/>
    <mergeCell ref="B33:H33"/>
    <mergeCell ref="B40:E40"/>
    <mergeCell ref="B50:G50"/>
    <mergeCell ref="B51:G51"/>
    <mergeCell ref="B52:G52"/>
    <mergeCell ref="B48:H49"/>
    <mergeCell ref="B77:H77"/>
    <mergeCell ref="B46:H46"/>
    <mergeCell ref="B1:H1"/>
    <mergeCell ref="B6:H6"/>
    <mergeCell ref="B30:E30"/>
    <mergeCell ref="B2:H2"/>
    <mergeCell ref="B53:B54"/>
    <mergeCell ref="B3:H4"/>
  </mergeCells>
  <phoneticPr fontId="30" type="noConversion"/>
  <conditionalFormatting sqref="C55:G59">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3" location="fertilizer" display="Fertilizer Detail" xr:uid="{00000000-0004-0000-0000-000000000000}"/>
    <hyperlink ref="A17" location="weed" display="Weed Detail" xr:uid="{00000000-0004-0000-0000-000001000000}"/>
    <hyperlink ref="A18"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83" orientation="portrait" r:id="rId1"/>
  <headerFooter>
    <oddFooter>&amp;L&amp;"Calibri,Regular"&amp;K000000Ag and Applied Economics, 12/2024&amp;R&amp;"Calibri,Regular"&amp;K000000&amp;G</oddFooter>
  </headerFooter>
  <rowBreaks count="1" manualBreakCount="1">
    <brk id="49" min="1" max="7" man="1"/>
  </rowBreaks>
  <ignoredErrors>
    <ignoredError sqref="E69" evalError="1"/>
  </ignoredErrors>
  <legacyDrawingHF r:id="rId2"/>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000-000000000000}">
          <x14:formula1>
            <xm:f>'Fert, Weed, Insct, Dis'!$H$2:$H$4</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topLeftCell="B1" workbookViewId="0">
      <selection sqref="A1:F1"/>
    </sheetView>
  </sheetViews>
  <sheetFormatPr baseColWidth="10" defaultColWidth="8.83203125" defaultRowHeight="15" x14ac:dyDescent="0.2"/>
  <cols>
    <col min="1" max="1" width="9.5" bestFit="1" customWidth="1"/>
    <col min="2" max="2" width="4.33203125" bestFit="1" customWidth="1"/>
    <col min="3" max="3" width="7.33203125" bestFit="1" customWidth="1"/>
    <col min="4" max="4" width="7.6640625" bestFit="1" customWidth="1"/>
    <col min="5" max="5" width="8.6640625" bestFit="1" customWidth="1"/>
    <col min="6" max="6" width="7.83203125" bestFit="1" customWidth="1"/>
    <col min="8" max="8" width="17" bestFit="1" customWidth="1"/>
    <col min="9" max="9" width="6.5" bestFit="1" customWidth="1"/>
    <col min="10" max="10" width="7.33203125" bestFit="1" customWidth="1"/>
    <col min="11" max="11" width="6.6640625" bestFit="1" customWidth="1"/>
    <col min="12" max="12" width="7.33203125" bestFit="1" customWidth="1"/>
    <col min="13" max="13" width="7.83203125" bestFit="1" customWidth="1"/>
  </cols>
  <sheetData>
    <row r="1" spans="1:15" x14ac:dyDescent="0.2">
      <c r="A1" s="227" t="s">
        <v>350</v>
      </c>
      <c r="B1" s="227"/>
      <c r="C1" s="227"/>
      <c r="D1" s="227"/>
      <c r="E1" s="227"/>
      <c r="F1" s="227"/>
      <c r="H1" s="185" t="s">
        <v>515</v>
      </c>
      <c r="I1" s="185" t="s">
        <v>519</v>
      </c>
    </row>
    <row r="2" spans="1:15" x14ac:dyDescent="0.2">
      <c r="A2" s="75" t="s">
        <v>355</v>
      </c>
      <c r="B2" s="75" t="s">
        <v>356</v>
      </c>
      <c r="C2" s="75" t="s">
        <v>357</v>
      </c>
      <c r="D2" s="75" t="s">
        <v>358</v>
      </c>
      <c r="E2" s="75" t="s">
        <v>365</v>
      </c>
      <c r="F2" s="75" t="str">
        <f>CONCATENATE("$/",Main!$D$7)</f>
        <v>$/bushel</v>
      </c>
      <c r="H2" s="185" t="s">
        <v>516</v>
      </c>
      <c r="I2" s="185">
        <v>68</v>
      </c>
    </row>
    <row r="3" spans="1:15" x14ac:dyDescent="0.2">
      <c r="A3" s="76" t="s">
        <v>353</v>
      </c>
      <c r="B3" s="76" t="s">
        <v>374</v>
      </c>
      <c r="C3" s="76">
        <v>0.33</v>
      </c>
      <c r="D3" s="182">
        <v>45</v>
      </c>
      <c r="E3" s="77">
        <f>D3*C3</f>
        <v>14.850000000000001</v>
      </c>
      <c r="F3" s="78">
        <f t="shared" ref="F3:F9" si="0">E3/yield</f>
        <v>0.49500000000000005</v>
      </c>
      <c r="H3" s="185" t="s">
        <v>517</v>
      </c>
      <c r="I3" s="185">
        <v>68</v>
      </c>
    </row>
    <row r="4" spans="1:15" x14ac:dyDescent="0.2">
      <c r="A4" s="79" t="s">
        <v>351</v>
      </c>
      <c r="B4" s="79" t="s">
        <v>482</v>
      </c>
      <c r="C4" s="79">
        <v>40</v>
      </c>
      <c r="D4" s="183">
        <v>0.7</v>
      </c>
      <c r="E4" s="77">
        <f t="shared" ref="E4:E9" si="1">D4*C4</f>
        <v>28</v>
      </c>
      <c r="F4" s="78">
        <f t="shared" si="0"/>
        <v>0.93333333333333335</v>
      </c>
      <c r="H4" s="185" t="s">
        <v>518</v>
      </c>
      <c r="I4" s="185">
        <v>63</v>
      </c>
    </row>
    <row r="5" spans="1:15" x14ac:dyDescent="0.2">
      <c r="A5" s="79" t="s">
        <v>352</v>
      </c>
      <c r="B5" s="79" t="s">
        <v>482</v>
      </c>
      <c r="C5" s="79">
        <v>80</v>
      </c>
      <c r="D5" s="183">
        <v>0.42</v>
      </c>
      <c r="E5" s="77">
        <f t="shared" si="1"/>
        <v>33.6</v>
      </c>
      <c r="F5" s="78">
        <f t="shared" si="0"/>
        <v>1.1200000000000001</v>
      </c>
      <c r="H5" s="249"/>
      <c r="I5" s="249"/>
    </row>
    <row r="6" spans="1:15" x14ac:dyDescent="0.2">
      <c r="A6" s="79" t="s">
        <v>481</v>
      </c>
      <c r="B6" s="79" t="s">
        <v>482</v>
      </c>
      <c r="C6" s="79">
        <v>0.5</v>
      </c>
      <c r="D6" s="183">
        <v>13.32</v>
      </c>
      <c r="E6" s="77">
        <f t="shared" si="1"/>
        <v>6.66</v>
      </c>
      <c r="F6" s="78">
        <f t="shared" si="0"/>
        <v>0.222</v>
      </c>
    </row>
    <row r="7" spans="1:15" x14ac:dyDescent="0.2">
      <c r="A7" s="79" t="s">
        <v>354</v>
      </c>
      <c r="B7" s="79"/>
      <c r="C7" s="79"/>
      <c r="D7" s="77"/>
      <c r="E7" s="77">
        <f t="shared" si="1"/>
        <v>0</v>
      </c>
      <c r="F7" s="78">
        <f t="shared" si="0"/>
        <v>0</v>
      </c>
    </row>
    <row r="8" spans="1:15" x14ac:dyDescent="0.2">
      <c r="A8" s="79" t="s">
        <v>354</v>
      </c>
      <c r="B8" s="79"/>
      <c r="C8" s="79"/>
      <c r="D8" s="77"/>
      <c r="E8" s="77">
        <f t="shared" si="1"/>
        <v>0</v>
      </c>
      <c r="F8" s="78">
        <f t="shared" si="0"/>
        <v>0</v>
      </c>
    </row>
    <row r="9" spans="1:15" x14ac:dyDescent="0.2">
      <c r="A9" s="80" t="s">
        <v>354</v>
      </c>
      <c r="B9" s="80"/>
      <c r="C9" s="80"/>
      <c r="D9" s="81"/>
      <c r="E9" s="77">
        <f t="shared" si="1"/>
        <v>0</v>
      </c>
      <c r="F9" s="78">
        <f t="shared" si="0"/>
        <v>0</v>
      </c>
    </row>
    <row r="10" spans="1:15" x14ac:dyDescent="0.2">
      <c r="A10" s="227" t="s">
        <v>360</v>
      </c>
      <c r="B10" s="227"/>
      <c r="C10" s="227"/>
      <c r="D10" s="227"/>
      <c r="E10" s="57">
        <f>SUM(E3:E9)</f>
        <v>83.11</v>
      </c>
      <c r="F10" s="57">
        <f>SUM(F3:F9)</f>
        <v>2.7703333333333338</v>
      </c>
      <c r="H10" s="124" t="s">
        <v>434</v>
      </c>
    </row>
    <row r="12" spans="1:15" x14ac:dyDescent="0.2">
      <c r="A12" s="226" t="s">
        <v>504</v>
      </c>
      <c r="B12" s="226"/>
      <c r="C12" s="226"/>
      <c r="D12" s="226"/>
      <c r="E12" s="226"/>
      <c r="F12" s="226"/>
      <c r="H12" s="226" t="s">
        <v>509</v>
      </c>
      <c r="I12" s="226"/>
      <c r="J12" s="226"/>
      <c r="K12" s="226"/>
      <c r="L12" s="226"/>
      <c r="M12" s="226"/>
      <c r="O12" s="56">
        <f>AVERAGE(L19,L28,E21)</f>
        <v>27.190598958333336</v>
      </c>
    </row>
    <row r="13" spans="1:15" x14ac:dyDescent="0.2">
      <c r="A13" s="68" t="s">
        <v>355</v>
      </c>
      <c r="B13" s="68" t="s">
        <v>356</v>
      </c>
      <c r="C13" s="68" t="s">
        <v>357</v>
      </c>
      <c r="D13" s="68" t="s">
        <v>358</v>
      </c>
      <c r="E13" s="68" t="s">
        <v>365</v>
      </c>
      <c r="F13" s="68" t="str">
        <f>CONCATENATE("$/",Main!$D$7)</f>
        <v>$/bushel</v>
      </c>
      <c r="H13" s="68" t="s">
        <v>355</v>
      </c>
      <c r="I13" s="68" t="s">
        <v>356</v>
      </c>
      <c r="J13" s="68" t="s">
        <v>357</v>
      </c>
      <c r="K13" s="68" t="s">
        <v>358</v>
      </c>
      <c r="L13" s="68" t="s">
        <v>365</v>
      </c>
      <c r="M13" s="68" t="str">
        <f>CONCATENATE("$/",[5]Main!$D$6)</f>
        <v>$/bushel</v>
      </c>
    </row>
    <row r="14" spans="1:15" x14ac:dyDescent="0.2">
      <c r="A14" s="72" t="s">
        <v>503</v>
      </c>
      <c r="B14" s="69" t="s">
        <v>487</v>
      </c>
      <c r="C14" s="69">
        <v>1</v>
      </c>
      <c r="D14" s="70">
        <f>56.47/8</f>
        <v>7.0587499999999999</v>
      </c>
      <c r="E14" s="70">
        <f>D14*C14</f>
        <v>7.0587499999999999</v>
      </c>
      <c r="F14" s="71">
        <f t="shared" ref="F14:F20" si="2">E14/yield</f>
        <v>0.23529166666666665</v>
      </c>
      <c r="H14" s="72" t="s">
        <v>484</v>
      </c>
      <c r="I14" s="69" t="s">
        <v>487</v>
      </c>
      <c r="J14" s="69">
        <v>2</v>
      </c>
      <c r="K14" s="70">
        <f>17.71/8</f>
        <v>2.2137500000000001</v>
      </c>
      <c r="L14" s="70">
        <f t="shared" ref="L14:L15" si="3">K14*J14</f>
        <v>4.4275000000000002</v>
      </c>
      <c r="M14" s="71">
        <f>L14/yield</f>
        <v>0.14758333333333334</v>
      </c>
    </row>
    <row r="15" spans="1:15" x14ac:dyDescent="0.2">
      <c r="A15" s="72" t="s">
        <v>484</v>
      </c>
      <c r="B15" s="72" t="s">
        <v>487</v>
      </c>
      <c r="C15" s="72">
        <v>2</v>
      </c>
      <c r="D15" s="70">
        <f>17.71/8</f>
        <v>2.2137500000000001</v>
      </c>
      <c r="E15" s="70">
        <f t="shared" ref="E15:E20" si="4">D15*C15</f>
        <v>4.4275000000000002</v>
      </c>
      <c r="F15" s="71">
        <f t="shared" si="2"/>
        <v>0.14758333333333334</v>
      </c>
      <c r="H15" s="72" t="s">
        <v>507</v>
      </c>
      <c r="I15" s="72" t="s">
        <v>486</v>
      </c>
      <c r="J15" s="72">
        <v>16</v>
      </c>
      <c r="K15" s="70">
        <f>17.83/128</f>
        <v>0.13929687499999999</v>
      </c>
      <c r="L15" s="70">
        <f t="shared" si="3"/>
        <v>2.2287499999999998</v>
      </c>
      <c r="M15" s="71">
        <f>L15/yield</f>
        <v>7.4291666666666659E-2</v>
      </c>
    </row>
    <row r="16" spans="1:15" x14ac:dyDescent="0.2">
      <c r="A16" s="72" t="s">
        <v>485</v>
      </c>
      <c r="B16" s="72" t="s">
        <v>487</v>
      </c>
      <c r="C16" s="72">
        <v>1.5</v>
      </c>
      <c r="D16" s="70">
        <f>34.83/8</f>
        <v>4.3537499999999998</v>
      </c>
      <c r="E16" s="70">
        <f t="shared" si="4"/>
        <v>6.5306249999999997</v>
      </c>
      <c r="F16" s="71">
        <f t="shared" si="2"/>
        <v>0.21768749999999998</v>
      </c>
      <c r="H16" s="72" t="s">
        <v>510</v>
      </c>
      <c r="I16" s="72" t="s">
        <v>487</v>
      </c>
      <c r="J16" s="72">
        <v>1</v>
      </c>
      <c r="K16" s="70">
        <f>56.47/8</f>
        <v>7.0587499999999999</v>
      </c>
      <c r="L16" s="70">
        <f>K16*J16</f>
        <v>7.0587499999999999</v>
      </c>
      <c r="M16" s="71">
        <f>L16/yield</f>
        <v>0.23529166666666665</v>
      </c>
    </row>
    <row r="17" spans="1:15" x14ac:dyDescent="0.2">
      <c r="A17" s="72" t="s">
        <v>354</v>
      </c>
      <c r="B17" s="72"/>
      <c r="C17" s="72"/>
      <c r="D17" s="70"/>
      <c r="E17" s="70">
        <f t="shared" si="4"/>
        <v>0</v>
      </c>
      <c r="F17" s="71">
        <f t="shared" si="2"/>
        <v>0</v>
      </c>
      <c r="H17" s="72" t="s">
        <v>511</v>
      </c>
      <c r="I17" s="72" t="s">
        <v>486</v>
      </c>
      <c r="J17" s="72">
        <v>29</v>
      </c>
      <c r="K17" s="206">
        <f>33.47/128</f>
        <v>0.26148437499999999</v>
      </c>
      <c r="L17" s="70">
        <f>K17*J17</f>
        <v>7.583046875</v>
      </c>
      <c r="M17" s="71">
        <f>L17/yield</f>
        <v>0.25276822916666669</v>
      </c>
    </row>
    <row r="18" spans="1:15" x14ac:dyDescent="0.2">
      <c r="A18" s="72" t="s">
        <v>354</v>
      </c>
      <c r="B18" s="72"/>
      <c r="C18" s="72"/>
      <c r="D18" s="70"/>
      <c r="E18" s="70">
        <f t="shared" si="4"/>
        <v>0</v>
      </c>
      <c r="F18" s="71">
        <f t="shared" si="2"/>
        <v>0</v>
      </c>
      <c r="H18" s="72" t="s">
        <v>485</v>
      </c>
      <c r="I18" s="72" t="s">
        <v>487</v>
      </c>
      <c r="J18" s="72">
        <v>1</v>
      </c>
      <c r="K18" s="70">
        <f>34.83/8</f>
        <v>4.3537499999999998</v>
      </c>
      <c r="L18" s="70">
        <f>K18*J18</f>
        <v>4.3537499999999998</v>
      </c>
      <c r="M18" s="71">
        <f>L18/yield</f>
        <v>0.145125</v>
      </c>
    </row>
    <row r="19" spans="1:15" x14ac:dyDescent="0.2">
      <c r="A19" s="72" t="s">
        <v>354</v>
      </c>
      <c r="B19" s="72"/>
      <c r="C19" s="72"/>
      <c r="D19" s="70"/>
      <c r="E19" s="70">
        <f t="shared" si="4"/>
        <v>0</v>
      </c>
      <c r="F19" s="71">
        <f t="shared" si="2"/>
        <v>0</v>
      </c>
      <c r="H19" s="181" t="s">
        <v>384</v>
      </c>
      <c r="I19" s="181"/>
      <c r="J19" s="181"/>
      <c r="K19" s="181"/>
      <c r="L19" s="58">
        <f>SUM(L14:L18)</f>
        <v>25.651796875000002</v>
      </c>
      <c r="M19" s="58">
        <f>SUM(M16:M18)</f>
        <v>0.63318489583333326</v>
      </c>
      <c r="O19" s="56"/>
    </row>
    <row r="20" spans="1:15" x14ac:dyDescent="0.2">
      <c r="A20" s="73" t="s">
        <v>354</v>
      </c>
      <c r="B20" s="73"/>
      <c r="C20" s="73"/>
      <c r="D20" s="74"/>
      <c r="E20" s="70">
        <f t="shared" si="4"/>
        <v>0</v>
      </c>
      <c r="F20" s="71">
        <f t="shared" si="2"/>
        <v>0</v>
      </c>
    </row>
    <row r="21" spans="1:15" x14ac:dyDescent="0.2">
      <c r="A21" s="226" t="s">
        <v>384</v>
      </c>
      <c r="B21" s="226"/>
      <c r="C21" s="226"/>
      <c r="D21" s="226"/>
      <c r="E21" s="58">
        <f>SUM(E14:E20)</f>
        <v>18.016874999999999</v>
      </c>
      <c r="F21" s="58">
        <f>SUM(F14:F20)</f>
        <v>0.60056249999999989</v>
      </c>
      <c r="H21" s="124" t="s">
        <v>434</v>
      </c>
    </row>
    <row r="22" spans="1:15" x14ac:dyDescent="0.2">
      <c r="A22" s="179"/>
      <c r="B22" s="179"/>
      <c r="C22" s="179"/>
      <c r="D22" s="179"/>
      <c r="E22" s="180"/>
      <c r="F22" s="180"/>
      <c r="H22" s="226" t="s">
        <v>505</v>
      </c>
      <c r="I22" s="226"/>
      <c r="J22" s="226"/>
      <c r="K22" s="226"/>
      <c r="L22" s="226"/>
      <c r="M22" s="226"/>
    </row>
    <row r="23" spans="1:15" x14ac:dyDescent="0.2">
      <c r="A23" s="229" t="s">
        <v>385</v>
      </c>
      <c r="B23" s="229"/>
      <c r="C23" s="229"/>
      <c r="D23" s="229"/>
      <c r="E23" s="229"/>
      <c r="F23" s="229"/>
      <c r="H23" s="68" t="s">
        <v>355</v>
      </c>
      <c r="I23" s="68" t="s">
        <v>356</v>
      </c>
      <c r="J23" s="68" t="s">
        <v>357</v>
      </c>
      <c r="K23" s="68" t="s">
        <v>358</v>
      </c>
      <c r="L23" s="68" t="s">
        <v>365</v>
      </c>
      <c r="M23" s="68" t="str">
        <f>CONCATENATE("$/",[5]Main!$D$6)</f>
        <v>$/bushel</v>
      </c>
    </row>
    <row r="24" spans="1:15" x14ac:dyDescent="0.2">
      <c r="A24" s="60" t="s">
        <v>355</v>
      </c>
      <c r="B24" s="60" t="s">
        <v>356</v>
      </c>
      <c r="C24" s="60" t="s">
        <v>357</v>
      </c>
      <c r="D24" s="60" t="s">
        <v>358</v>
      </c>
      <c r="E24" s="60" t="s">
        <v>365</v>
      </c>
      <c r="F24" s="60" t="str">
        <f>CONCATENATE("$/",Main!$D$7)</f>
        <v>$/bushel</v>
      </c>
      <c r="H24" s="72" t="s">
        <v>484</v>
      </c>
      <c r="I24" s="69" t="s">
        <v>487</v>
      </c>
      <c r="J24" s="69">
        <v>2</v>
      </c>
      <c r="K24" s="70">
        <f>17.71/8</f>
        <v>2.2137500000000001</v>
      </c>
      <c r="L24" s="70">
        <f t="shared" ref="L24:L25" si="5">K24*J24</f>
        <v>4.4275000000000002</v>
      </c>
      <c r="M24" s="71">
        <f>L24/yield</f>
        <v>0.14758333333333334</v>
      </c>
    </row>
    <row r="25" spans="1:15" x14ac:dyDescent="0.2">
      <c r="A25" s="61" t="s">
        <v>488</v>
      </c>
      <c r="B25" s="61" t="s">
        <v>486</v>
      </c>
      <c r="C25" s="61">
        <v>2</v>
      </c>
      <c r="D25" s="62">
        <v>0.92500000000000004</v>
      </c>
      <c r="E25" s="63">
        <f>D25*C25</f>
        <v>1.85</v>
      </c>
      <c r="F25" s="64">
        <f t="shared" ref="F25:F31" si="6">E25/yield</f>
        <v>6.1666666666666668E-2</v>
      </c>
      <c r="H25" s="72" t="s">
        <v>507</v>
      </c>
      <c r="I25" s="72" t="s">
        <v>486</v>
      </c>
      <c r="J25" s="72">
        <v>16</v>
      </c>
      <c r="K25" s="70">
        <f>17.83/128</f>
        <v>0.13929687499999999</v>
      </c>
      <c r="L25" s="70">
        <f t="shared" si="5"/>
        <v>2.2287499999999998</v>
      </c>
      <c r="M25" s="71">
        <f>L25/yield</f>
        <v>7.4291666666666659E-2</v>
      </c>
    </row>
    <row r="26" spans="1:15" x14ac:dyDescent="0.2">
      <c r="A26" s="65" t="s">
        <v>489</v>
      </c>
      <c r="B26" s="65" t="s">
        <v>486</v>
      </c>
      <c r="C26" s="65">
        <v>0.96</v>
      </c>
      <c r="D26" s="63">
        <f>39.6/128</f>
        <v>0.30937500000000001</v>
      </c>
      <c r="E26" s="63">
        <f t="shared" ref="E26:E31" si="7">D26*C26</f>
        <v>0.29699999999999999</v>
      </c>
      <c r="F26" s="64">
        <f t="shared" si="6"/>
        <v>9.8999999999999991E-3</v>
      </c>
      <c r="H26" s="72" t="s">
        <v>506</v>
      </c>
      <c r="I26" s="72" t="s">
        <v>486</v>
      </c>
      <c r="J26" s="72">
        <v>2.5</v>
      </c>
      <c r="K26" s="184">
        <f>21.38/16</f>
        <v>1.3362499999999999</v>
      </c>
      <c r="L26" s="70">
        <f>K26*J26</f>
        <v>3.3406249999999997</v>
      </c>
      <c r="M26" s="71">
        <f>L26/yield</f>
        <v>0.11135416666666666</v>
      </c>
    </row>
    <row r="27" spans="1:15" x14ac:dyDescent="0.2">
      <c r="A27" s="65" t="s">
        <v>354</v>
      </c>
      <c r="B27" s="65"/>
      <c r="C27" s="65"/>
      <c r="D27" s="63"/>
      <c r="E27" s="63">
        <f t="shared" si="7"/>
        <v>0</v>
      </c>
      <c r="F27" s="64">
        <f t="shared" si="6"/>
        <v>0</v>
      </c>
      <c r="H27" s="72" t="s">
        <v>508</v>
      </c>
      <c r="I27" s="72" t="s">
        <v>486</v>
      </c>
      <c r="J27" s="72">
        <v>76</v>
      </c>
      <c r="K27" s="70">
        <f>47/128</f>
        <v>0.3671875</v>
      </c>
      <c r="L27" s="70">
        <f>K27*J27</f>
        <v>27.90625</v>
      </c>
      <c r="M27" s="71">
        <f>L27/yield</f>
        <v>0.9302083333333333</v>
      </c>
    </row>
    <row r="28" spans="1:15" x14ac:dyDescent="0.2">
      <c r="A28" s="65" t="s">
        <v>354</v>
      </c>
      <c r="B28" s="65"/>
      <c r="C28" s="65"/>
      <c r="D28" s="63"/>
      <c r="E28" s="63">
        <f t="shared" si="7"/>
        <v>0</v>
      </c>
      <c r="F28" s="64">
        <f t="shared" si="6"/>
        <v>0</v>
      </c>
      <c r="H28" s="181" t="s">
        <v>384</v>
      </c>
      <c r="I28" s="181"/>
      <c r="J28" s="181"/>
      <c r="K28" s="181"/>
      <c r="L28" s="58">
        <f>SUM(L24:L27)</f>
        <v>37.903125000000003</v>
      </c>
      <c r="M28" s="58">
        <f>SUM(M26:M27)</f>
        <v>1.0415624999999999</v>
      </c>
    </row>
    <row r="29" spans="1:15" x14ac:dyDescent="0.2">
      <c r="A29" s="65" t="s">
        <v>354</v>
      </c>
      <c r="B29" s="65"/>
      <c r="C29" s="65"/>
      <c r="D29" s="63"/>
      <c r="E29" s="63">
        <f t="shared" si="7"/>
        <v>0</v>
      </c>
      <c r="F29" s="64">
        <f t="shared" si="6"/>
        <v>0</v>
      </c>
      <c r="H29" s="179"/>
      <c r="I29" s="179"/>
      <c r="J29" s="179"/>
      <c r="K29" s="179"/>
      <c r="L29" s="180"/>
      <c r="M29" s="180"/>
    </row>
    <row r="30" spans="1:15" x14ac:dyDescent="0.2">
      <c r="A30" s="65" t="s">
        <v>354</v>
      </c>
      <c r="B30" s="65"/>
      <c r="C30" s="65"/>
      <c r="D30" s="63"/>
      <c r="E30" s="63">
        <f t="shared" si="7"/>
        <v>0</v>
      </c>
      <c r="F30" s="64">
        <f t="shared" si="6"/>
        <v>0</v>
      </c>
    </row>
    <row r="31" spans="1:15" x14ac:dyDescent="0.2">
      <c r="A31" s="66" t="s">
        <v>354</v>
      </c>
      <c r="B31" s="66"/>
      <c r="C31" s="66"/>
      <c r="D31" s="67"/>
      <c r="E31" s="63">
        <f t="shared" si="7"/>
        <v>0</v>
      </c>
      <c r="F31" s="64">
        <f t="shared" si="6"/>
        <v>0</v>
      </c>
    </row>
    <row r="32" spans="1:15" x14ac:dyDescent="0.2">
      <c r="A32" s="229" t="s">
        <v>386</v>
      </c>
      <c r="B32" s="229"/>
      <c r="C32" s="229"/>
      <c r="D32" s="229"/>
      <c r="E32" s="59">
        <f>SUM(E25:E31)</f>
        <v>2.1470000000000002</v>
      </c>
      <c r="F32" s="59">
        <f>SUM(F25:F31)</f>
        <v>7.1566666666666667E-2</v>
      </c>
    </row>
    <row r="34" spans="1:8" x14ac:dyDescent="0.2">
      <c r="A34" s="228" t="s">
        <v>418</v>
      </c>
      <c r="B34" s="228"/>
      <c r="C34" s="228"/>
      <c r="D34" s="228"/>
      <c r="E34" s="228"/>
      <c r="F34" s="228"/>
    </row>
    <row r="35" spans="1:8" x14ac:dyDescent="0.2">
      <c r="A35" s="112" t="s">
        <v>355</v>
      </c>
      <c r="B35" s="112" t="s">
        <v>356</v>
      </c>
      <c r="C35" s="112" t="s">
        <v>357</v>
      </c>
      <c r="D35" s="112" t="s">
        <v>358</v>
      </c>
      <c r="E35" s="112" t="s">
        <v>365</v>
      </c>
      <c r="F35" s="112" t="str">
        <f>CONCATENATE("$/",Main!$D$7)</f>
        <v>$/bushel</v>
      </c>
    </row>
    <row r="36" spans="1:8" x14ac:dyDescent="0.2">
      <c r="A36" s="113" t="s">
        <v>490</v>
      </c>
      <c r="B36" s="113" t="s">
        <v>486</v>
      </c>
      <c r="C36" s="113"/>
      <c r="D36" s="114">
        <f>163.08/128</f>
        <v>1.2740625000000001</v>
      </c>
      <c r="E36" s="115">
        <f>D36*C36</f>
        <v>0</v>
      </c>
      <c r="F36" s="116">
        <f t="shared" ref="F36:F45" si="8">E36/yield</f>
        <v>0</v>
      </c>
    </row>
    <row r="37" spans="1:8" x14ac:dyDescent="0.2">
      <c r="A37" s="117" t="s">
        <v>354</v>
      </c>
      <c r="B37" s="117"/>
      <c r="C37" s="117"/>
      <c r="D37" s="115"/>
      <c r="E37" s="115">
        <f t="shared" ref="E37:E45" si="9">D37*C37</f>
        <v>0</v>
      </c>
      <c r="F37" s="116">
        <f t="shared" si="8"/>
        <v>0</v>
      </c>
    </row>
    <row r="38" spans="1:8" x14ac:dyDescent="0.2">
      <c r="A38" s="117" t="s">
        <v>354</v>
      </c>
      <c r="B38" s="117"/>
      <c r="C38" s="117"/>
      <c r="D38" s="115"/>
      <c r="E38" s="115">
        <f t="shared" ref="E38:E41" si="10">D38*C38</f>
        <v>0</v>
      </c>
      <c r="F38" s="116">
        <f t="shared" ref="F38:F41" si="11">E38/yield</f>
        <v>0</v>
      </c>
    </row>
    <row r="39" spans="1:8" x14ac:dyDescent="0.2">
      <c r="A39" s="117" t="s">
        <v>354</v>
      </c>
      <c r="B39" s="117"/>
      <c r="C39" s="117"/>
      <c r="D39" s="115"/>
      <c r="E39" s="115">
        <f t="shared" si="10"/>
        <v>0</v>
      </c>
      <c r="F39" s="116">
        <f t="shared" si="11"/>
        <v>0</v>
      </c>
      <c r="H39" s="124" t="s">
        <v>434</v>
      </c>
    </row>
    <row r="40" spans="1:8" x14ac:dyDescent="0.2">
      <c r="A40" s="117" t="s">
        <v>354</v>
      </c>
      <c r="B40" s="117"/>
      <c r="C40" s="117"/>
      <c r="D40" s="115"/>
      <c r="E40" s="115">
        <f t="shared" si="10"/>
        <v>0</v>
      </c>
      <c r="F40" s="116">
        <f t="shared" si="11"/>
        <v>0</v>
      </c>
    </row>
    <row r="41" spans="1:8" x14ac:dyDescent="0.2">
      <c r="A41" s="117" t="s">
        <v>354</v>
      </c>
      <c r="B41" s="117"/>
      <c r="C41" s="117"/>
      <c r="D41" s="115"/>
      <c r="E41" s="115">
        <f t="shared" si="10"/>
        <v>0</v>
      </c>
      <c r="F41" s="116">
        <f t="shared" si="11"/>
        <v>0</v>
      </c>
    </row>
    <row r="42" spans="1:8" x14ac:dyDescent="0.2">
      <c r="A42" s="117" t="s">
        <v>354</v>
      </c>
      <c r="B42" s="117"/>
      <c r="C42" s="117"/>
      <c r="D42" s="115"/>
      <c r="E42" s="115">
        <f t="shared" si="9"/>
        <v>0</v>
      </c>
      <c r="F42" s="116">
        <f t="shared" si="8"/>
        <v>0</v>
      </c>
    </row>
    <row r="43" spans="1:8" x14ac:dyDescent="0.2">
      <c r="A43" s="117" t="s">
        <v>354</v>
      </c>
      <c r="B43" s="117"/>
      <c r="C43" s="117"/>
      <c r="D43" s="115"/>
      <c r="E43" s="115">
        <f t="shared" si="9"/>
        <v>0</v>
      </c>
      <c r="F43" s="116">
        <f t="shared" si="8"/>
        <v>0</v>
      </c>
    </row>
    <row r="44" spans="1:8" x14ac:dyDescent="0.2">
      <c r="A44" s="117" t="s">
        <v>354</v>
      </c>
      <c r="B44" s="117"/>
      <c r="C44" s="117"/>
      <c r="D44" s="115"/>
      <c r="E44" s="115">
        <f t="shared" si="9"/>
        <v>0</v>
      </c>
      <c r="F44" s="116">
        <f t="shared" si="8"/>
        <v>0</v>
      </c>
    </row>
    <row r="45" spans="1:8" x14ac:dyDescent="0.2">
      <c r="A45" s="118" t="s">
        <v>354</v>
      </c>
      <c r="B45" s="118"/>
      <c r="C45" s="118"/>
      <c r="D45" s="119"/>
      <c r="E45" s="115">
        <f t="shared" si="9"/>
        <v>0</v>
      </c>
      <c r="F45" s="116">
        <f t="shared" si="8"/>
        <v>0</v>
      </c>
    </row>
    <row r="46" spans="1:8" x14ac:dyDescent="0.2">
      <c r="A46" s="228" t="s">
        <v>419</v>
      </c>
      <c r="B46" s="228"/>
      <c r="C46" s="228"/>
      <c r="D46" s="228"/>
      <c r="E46" s="111">
        <f>SUM(E36:E45)</f>
        <v>0</v>
      </c>
      <c r="F46" s="111">
        <f>SUM(F36:F45)</f>
        <v>0</v>
      </c>
    </row>
    <row r="53" spans="8:8" x14ac:dyDescent="0.2">
      <c r="H53" s="124" t="s">
        <v>434</v>
      </c>
    </row>
  </sheetData>
  <mergeCells count="10">
    <mergeCell ref="A34:F34"/>
    <mergeCell ref="A46:D46"/>
    <mergeCell ref="A21:D21"/>
    <mergeCell ref="A23:F23"/>
    <mergeCell ref="A32:D32"/>
    <mergeCell ref="H22:M22"/>
    <mergeCell ref="H12:M12"/>
    <mergeCell ref="A1:F1"/>
    <mergeCell ref="A10:D10"/>
    <mergeCell ref="A12:F12"/>
  </mergeCells>
  <hyperlinks>
    <hyperlink ref="H10" location="main" display="Back to Budget Detail" xr:uid="{00000000-0004-0000-0100-000000000000}"/>
    <hyperlink ref="H21" location="main" display="Back to Budget Detail" xr:uid="{00000000-0004-0000-0100-000001000000}"/>
    <hyperlink ref="H39" location="main" display="Back to Budget Detail" xr:uid="{00000000-0004-0000-0100-000002000000}"/>
    <hyperlink ref="H53" location="main" display="Back to Budget Detail" xr:uid="{00000000-0004-0000-0100-000003000000}"/>
  </hyperlink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7" bestFit="1" customWidth="1"/>
    <col min="13" max="13" width="22.5" style="137"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19" t="s">
        <v>181</v>
      </c>
      <c r="C1" s="219"/>
      <c r="D1" s="219"/>
      <c r="E1" s="219"/>
      <c r="F1" s="219"/>
      <c r="G1" s="219"/>
      <c r="H1" s="219"/>
      <c r="I1" s="219"/>
      <c r="J1" s="219"/>
      <c r="K1" s="219"/>
      <c r="L1" s="219"/>
      <c r="M1" s="219"/>
      <c r="N1" s="219"/>
      <c r="O1" s="219"/>
      <c r="P1" s="219"/>
      <c r="Q1" s="219"/>
      <c r="R1" s="219"/>
      <c r="S1" s="219"/>
      <c r="T1" s="219"/>
      <c r="U1" s="219"/>
    </row>
    <row r="2" spans="1:21" s="34" customFormat="1" ht="30" x14ac:dyDescent="0.2">
      <c r="A2" s="231" t="s">
        <v>168</v>
      </c>
      <c r="B2" s="31" t="s">
        <v>180</v>
      </c>
      <c r="C2" s="31" t="s">
        <v>444</v>
      </c>
      <c r="D2" s="31" t="s">
        <v>175</v>
      </c>
      <c r="E2" s="31" t="s">
        <v>160</v>
      </c>
      <c r="F2" s="31" t="s">
        <v>161</v>
      </c>
      <c r="G2" s="31" t="s">
        <v>162</v>
      </c>
      <c r="H2" s="32" t="s">
        <v>163</v>
      </c>
      <c r="I2" s="32" t="s">
        <v>164</v>
      </c>
      <c r="J2" s="32" t="s">
        <v>95</v>
      </c>
      <c r="K2" s="32" t="s">
        <v>165</v>
      </c>
      <c r="L2" s="136" t="s">
        <v>179</v>
      </c>
      <c r="M2" s="136" t="s">
        <v>443</v>
      </c>
      <c r="N2" s="33" t="s">
        <v>169</v>
      </c>
      <c r="O2" s="33" t="s">
        <v>166</v>
      </c>
      <c r="P2" s="32" t="s">
        <v>163</v>
      </c>
      <c r="Q2" s="32" t="s">
        <v>164</v>
      </c>
      <c r="R2" s="32" t="s">
        <v>420</v>
      </c>
      <c r="S2" s="32" t="s">
        <v>171</v>
      </c>
      <c r="T2" s="32" t="s">
        <v>170</v>
      </c>
      <c r="U2" s="31" t="s">
        <v>167</v>
      </c>
    </row>
    <row r="3" spans="1:21" x14ac:dyDescent="0.2">
      <c r="A3" s="232"/>
      <c r="B3" s="140" t="s">
        <v>491</v>
      </c>
      <c r="C3" s="140" t="str">
        <f t="shared" ref="C3:C13" si="0">IF(B3&gt;0,VLOOKUP($B3,pre_implement,6)," ")</f>
        <v>Heavy Disk 21'</v>
      </c>
      <c r="D3" s="39" t="str">
        <f t="shared" ref="D3:D14" si="1">IF(B3&gt;0,VLOOKUP($B3,pre_implement,5),0)</f>
        <v>21'</v>
      </c>
      <c r="E3" s="42">
        <f t="shared" ref="E3:E14" si="2">IF(B3&gt;0,VLOOKUP($B3,pre_implement,11),0)</f>
        <v>9.7302078726227342E-2</v>
      </c>
      <c r="F3" s="39">
        <v>2</v>
      </c>
      <c r="G3" s="42">
        <f>F3*E3</f>
        <v>0.19460415745245468</v>
      </c>
      <c r="H3" s="43">
        <f t="shared" ref="H3:H14" si="3">IF(B3&gt;0,VLOOKUP($B3,pre_implement,24),0)</f>
        <v>21.527777777777779</v>
      </c>
      <c r="I3" s="43">
        <f>H3*G3</f>
        <v>4.1893950562681219</v>
      </c>
      <c r="J3" s="43">
        <f t="shared" ref="J3:J14" si="4">IF(B3&gt;0,VLOOKUP($B3,pre_implement,31),0)</f>
        <v>62.043055555555554</v>
      </c>
      <c r="K3" s="44">
        <f>J3*G3</f>
        <v>12.073836552164726</v>
      </c>
      <c r="L3" s="137" t="s">
        <v>496</v>
      </c>
      <c r="M3" s="139" t="str">
        <f t="shared" ref="M3:M14" si="5">IF(K3&gt;0,VLOOKUP($L3,tractor_data,6)," ")</f>
        <v>Tractor (180-199 hp) MFWD 190</v>
      </c>
      <c r="N3" s="42">
        <f t="shared" ref="N3:N14" si="6">IF(L3&gt;0,VLOOKUP($L3,tractor_data,8),0)</f>
        <v>9.7797999999999998</v>
      </c>
      <c r="O3" s="42">
        <f>N3*G3</f>
        <v>1.9031897390535162</v>
      </c>
      <c r="P3" s="43">
        <f t="shared" ref="P3:P14" si="7">IF(L3&gt;0,VLOOKUP($L3,tractor_data,17),0)</f>
        <v>19.571428571428573</v>
      </c>
      <c r="Q3" s="43">
        <f>P3*G3</f>
        <v>3.8086813672837563</v>
      </c>
      <c r="R3" s="43">
        <f>I3+Q3</f>
        <v>7.9980764235518782</v>
      </c>
      <c r="S3" s="43">
        <f t="shared" ref="S3:S14" si="8">IF(L3&gt;0,VLOOKUP($L3,tractor_data,24),0)</f>
        <v>57.331238095238092</v>
      </c>
      <c r="T3" s="43">
        <f>S3*G3</f>
        <v>11.156897285229881</v>
      </c>
      <c r="U3" s="43">
        <f>T3+K3</f>
        <v>23.23073383739461</v>
      </c>
    </row>
    <row r="4" spans="1:21" x14ac:dyDescent="0.2">
      <c r="A4" s="232"/>
      <c r="B4" s="140" t="s">
        <v>492</v>
      </c>
      <c r="C4" s="140"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7" t="s">
        <v>496</v>
      </c>
      <c r="M4" s="139"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32"/>
      <c r="B5" s="140" t="s">
        <v>493</v>
      </c>
      <c r="C5" s="140" t="str">
        <f t="shared" si="0"/>
        <v>Bed-Disk  (Hipper)  6R-36</v>
      </c>
      <c r="D5" s="39" t="str">
        <f t="shared" si="1"/>
        <v xml:space="preserve"> 6R-36</v>
      </c>
      <c r="E5" s="42">
        <f t="shared" si="2"/>
        <v>0.10416666666666667</v>
      </c>
      <c r="F5" s="39">
        <v>1</v>
      </c>
      <c r="G5" s="42">
        <f t="shared" si="9"/>
        <v>0.10416666666666667</v>
      </c>
      <c r="H5" s="43">
        <f t="shared" si="3"/>
        <v>5.9</v>
      </c>
      <c r="I5" s="43">
        <f t="shared" si="10"/>
        <v>0.61458333333333337</v>
      </c>
      <c r="J5" s="43">
        <f t="shared" si="4"/>
        <v>21.254749999999998</v>
      </c>
      <c r="K5" s="44">
        <f t="shared" si="11"/>
        <v>2.2140364583333332</v>
      </c>
      <c r="L5" s="137" t="s">
        <v>496</v>
      </c>
      <c r="M5" s="139" t="str">
        <f t="shared" si="5"/>
        <v>Tractor (180-199 hp) MFWD 190</v>
      </c>
      <c r="N5" s="42">
        <f t="shared" si="6"/>
        <v>9.7797999999999998</v>
      </c>
      <c r="O5" s="42">
        <f t="shared" si="12"/>
        <v>1.0187291666666667</v>
      </c>
      <c r="P5" s="43">
        <f t="shared" si="7"/>
        <v>19.571428571428573</v>
      </c>
      <c r="Q5" s="43">
        <f t="shared" si="13"/>
        <v>2.0386904761904763</v>
      </c>
      <c r="R5" s="43">
        <f t="shared" si="14"/>
        <v>2.6532738095238098</v>
      </c>
      <c r="S5" s="43">
        <f t="shared" si="8"/>
        <v>57.331238095238092</v>
      </c>
      <c r="T5" s="43">
        <f t="shared" si="15"/>
        <v>5.9720039682539685</v>
      </c>
      <c r="U5" s="43">
        <f t="shared" si="16"/>
        <v>8.1860404265873008</v>
      </c>
    </row>
    <row r="6" spans="1:21" x14ac:dyDescent="0.2">
      <c r="A6" s="232"/>
      <c r="B6" s="140" t="s">
        <v>494</v>
      </c>
      <c r="C6" s="140" t="str">
        <f t="shared" si="0"/>
        <v>Plant - Rigid  6R-36</v>
      </c>
      <c r="D6" s="39" t="str">
        <f t="shared" si="1"/>
        <v xml:space="preserve"> 6R-36</v>
      </c>
      <c r="E6" s="42">
        <f t="shared" si="2"/>
        <v>0.10476190476190476</v>
      </c>
      <c r="F6" s="39">
        <v>1</v>
      </c>
      <c r="G6" s="42">
        <f t="shared" si="9"/>
        <v>0.10476190476190476</v>
      </c>
      <c r="H6" s="43">
        <f t="shared" si="3"/>
        <v>13.4625</v>
      </c>
      <c r="I6" s="43">
        <f t="shared" si="10"/>
        <v>1.4103571428571429</v>
      </c>
      <c r="J6" s="43">
        <f t="shared" si="4"/>
        <v>36.235066666666668</v>
      </c>
      <c r="K6" s="44">
        <f t="shared" si="11"/>
        <v>3.7960546031746034</v>
      </c>
      <c r="L6" s="137" t="s">
        <v>497</v>
      </c>
      <c r="M6" s="139" t="str">
        <f t="shared" si="5"/>
        <v>Tractor (120-139 hp) 2WD 130</v>
      </c>
      <c r="N6" s="42">
        <f t="shared" si="6"/>
        <v>6.6913999999999998</v>
      </c>
      <c r="O6" s="42">
        <f t="shared" si="12"/>
        <v>0.70100380952380947</v>
      </c>
      <c r="P6" s="43">
        <f t="shared" si="7"/>
        <v>9.1357142857142861</v>
      </c>
      <c r="Q6" s="43">
        <f t="shared" si="13"/>
        <v>0.9570748299319729</v>
      </c>
      <c r="R6" s="43">
        <f t="shared" si="14"/>
        <v>2.3674319727891158</v>
      </c>
      <c r="S6" s="43">
        <f t="shared" si="8"/>
        <v>26.761552380952381</v>
      </c>
      <c r="T6" s="43">
        <f t="shared" si="15"/>
        <v>2.8035912018140592</v>
      </c>
      <c r="U6" s="43">
        <f t="shared" si="16"/>
        <v>6.599645804988663</v>
      </c>
    </row>
    <row r="7" spans="1:21" x14ac:dyDescent="0.2">
      <c r="A7" s="232"/>
      <c r="B7" s="140" t="s">
        <v>495</v>
      </c>
      <c r="C7" s="140" t="str">
        <f t="shared" si="0"/>
        <v>Spray (Broadcast) 60'</v>
      </c>
      <c r="D7" s="39" t="str">
        <f t="shared" si="1"/>
        <v>60'</v>
      </c>
      <c r="E7" s="42">
        <f t="shared" si="2"/>
        <v>2.8205128205128206E-2</v>
      </c>
      <c r="F7" s="39">
        <v>3</v>
      </c>
      <c r="G7" s="42">
        <f t="shared" si="9"/>
        <v>8.461538461538462E-2</v>
      </c>
      <c r="H7" s="43">
        <f t="shared" si="3"/>
        <v>8.71875</v>
      </c>
      <c r="I7" s="43">
        <f t="shared" si="10"/>
        <v>0.7377403846153846</v>
      </c>
      <c r="J7" s="43">
        <f t="shared" si="4"/>
        <v>14.396400000000002</v>
      </c>
      <c r="K7" s="44">
        <f t="shared" si="11"/>
        <v>1.2181569230769234</v>
      </c>
      <c r="L7" s="137" t="s">
        <v>497</v>
      </c>
      <c r="M7" s="139" t="str">
        <f t="shared" si="5"/>
        <v>Tractor (120-139 hp) 2WD 130</v>
      </c>
      <c r="N7" s="42">
        <f t="shared" si="6"/>
        <v>6.6913999999999998</v>
      </c>
      <c r="O7" s="42">
        <f t="shared" si="12"/>
        <v>0.56619538461538466</v>
      </c>
      <c r="P7" s="43">
        <f t="shared" si="7"/>
        <v>9.1357142857142861</v>
      </c>
      <c r="Q7" s="43">
        <f t="shared" si="13"/>
        <v>0.77302197802197814</v>
      </c>
      <c r="R7" s="43">
        <f t="shared" si="14"/>
        <v>1.5107623626373627</v>
      </c>
      <c r="S7" s="43">
        <f t="shared" si="8"/>
        <v>26.761552380952381</v>
      </c>
      <c r="T7" s="43">
        <f t="shared" si="15"/>
        <v>2.2644390476190477</v>
      </c>
      <c r="U7" s="43">
        <f t="shared" si="16"/>
        <v>3.482595970695971</v>
      </c>
    </row>
    <row r="8" spans="1:21" x14ac:dyDescent="0.2">
      <c r="A8" s="232"/>
      <c r="B8" s="140"/>
      <c r="C8" s="140" t="str">
        <f t="shared" si="0"/>
        <v xml:space="preserve"> </v>
      </c>
      <c r="D8" s="39">
        <f t="shared" si="1"/>
        <v>0</v>
      </c>
      <c r="E8" s="42">
        <f t="shared" si="2"/>
        <v>0</v>
      </c>
      <c r="F8" s="39">
        <v>1</v>
      </c>
      <c r="G8" s="42">
        <f t="shared" si="9"/>
        <v>0</v>
      </c>
      <c r="H8" s="43">
        <f t="shared" si="3"/>
        <v>0</v>
      </c>
      <c r="I8" s="43">
        <f t="shared" si="10"/>
        <v>0</v>
      </c>
      <c r="J8" s="43">
        <f t="shared" si="4"/>
        <v>0</v>
      </c>
      <c r="K8" s="44">
        <f t="shared" si="11"/>
        <v>0</v>
      </c>
      <c r="M8" s="139"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
      <c r="A9" s="232"/>
      <c r="B9" s="140"/>
      <c r="C9" s="140" t="str">
        <f t="shared" si="0"/>
        <v xml:space="preserve"> </v>
      </c>
      <c r="D9" s="39">
        <f t="shared" si="1"/>
        <v>0</v>
      </c>
      <c r="E9" s="42">
        <f t="shared" si="2"/>
        <v>0</v>
      </c>
      <c r="F9" s="39">
        <v>1</v>
      </c>
      <c r="G9" s="42">
        <f t="shared" si="9"/>
        <v>0</v>
      </c>
      <c r="H9" s="43">
        <f t="shared" si="3"/>
        <v>0</v>
      </c>
      <c r="I9" s="43">
        <f t="shared" si="10"/>
        <v>0</v>
      </c>
      <c r="J9" s="43">
        <f t="shared" si="4"/>
        <v>0</v>
      </c>
      <c r="K9" s="44">
        <f t="shared" si="11"/>
        <v>0</v>
      </c>
      <c r="M9" s="139"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32"/>
      <c r="B10" s="140"/>
      <c r="C10" s="140"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39"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32"/>
      <c r="B11" s="140"/>
      <c r="C11" s="140"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39"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32"/>
      <c r="B12" s="140"/>
      <c r="C12" s="140"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39"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32"/>
      <c r="B13" s="140"/>
      <c r="C13" s="140"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39"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32"/>
      <c r="B14" s="140"/>
      <c r="C14" s="140"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39"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33"/>
      <c r="B15" s="35"/>
      <c r="C15" s="35"/>
      <c r="D15" s="45"/>
      <c r="E15" s="45"/>
      <c r="F15" s="45"/>
      <c r="G15" s="46">
        <f>SUM(G3:G14)</f>
        <v>0.54953204206783934</v>
      </c>
      <c r="H15" s="45"/>
      <c r="I15" s="47"/>
      <c r="J15" s="45"/>
      <c r="K15" s="47"/>
      <c r="L15" s="138"/>
      <c r="M15" s="138"/>
      <c r="N15" s="45"/>
      <c r="O15" s="46">
        <f>SUM(O3:O14)</f>
        <v>4.7894406445022337</v>
      </c>
      <c r="P15" s="45"/>
      <c r="Q15" s="47"/>
      <c r="R15" s="47">
        <f>SUM(R3:R14)</f>
        <v>17.222886228082665</v>
      </c>
      <c r="S15" s="45"/>
      <c r="T15" s="47"/>
      <c r="U15" s="47">
        <f>SUM(U3:U14)</f>
        <v>49.318091604788421</v>
      </c>
    </row>
    <row r="16" spans="1:21" x14ac:dyDescent="0.2">
      <c r="B16" s="124" t="s">
        <v>434</v>
      </c>
      <c r="C16" s="124"/>
    </row>
    <row r="17" spans="1:14" x14ac:dyDescent="0.2">
      <c r="A17" s="38"/>
      <c r="B17" s="219" t="s">
        <v>174</v>
      </c>
      <c r="C17" s="219"/>
      <c r="D17" s="219"/>
      <c r="E17" s="219"/>
      <c r="F17" s="219"/>
      <c r="G17" s="219"/>
      <c r="H17" s="219"/>
      <c r="I17" s="219"/>
      <c r="J17" s="219"/>
      <c r="K17" s="219"/>
      <c r="L17" s="219"/>
      <c r="M17" s="219"/>
      <c r="N17" s="38"/>
    </row>
    <row r="18" spans="1:14" s="36" customFormat="1" ht="45" x14ac:dyDescent="0.2">
      <c r="A18" s="230" t="s">
        <v>173</v>
      </c>
      <c r="B18" s="37" t="s">
        <v>182</v>
      </c>
      <c r="C18" s="149" t="s">
        <v>444</v>
      </c>
      <c r="D18" s="37" t="s">
        <v>175</v>
      </c>
      <c r="E18" s="31" t="s">
        <v>160</v>
      </c>
      <c r="F18" s="31" t="s">
        <v>161</v>
      </c>
      <c r="G18" s="31" t="s">
        <v>162</v>
      </c>
      <c r="H18" s="33" t="s">
        <v>169</v>
      </c>
      <c r="I18" s="33" t="s">
        <v>166</v>
      </c>
      <c r="J18" s="32" t="s">
        <v>163</v>
      </c>
      <c r="K18" s="32" t="s">
        <v>164</v>
      </c>
      <c r="L18" s="142" t="s">
        <v>176</v>
      </c>
      <c r="M18" s="142" t="s">
        <v>177</v>
      </c>
    </row>
    <row r="19" spans="1:14" x14ac:dyDescent="0.2">
      <c r="A19" s="230"/>
      <c r="B19" s="141"/>
      <c r="C19" s="141" t="str">
        <f>IF(B19&lt;&gt;"",VLOOKUP($B19,selfpro_data,6)," ")</f>
        <v xml:space="preserve"> </v>
      </c>
      <c r="D19" s="48">
        <f>IF(B19&lt;&gt;"",VLOOKUP($B19,selfpro_data,5),0)</f>
        <v>0</v>
      </c>
      <c r="E19" s="151">
        <f>IF(B19&lt;&gt;"",VLOOKUP($B19,selfpro_data,12),0)</f>
        <v>0</v>
      </c>
      <c r="F19" s="150">
        <v>1</v>
      </c>
      <c r="G19" s="42">
        <f>F19*E19</f>
        <v>0</v>
      </c>
      <c r="H19" s="151">
        <f>IF(B19&lt;&gt;"",VLOOKUP($B19,selfpro_data,8),0)</f>
        <v>0</v>
      </c>
      <c r="I19" s="42">
        <f>H19*E19</f>
        <v>0</v>
      </c>
      <c r="J19" s="49">
        <f>IF(B19&lt;&gt;"",VLOOKUP($B19,selfpro_data,25),0)</f>
        <v>0</v>
      </c>
      <c r="K19" s="43">
        <f>J19*G19</f>
        <v>0</v>
      </c>
      <c r="L19" s="143">
        <f>IF(B19&lt;&gt;"",VLOOKUP($B19,selfpro_data,32),0)</f>
        <v>0</v>
      </c>
      <c r="M19" s="144">
        <f>L19*G19</f>
        <v>0</v>
      </c>
    </row>
    <row r="20" spans="1:14" x14ac:dyDescent="0.2">
      <c r="A20" s="230"/>
      <c r="B20" s="140"/>
      <c r="C20" s="140" t="str">
        <f>IF(B20&lt;&gt;"",VLOOKUP($B20,selfpro_data,6)," ")</f>
        <v xml:space="preserve"> </v>
      </c>
      <c r="D20" s="39">
        <f>IF(B20&lt;&gt;"",VLOOKUP($B20,selfpro_data,5),0)</f>
        <v>0</v>
      </c>
      <c r="E20" s="42">
        <f>IF(B20&lt;&gt;"",VLOOKUP($B20,selfpro_data,12),0)</f>
        <v>0</v>
      </c>
      <c r="F20" s="150">
        <v>1</v>
      </c>
      <c r="G20" s="42">
        <f t="shared" ref="G20:G23" si="18">F20*E20</f>
        <v>0</v>
      </c>
      <c r="H20" s="42">
        <f>IF(B20&lt;&gt;"",VLOOKUP($B20,selfpro_data,8),0)</f>
        <v>0</v>
      </c>
      <c r="I20" s="42">
        <f t="shared" ref="I20:I23" si="19">H20*E20</f>
        <v>0</v>
      </c>
      <c r="J20" s="50">
        <f>IF(B20&lt;&gt;"",VLOOKUP($B20,selfpro_data,25),0)</f>
        <v>0</v>
      </c>
      <c r="K20" s="50">
        <f t="shared" ref="K20:K23" si="20">J20*G20</f>
        <v>0</v>
      </c>
      <c r="L20" s="145">
        <f>IF(B20&lt;&gt;"",VLOOKUP($B20,selfpro_data,32),0)</f>
        <v>0</v>
      </c>
      <c r="M20" s="144">
        <f t="shared" ref="M20:M23" si="21">L20*G20</f>
        <v>0</v>
      </c>
    </row>
    <row r="21" spans="1:14" x14ac:dyDescent="0.2">
      <c r="A21" s="230"/>
      <c r="B21" s="140"/>
      <c r="C21" s="140" t="str">
        <f>IF(B21&lt;&gt;"",VLOOKUP($B21,selfpro_data,6)," ")</f>
        <v xml:space="preserve"> </v>
      </c>
      <c r="D21" s="39">
        <f>IF(B21&lt;&gt;"",VLOOKUP($B21,selfpro_data,5),0)</f>
        <v>0</v>
      </c>
      <c r="E21" s="42">
        <f>IF(B21&lt;&gt;"",VLOOKUP($B21,selfpro_data,12),0)</f>
        <v>0</v>
      </c>
      <c r="F21" s="150">
        <v>1</v>
      </c>
      <c r="G21" s="42">
        <f t="shared" si="18"/>
        <v>0</v>
      </c>
      <c r="H21" s="42">
        <f>IF(B21&lt;&gt;"",VLOOKUP($B21,selfpro_data,8),0)</f>
        <v>0</v>
      </c>
      <c r="I21" s="42">
        <f t="shared" si="19"/>
        <v>0</v>
      </c>
      <c r="J21" s="50">
        <f>IF(B21&lt;&gt;"",VLOOKUP($B21,selfpro_data,25),0)</f>
        <v>0</v>
      </c>
      <c r="K21" s="50">
        <f t="shared" si="20"/>
        <v>0</v>
      </c>
      <c r="L21" s="145">
        <f>IF(B21&lt;&gt;"",VLOOKUP($B21,selfpro_data,32),0)</f>
        <v>0</v>
      </c>
      <c r="M21" s="144">
        <f t="shared" si="21"/>
        <v>0</v>
      </c>
    </row>
    <row r="22" spans="1:14" x14ac:dyDescent="0.2">
      <c r="A22" s="230"/>
      <c r="B22" s="140"/>
      <c r="C22" s="140" t="str">
        <f>IF(B22&lt;&gt;"",VLOOKUP($B22,selfpro_data,6)," ")</f>
        <v xml:space="preserve"> </v>
      </c>
      <c r="D22" s="39">
        <f>IF(B22&lt;&gt;"",VLOOKUP($B22,selfpro_data,5),0)</f>
        <v>0</v>
      </c>
      <c r="E22" s="42">
        <f>IF(B22&lt;&gt;"",VLOOKUP($B22,selfpro_data,12),0)</f>
        <v>0</v>
      </c>
      <c r="F22" s="150">
        <v>1</v>
      </c>
      <c r="G22" s="42">
        <f t="shared" si="18"/>
        <v>0</v>
      </c>
      <c r="H22" s="42">
        <f>IF(B22&lt;&gt;"",VLOOKUP($B22,selfpro_data,8),0)</f>
        <v>0</v>
      </c>
      <c r="I22" s="42">
        <f t="shared" si="19"/>
        <v>0</v>
      </c>
      <c r="J22" s="50">
        <f>IF(B22&lt;&gt;"",VLOOKUP($B22,selfpro_data,25),0)</f>
        <v>0</v>
      </c>
      <c r="K22" s="50">
        <f t="shared" si="20"/>
        <v>0</v>
      </c>
      <c r="L22" s="145">
        <f>IF(B22&lt;&gt;"",VLOOKUP($B22,selfpro_data,32),0)</f>
        <v>0</v>
      </c>
      <c r="M22" s="144">
        <f t="shared" si="21"/>
        <v>0</v>
      </c>
    </row>
    <row r="23" spans="1:14" x14ac:dyDescent="0.2">
      <c r="A23" s="230"/>
      <c r="B23" s="140"/>
      <c r="C23" s="140" t="str">
        <f>IF(B23&lt;&gt;"",VLOOKUP($B23,selfpro_data,6)," ")</f>
        <v xml:space="preserve"> </v>
      </c>
      <c r="D23" s="39">
        <f>IF(B23&lt;&gt;"",VLOOKUP($B23,selfpro_data,5),0)</f>
        <v>0</v>
      </c>
      <c r="E23" s="42">
        <f>IF(B23&lt;&gt;"",VLOOKUP($B23,selfpro_data,12),0)</f>
        <v>0</v>
      </c>
      <c r="F23" s="150">
        <v>1</v>
      </c>
      <c r="G23" s="42">
        <f t="shared" si="18"/>
        <v>0</v>
      </c>
      <c r="H23" s="42">
        <f>IF(B23&lt;&gt;"",VLOOKUP($B23,selfpro_data,8),0)</f>
        <v>0</v>
      </c>
      <c r="I23" s="42">
        <f t="shared" si="19"/>
        <v>0</v>
      </c>
      <c r="J23" s="50">
        <f>IF(B23&lt;&gt;"",VLOOKUP($B23,selfpro_data,25),0)</f>
        <v>0</v>
      </c>
      <c r="K23" s="43">
        <f t="shared" si="20"/>
        <v>0</v>
      </c>
      <c r="L23" s="145">
        <f>IF(B23&lt;&gt;"",VLOOKUP($B23,selfpro_data,32),0)</f>
        <v>0</v>
      </c>
      <c r="M23" s="144">
        <f t="shared" si="21"/>
        <v>0</v>
      </c>
    </row>
    <row r="24" spans="1:14" x14ac:dyDescent="0.2">
      <c r="A24" s="230"/>
      <c r="B24" s="35"/>
      <c r="C24" s="35"/>
      <c r="D24" s="45"/>
      <c r="E24" s="46"/>
      <c r="F24" s="45"/>
      <c r="G24" s="46">
        <f>SUM(G19:G23)</f>
        <v>0</v>
      </c>
      <c r="H24" s="46"/>
      <c r="I24" s="46">
        <f>SUM(I19:I23)</f>
        <v>0</v>
      </c>
      <c r="J24" s="51"/>
      <c r="K24" s="51">
        <f>SUM(K19:K23)</f>
        <v>0</v>
      </c>
      <c r="L24" s="146"/>
      <c r="M24" s="146">
        <f>SUM(M19:M23)</f>
        <v>0</v>
      </c>
    </row>
    <row r="25" spans="1:14" x14ac:dyDescent="0.2">
      <c r="B25" s="124" t="s">
        <v>434</v>
      </c>
      <c r="C25" s="124"/>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19" t="s">
        <v>192</v>
      </c>
      <c r="C1" s="219"/>
      <c r="D1" s="219"/>
      <c r="E1" s="219"/>
      <c r="F1" s="219"/>
      <c r="G1" s="219"/>
      <c r="H1" s="219"/>
      <c r="I1" s="219"/>
      <c r="J1" s="219"/>
      <c r="K1" s="219"/>
      <c r="L1" s="219"/>
      <c r="M1" s="219"/>
      <c r="N1" s="219"/>
      <c r="O1" s="219"/>
      <c r="P1" s="219"/>
      <c r="Q1" s="219"/>
      <c r="R1" s="219"/>
      <c r="S1" s="219"/>
      <c r="T1" s="219"/>
      <c r="U1" s="219"/>
    </row>
    <row r="2" spans="1:21" s="36" customFormat="1" ht="45" x14ac:dyDescent="0.2">
      <c r="A2" s="40"/>
      <c r="B2" s="31" t="s">
        <v>191</v>
      </c>
      <c r="C2" s="31" t="s">
        <v>444</v>
      </c>
      <c r="D2" s="31" t="s">
        <v>175</v>
      </c>
      <c r="E2" s="31" t="s">
        <v>160</v>
      </c>
      <c r="F2" s="31" t="s">
        <v>161</v>
      </c>
      <c r="G2" s="31" t="s">
        <v>162</v>
      </c>
      <c r="H2" s="32" t="s">
        <v>183</v>
      </c>
      <c r="I2" s="32" t="s">
        <v>184</v>
      </c>
      <c r="J2" s="32" t="s">
        <v>185</v>
      </c>
      <c r="K2" s="32" t="s">
        <v>186</v>
      </c>
      <c r="L2" s="31" t="s">
        <v>178</v>
      </c>
      <c r="M2" s="31" t="s">
        <v>444</v>
      </c>
      <c r="N2" s="33" t="s">
        <v>169</v>
      </c>
      <c r="O2" s="33" t="s">
        <v>166</v>
      </c>
      <c r="P2" s="32" t="s">
        <v>189</v>
      </c>
      <c r="Q2" s="32" t="s">
        <v>190</v>
      </c>
      <c r="R2" s="32" t="s">
        <v>420</v>
      </c>
      <c r="S2" s="32" t="s">
        <v>187</v>
      </c>
      <c r="T2" s="32" t="s">
        <v>188</v>
      </c>
      <c r="U2" s="31" t="s">
        <v>167</v>
      </c>
    </row>
    <row r="3" spans="1:21" x14ac:dyDescent="0.2">
      <c r="A3" s="53" t="s">
        <v>173</v>
      </c>
      <c r="B3" s="138"/>
      <c r="C3" s="156"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8"/>
      <c r="M3" s="168"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32" t="s">
        <v>203</v>
      </c>
      <c r="B4" s="137" t="s">
        <v>536</v>
      </c>
      <c r="C4" s="148" t="str">
        <f t="shared" si="0"/>
        <v>Header -Soybean 22' Flex</v>
      </c>
      <c r="D4" s="39" t="str">
        <f t="shared" si="1"/>
        <v>22' Flex</v>
      </c>
      <c r="E4" s="42">
        <f t="shared" si="2"/>
        <v>0.11609907120743036</v>
      </c>
      <c r="F4" s="39">
        <v>1</v>
      </c>
      <c r="G4" s="42">
        <f t="shared" ref="G4:G10" si="5">F4*E4</f>
        <v>0.11609907120743036</v>
      </c>
      <c r="H4" s="43">
        <f t="shared" si="3"/>
        <v>14.866666666666667</v>
      </c>
      <c r="I4" s="43">
        <f t="shared" ref="I4:I10" si="6">H4*G4</f>
        <v>1.7260061919504648</v>
      </c>
      <c r="J4" s="43">
        <f t="shared" si="4"/>
        <v>38.593866666666663</v>
      </c>
      <c r="K4" s="43">
        <f t="shared" ref="K4:K10" si="7">J4*G4</f>
        <v>4.4807120743034057</v>
      </c>
      <c r="L4" s="140" t="s">
        <v>498</v>
      </c>
      <c r="M4" s="169" t="str">
        <f t="shared" ref="M4:M10" si="8">IF(L4&lt;&gt;"",VLOOKUP($L4,tractor_data,6)," ")</f>
        <v>Combine (200-249 hp) 240 hp</v>
      </c>
      <c r="N4" s="42">
        <f t="shared" ref="N4:N10" si="9">IF(L4&lt;&gt;"",VLOOKUP($L4,tractor_data,8),0)</f>
        <v>12.35</v>
      </c>
      <c r="O4" s="42">
        <f t="shared" ref="O4:O10" si="10">N4*G4</f>
        <v>1.4338235294117649</v>
      </c>
      <c r="P4" s="43">
        <f t="shared" ref="P4:P10" si="11">IF(L4&lt;&gt;"",VLOOKUP($L4,tractor_data,17),0)</f>
        <v>43.541666666666671</v>
      </c>
      <c r="Q4" s="43">
        <f t="shared" ref="Q4:Q10" si="12">G4*P4</f>
        <v>5.0551470588235308</v>
      </c>
      <c r="R4" s="49">
        <f t="shared" ref="R4:R10" si="13">I4+Q4</f>
        <v>6.7811532507739951</v>
      </c>
      <c r="S4" s="43">
        <f t="shared" ref="S4:S10" si="14">IF(L4&lt;&gt;"",VLOOKUP($L4,tractor_data,24),0)</f>
        <v>276.78566666666666</v>
      </c>
      <c r="T4" s="43">
        <f t="shared" ref="T4:T10" si="15">S4*G4</f>
        <v>32.134558823529417</v>
      </c>
      <c r="U4" s="43">
        <f t="shared" ref="U4:U10" si="16">T4+K4</f>
        <v>36.615270897832822</v>
      </c>
    </row>
    <row r="5" spans="1:21" x14ac:dyDescent="0.2">
      <c r="A5" s="232"/>
      <c r="B5" s="137" t="s">
        <v>520</v>
      </c>
      <c r="C5" s="167" t="str">
        <f t="shared" si="0"/>
        <v>Grain Cart Soybean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40" t="s">
        <v>497</v>
      </c>
      <c r="M5" s="169"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32"/>
      <c r="B6" s="137"/>
      <c r="C6" s="167" t="str">
        <f t="shared" si="0"/>
        <v xml:space="preserve"> </v>
      </c>
      <c r="D6" s="39">
        <f t="shared" si="1"/>
        <v>0</v>
      </c>
      <c r="E6" s="42">
        <f t="shared" si="2"/>
        <v>0</v>
      </c>
      <c r="F6" s="39">
        <v>1</v>
      </c>
      <c r="G6" s="42">
        <f t="shared" si="5"/>
        <v>0</v>
      </c>
      <c r="H6" s="43">
        <f t="shared" si="3"/>
        <v>0</v>
      </c>
      <c r="I6" s="43">
        <f t="shared" si="6"/>
        <v>0</v>
      </c>
      <c r="J6" s="43">
        <f t="shared" si="4"/>
        <v>0</v>
      </c>
      <c r="K6" s="43">
        <f t="shared" si="7"/>
        <v>0</v>
      </c>
      <c r="L6" s="140"/>
      <c r="M6" s="169"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32"/>
      <c r="B7" s="137"/>
      <c r="C7" s="167" t="str">
        <f t="shared" si="0"/>
        <v xml:space="preserve"> </v>
      </c>
      <c r="D7" s="39">
        <f t="shared" si="1"/>
        <v>0</v>
      </c>
      <c r="E7" s="42">
        <f t="shared" si="2"/>
        <v>0</v>
      </c>
      <c r="F7" s="39">
        <v>1</v>
      </c>
      <c r="G7" s="42">
        <f t="shared" si="5"/>
        <v>0</v>
      </c>
      <c r="H7" s="43">
        <f t="shared" si="3"/>
        <v>0</v>
      </c>
      <c r="I7" s="43">
        <f t="shared" si="6"/>
        <v>0</v>
      </c>
      <c r="J7" s="43">
        <f t="shared" si="4"/>
        <v>0</v>
      </c>
      <c r="K7" s="43">
        <f t="shared" si="7"/>
        <v>0</v>
      </c>
      <c r="L7" s="140"/>
      <c r="M7" s="169"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32"/>
      <c r="B8" s="137"/>
      <c r="C8" s="167" t="str">
        <f t="shared" si="0"/>
        <v xml:space="preserve"> </v>
      </c>
      <c r="D8" s="39">
        <f t="shared" si="1"/>
        <v>0</v>
      </c>
      <c r="E8" s="42">
        <f t="shared" si="2"/>
        <v>0</v>
      </c>
      <c r="F8" s="39">
        <v>1</v>
      </c>
      <c r="G8" s="42">
        <f t="shared" si="5"/>
        <v>0</v>
      </c>
      <c r="H8" s="43">
        <f t="shared" si="3"/>
        <v>0</v>
      </c>
      <c r="I8" s="43">
        <f t="shared" si="6"/>
        <v>0</v>
      </c>
      <c r="J8" s="43">
        <f t="shared" si="4"/>
        <v>0</v>
      </c>
      <c r="K8" s="43">
        <f t="shared" si="7"/>
        <v>0</v>
      </c>
      <c r="L8" s="140"/>
      <c r="M8" s="169"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32"/>
      <c r="B9" s="137"/>
      <c r="C9" s="167" t="str">
        <f t="shared" si="0"/>
        <v xml:space="preserve"> </v>
      </c>
      <c r="D9" s="39">
        <f t="shared" si="1"/>
        <v>0</v>
      </c>
      <c r="E9" s="42">
        <f t="shared" si="2"/>
        <v>0</v>
      </c>
      <c r="F9" s="39">
        <v>1</v>
      </c>
      <c r="G9" s="42">
        <f t="shared" si="5"/>
        <v>0</v>
      </c>
      <c r="H9" s="43">
        <f t="shared" si="3"/>
        <v>0</v>
      </c>
      <c r="I9" s="43">
        <f t="shared" si="6"/>
        <v>0</v>
      </c>
      <c r="J9" s="43">
        <f t="shared" si="4"/>
        <v>0</v>
      </c>
      <c r="K9" s="43">
        <f t="shared" si="7"/>
        <v>0</v>
      </c>
      <c r="L9" s="140"/>
      <c r="M9" s="169"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33"/>
      <c r="B10" s="157"/>
      <c r="C10" s="167"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40"/>
      <c r="M10" s="169" t="str">
        <f t="shared" si="8"/>
        <v xml:space="preserve"> </v>
      </c>
      <c r="N10" s="42">
        <f t="shared" si="9"/>
        <v>0</v>
      </c>
      <c r="O10" s="42">
        <f t="shared" si="10"/>
        <v>0</v>
      </c>
      <c r="P10" s="43">
        <f t="shared" si="11"/>
        <v>0</v>
      </c>
      <c r="Q10" s="43">
        <f t="shared" si="12"/>
        <v>0</v>
      </c>
      <c r="R10" s="123">
        <f t="shared" si="13"/>
        <v>0</v>
      </c>
      <c r="S10" s="43">
        <f t="shared" si="14"/>
        <v>0</v>
      </c>
      <c r="T10" s="43">
        <f t="shared" si="15"/>
        <v>0</v>
      </c>
      <c r="U10" s="43">
        <f t="shared" si="16"/>
        <v>0</v>
      </c>
    </row>
    <row r="11" spans="1:21" x14ac:dyDescent="0.2">
      <c r="A11" s="45"/>
      <c r="B11" s="45"/>
      <c r="C11" s="45"/>
      <c r="D11" s="45"/>
      <c r="E11" s="45"/>
      <c r="F11" s="45"/>
      <c r="G11" s="46">
        <f>SUM(G3:G10)</f>
        <v>0.21009907120743038</v>
      </c>
      <c r="H11" s="45"/>
      <c r="I11" s="47"/>
      <c r="J11" s="45"/>
      <c r="K11" s="47"/>
      <c r="L11" s="45"/>
      <c r="M11" s="45"/>
      <c r="N11" s="45"/>
      <c r="O11" s="46">
        <f>SUM(O3:O10)</f>
        <v>2.0628151294117649</v>
      </c>
      <c r="P11" s="45"/>
      <c r="Q11" s="47"/>
      <c r="R11" s="47">
        <f>SUM(R3:R10)</f>
        <v>8.5665937269644719</v>
      </c>
      <c r="S11" s="45"/>
      <c r="T11" s="47"/>
      <c r="U11" s="47">
        <f>SUM(U3:U10)</f>
        <v>41.396526288309012</v>
      </c>
    </row>
    <row r="12" spans="1:21" x14ac:dyDescent="0.2">
      <c r="B12" s="124" t="s">
        <v>434</v>
      </c>
      <c r="C12" s="124"/>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F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70" bestFit="1" customWidth="1"/>
    <col min="2" max="2" width="32.83203125" style="170" bestFit="1" customWidth="1"/>
    <col min="3" max="3" width="3.5" style="135" bestFit="1" customWidth="1"/>
    <col min="4" max="4" width="2" style="135" bestFit="1" customWidth="1"/>
    <col min="5" max="5" width="14.5" style="131" bestFit="1" customWidth="1"/>
    <col min="6" max="6" width="9" style="131" bestFit="1" customWidth="1"/>
    <col min="7" max="7" width="18.33203125" style="131" bestFit="1" customWidth="1"/>
    <col min="8" max="8" width="11" style="25" bestFit="1" customWidth="1"/>
    <col min="9" max="10" width="5" style="170" bestFit="1" customWidth="1"/>
    <col min="11" max="11" width="3.1640625" style="170" bestFit="1" customWidth="1"/>
    <col min="12" max="12" width="7.5" style="171" bestFit="1" customWidth="1"/>
    <col min="13" max="13" width="5.1640625" style="170" bestFit="1" customWidth="1"/>
    <col min="14" max="14" width="5.6640625" style="170" bestFit="1" customWidth="1"/>
    <col min="15" max="15" width="5.33203125" style="170" bestFit="1" customWidth="1"/>
    <col min="16" max="16" width="5.5" style="170" bestFit="1" customWidth="1"/>
    <col min="17" max="17" width="4.6640625" style="170" bestFit="1" customWidth="1"/>
    <col min="18" max="19" width="5.33203125" style="170" bestFit="1" customWidth="1"/>
    <col min="20" max="20" width="5" style="170" bestFit="1" customWidth="1"/>
    <col min="21" max="21" width="4" style="170" bestFit="1" customWidth="1"/>
    <col min="22" max="22" width="11.1640625" style="2" bestFit="1" customWidth="1"/>
    <col min="23" max="23" width="7.6640625" style="170" bestFit="1" customWidth="1"/>
    <col min="24" max="24" width="8" style="1" bestFit="1" customWidth="1"/>
    <col min="25" max="25" width="7.6640625" style="170" bestFit="1" customWidth="1"/>
    <col min="26" max="26" width="9" style="170" bestFit="1" customWidth="1"/>
    <col min="27" max="27" width="8.5" style="170" bestFit="1" customWidth="1"/>
    <col min="28" max="28" width="10" style="170" bestFit="1" customWidth="1"/>
    <col min="29" max="29" width="9" style="170" bestFit="1" customWidth="1"/>
    <col min="30" max="30" width="8.83203125" style="170" bestFit="1" customWidth="1"/>
    <col min="31" max="32" width="9" style="170" bestFit="1" customWidth="1"/>
    <col min="33" max="33" width="22.83203125" style="170" bestFit="1" customWidth="1"/>
    <col min="34" max="34" width="6.5" style="170" bestFit="1" customWidth="1"/>
    <col min="35" max="35" width="7.83203125" style="170" bestFit="1" customWidth="1"/>
    <col min="36" max="16384" width="8.83203125" style="170"/>
  </cols>
  <sheetData>
    <row r="1" spans="1:35" x14ac:dyDescent="0.2">
      <c r="A1" s="236" t="s">
        <v>447</v>
      </c>
      <c r="B1" s="237"/>
      <c r="C1" s="238" t="s">
        <v>127</v>
      </c>
      <c r="D1" s="239"/>
      <c r="E1" s="239"/>
      <c r="F1" s="190">
        <v>0.09</v>
      </c>
    </row>
    <row r="2" spans="1:35" ht="16" thickBot="1" x14ac:dyDescent="0.25">
      <c r="C2" s="240" t="s">
        <v>126</v>
      </c>
      <c r="D2" s="241"/>
      <c r="E2" s="241"/>
      <c r="F2" s="191">
        <v>2.4E-2</v>
      </c>
      <c r="G2" s="131">
        <v>6</v>
      </c>
      <c r="H2" s="25">
        <v>7</v>
      </c>
      <c r="I2" s="170">
        <v>8</v>
      </c>
      <c r="J2" s="170">
        <v>9</v>
      </c>
      <c r="K2" s="170">
        <v>10</v>
      </c>
      <c r="L2" s="170">
        <v>11</v>
      </c>
      <c r="M2" s="170">
        <v>12</v>
      </c>
      <c r="N2" s="170">
        <v>13</v>
      </c>
      <c r="O2" s="170">
        <v>14</v>
      </c>
      <c r="P2" s="170">
        <v>15</v>
      </c>
      <c r="Q2" s="170">
        <v>16</v>
      </c>
      <c r="R2" s="170">
        <v>17</v>
      </c>
      <c r="S2" s="29">
        <v>18</v>
      </c>
      <c r="T2" s="170">
        <v>19</v>
      </c>
      <c r="U2" s="29">
        <v>20</v>
      </c>
      <c r="V2" s="170">
        <v>21</v>
      </c>
      <c r="W2" s="170">
        <v>22</v>
      </c>
      <c r="X2" s="170">
        <v>23</v>
      </c>
      <c r="Y2" s="170">
        <v>24</v>
      </c>
      <c r="Z2" s="170">
        <v>25</v>
      </c>
      <c r="AA2" s="170">
        <v>26</v>
      </c>
      <c r="AB2" s="170">
        <v>27</v>
      </c>
      <c r="AC2" s="170">
        <v>28</v>
      </c>
      <c r="AD2" s="170">
        <v>29</v>
      </c>
      <c r="AE2" s="170">
        <v>30</v>
      </c>
      <c r="AF2" s="170">
        <v>31</v>
      </c>
    </row>
    <row r="3" spans="1:35" x14ac:dyDescent="0.2">
      <c r="C3" s="170"/>
      <c r="D3" s="192"/>
      <c r="E3" s="170"/>
      <c r="R3" s="234" t="s">
        <v>125</v>
      </c>
      <c r="S3" s="234"/>
      <c r="T3" s="234"/>
      <c r="U3" s="234"/>
      <c r="V3" s="234"/>
      <c r="W3" s="234"/>
      <c r="X3" s="235" t="s">
        <v>124</v>
      </c>
      <c r="Y3" s="235"/>
    </row>
    <row r="4" spans="1:35" s="11" customFormat="1" ht="11" x14ac:dyDescent="0.15">
      <c r="A4" s="22"/>
      <c r="B4" s="22" t="s">
        <v>122</v>
      </c>
      <c r="C4" s="132" t="s">
        <v>123</v>
      </c>
      <c r="D4" s="133" t="s">
        <v>441</v>
      </c>
      <c r="E4" s="134" t="s">
        <v>121</v>
      </c>
      <c r="F4" s="134" t="s">
        <v>120</v>
      </c>
      <c r="G4" s="134" t="s">
        <v>442</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8">
        <v>65</v>
      </c>
      <c r="B5" s="170" t="str">
        <f t="shared" ref="B5:B72" si="0">CONCATENATE(C5,D5,E5,F5)</f>
        <v>0.01, Bed-Disk  (Hipper)  4R-36</v>
      </c>
      <c r="C5" s="135">
        <v>0.01</v>
      </c>
      <c r="D5" s="131" t="s">
        <v>440</v>
      </c>
      <c r="E5" s="131" t="s">
        <v>458</v>
      </c>
      <c r="F5" s="131" t="s">
        <v>195</v>
      </c>
      <c r="G5" s="131" t="str">
        <f t="shared" ref="G5:G72" si="1">CONCATENATE(E5,F5)</f>
        <v>Bed-Disk  (Hipper)  4R-36</v>
      </c>
      <c r="H5" s="244">
        <v>15700</v>
      </c>
      <c r="I5" s="170">
        <v>12</v>
      </c>
      <c r="J5" s="170">
        <v>5.5</v>
      </c>
      <c r="K5" s="170">
        <v>80</v>
      </c>
      <c r="L5" s="171">
        <f t="shared" ref="L5:L72" si="2">1/((I5*J5*K5/100*5280)/43560)</f>
        <v>0.15625</v>
      </c>
      <c r="M5" s="170">
        <v>30</v>
      </c>
      <c r="N5" s="170">
        <v>40</v>
      </c>
      <c r="O5" s="170">
        <v>10</v>
      </c>
      <c r="P5" s="170">
        <v>160</v>
      </c>
      <c r="Q5" s="17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8">
        <v>67</v>
      </c>
      <c r="B6" s="170" t="str">
        <f t="shared" si="0"/>
        <v>0.03, Bed-Disk  (Hipper)  6R-36</v>
      </c>
      <c r="C6" s="135">
        <v>0.03</v>
      </c>
      <c r="D6" s="131" t="s">
        <v>440</v>
      </c>
      <c r="E6" s="131" t="s">
        <v>458</v>
      </c>
      <c r="F6" s="131" t="s">
        <v>196</v>
      </c>
      <c r="G6" s="131" t="str">
        <f t="shared" si="1"/>
        <v>Bed-Disk  (Hipper)  6R-36</v>
      </c>
      <c r="H6" s="244">
        <v>23600</v>
      </c>
      <c r="I6" s="170">
        <v>18</v>
      </c>
      <c r="J6" s="170">
        <v>5.5</v>
      </c>
      <c r="K6" s="170">
        <v>80</v>
      </c>
      <c r="L6" s="171">
        <f t="shared" si="2"/>
        <v>0.10416666666666667</v>
      </c>
      <c r="M6" s="170">
        <v>30</v>
      </c>
      <c r="N6" s="170">
        <v>40</v>
      </c>
      <c r="O6" s="170">
        <v>10</v>
      </c>
      <c r="P6" s="170">
        <v>160</v>
      </c>
      <c r="Q6" s="17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8">
        <v>68</v>
      </c>
      <c r="B7" s="170" t="str">
        <f t="shared" si="0"/>
        <v>0.04, Bed-Disk  (Hipper)  8R-30</v>
      </c>
      <c r="C7" s="135">
        <v>0.04</v>
      </c>
      <c r="D7" s="131" t="s">
        <v>440</v>
      </c>
      <c r="E7" s="131" t="s">
        <v>458</v>
      </c>
      <c r="F7" s="131" t="s">
        <v>25</v>
      </c>
      <c r="G7" s="131" t="str">
        <f t="shared" si="1"/>
        <v>Bed-Disk  (Hipper)  8R-30</v>
      </c>
      <c r="H7" s="244">
        <v>32600</v>
      </c>
      <c r="I7" s="170">
        <v>20</v>
      </c>
      <c r="J7" s="170">
        <v>5.5</v>
      </c>
      <c r="K7" s="170">
        <v>80</v>
      </c>
      <c r="L7" s="171">
        <f t="shared" si="2"/>
        <v>9.375E-2</v>
      </c>
      <c r="M7" s="170">
        <v>30</v>
      </c>
      <c r="N7" s="170">
        <v>40</v>
      </c>
      <c r="O7" s="170">
        <v>10</v>
      </c>
      <c r="P7" s="170">
        <v>160</v>
      </c>
      <c r="Q7" s="17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8">
        <v>298</v>
      </c>
      <c r="B8" s="170" t="str">
        <f t="shared" si="0"/>
        <v>0.06, Bed-Disk  (Hipper) 12R-30</v>
      </c>
      <c r="C8" s="135">
        <v>0.06</v>
      </c>
      <c r="D8" s="131" t="s">
        <v>440</v>
      </c>
      <c r="E8" s="131" t="s">
        <v>458</v>
      </c>
      <c r="F8" s="131" t="s">
        <v>6</v>
      </c>
      <c r="G8" s="131" t="str">
        <f t="shared" si="1"/>
        <v>Bed-Disk  (Hipper) 12R-30</v>
      </c>
      <c r="H8" s="244">
        <v>87500</v>
      </c>
      <c r="I8" s="170">
        <v>30</v>
      </c>
      <c r="J8" s="170">
        <v>5.5</v>
      </c>
      <c r="K8" s="170">
        <v>80</v>
      </c>
      <c r="L8" s="171">
        <f t="shared" si="2"/>
        <v>6.25E-2</v>
      </c>
      <c r="M8" s="170">
        <v>30</v>
      </c>
      <c r="N8" s="170">
        <v>40</v>
      </c>
      <c r="O8" s="170">
        <v>10</v>
      </c>
      <c r="P8" s="170">
        <v>160</v>
      </c>
      <c r="Q8" s="17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8">
        <v>240</v>
      </c>
      <c r="B9" s="170" t="str">
        <f t="shared" si="0"/>
        <v>0.08, Bed-Disk  (Hipper)  8R-36 2x1</v>
      </c>
      <c r="C9" s="135">
        <v>0.08</v>
      </c>
      <c r="D9" s="131" t="s">
        <v>440</v>
      </c>
      <c r="E9" s="131" t="s">
        <v>458</v>
      </c>
      <c r="F9" s="131" t="s">
        <v>197</v>
      </c>
      <c r="G9" s="131" t="str">
        <f t="shared" si="1"/>
        <v>Bed-Disk  (Hipper)  8R-36 2x1</v>
      </c>
      <c r="H9" s="244">
        <v>114000</v>
      </c>
      <c r="I9" s="170">
        <v>36</v>
      </c>
      <c r="J9" s="170">
        <v>5.5</v>
      </c>
      <c r="K9" s="170">
        <v>80</v>
      </c>
      <c r="L9" s="171">
        <f t="shared" si="2"/>
        <v>5.2083333333333336E-2</v>
      </c>
      <c r="M9" s="170">
        <v>30</v>
      </c>
      <c r="N9" s="170">
        <v>40</v>
      </c>
      <c r="O9" s="170">
        <v>10</v>
      </c>
      <c r="P9" s="170">
        <v>160</v>
      </c>
      <c r="Q9" s="17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8">
        <v>241</v>
      </c>
      <c r="B10" s="170" t="str">
        <f t="shared" si="0"/>
        <v>0.09, Bed-Disk  (Hipper) 12R-36</v>
      </c>
      <c r="C10" s="135">
        <v>0.09</v>
      </c>
      <c r="D10" s="131" t="s">
        <v>440</v>
      </c>
      <c r="E10" s="131" t="s">
        <v>458</v>
      </c>
      <c r="F10" s="131" t="s">
        <v>194</v>
      </c>
      <c r="G10" s="131" t="str">
        <f t="shared" si="1"/>
        <v>Bed-Disk  (Hipper) 12R-36</v>
      </c>
      <c r="H10" s="244">
        <v>114000</v>
      </c>
      <c r="I10" s="170">
        <v>36</v>
      </c>
      <c r="J10" s="170">
        <v>5.5</v>
      </c>
      <c r="K10" s="170">
        <v>80</v>
      </c>
      <c r="L10" s="171">
        <f t="shared" si="2"/>
        <v>5.2083333333333336E-2</v>
      </c>
      <c r="M10" s="170">
        <v>30</v>
      </c>
      <c r="N10" s="170">
        <v>40</v>
      </c>
      <c r="O10" s="170">
        <v>10</v>
      </c>
      <c r="P10" s="170">
        <v>160</v>
      </c>
      <c r="Q10" s="17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8">
        <v>411</v>
      </c>
      <c r="B11" s="170" t="str">
        <f t="shared" si="0"/>
        <v>0.1, Bed-Disk  (Hipper) Fl  8R-36</v>
      </c>
      <c r="C11" s="135">
        <v>0.1</v>
      </c>
      <c r="D11" s="131" t="s">
        <v>440</v>
      </c>
      <c r="E11" s="131" t="s">
        <v>459</v>
      </c>
      <c r="F11" s="131" t="s">
        <v>193</v>
      </c>
      <c r="G11" s="131" t="str">
        <f t="shared" si="1"/>
        <v>Bed-Disk  (Hipper) Fl  8R-36</v>
      </c>
      <c r="H11" s="244">
        <v>45800</v>
      </c>
      <c r="I11" s="170">
        <v>24</v>
      </c>
      <c r="J11" s="170">
        <v>5.5</v>
      </c>
      <c r="K11" s="170">
        <v>80</v>
      </c>
      <c r="L11" s="171">
        <f t="shared" si="2"/>
        <v>7.8125E-2</v>
      </c>
      <c r="M11" s="170">
        <v>30</v>
      </c>
      <c r="N11" s="170">
        <v>40</v>
      </c>
      <c r="O11" s="170">
        <v>10</v>
      </c>
      <c r="P11" s="170">
        <v>160</v>
      </c>
      <c r="Q11" s="17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8">
        <v>69</v>
      </c>
      <c r="B12" s="170" t="str">
        <f t="shared" si="0"/>
        <v>0.11, Bed-Disk  (Hipper) Rd  8R-36</v>
      </c>
      <c r="C12" s="135">
        <v>0.11</v>
      </c>
      <c r="D12" s="131" t="s">
        <v>440</v>
      </c>
      <c r="E12" s="131" t="s">
        <v>460</v>
      </c>
      <c r="F12" s="131" t="s">
        <v>193</v>
      </c>
      <c r="G12" s="131" t="str">
        <f t="shared" si="1"/>
        <v>Bed-Disk  (Hipper) Rd  8R-36</v>
      </c>
      <c r="H12" s="244">
        <v>33800</v>
      </c>
      <c r="I12" s="170">
        <v>24</v>
      </c>
      <c r="J12" s="170">
        <v>5.5</v>
      </c>
      <c r="K12" s="170">
        <v>80</v>
      </c>
      <c r="L12" s="171">
        <f t="shared" si="2"/>
        <v>7.8125E-2</v>
      </c>
      <c r="M12" s="170">
        <v>30</v>
      </c>
      <c r="N12" s="170">
        <v>40</v>
      </c>
      <c r="O12" s="170">
        <v>10</v>
      </c>
      <c r="P12" s="170">
        <v>160</v>
      </c>
      <c r="Q12" s="17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8">
        <v>611</v>
      </c>
      <c r="B13" s="170" t="str">
        <f t="shared" si="0"/>
        <v>0.12, Bed-Disk  w/roller 8R-30</v>
      </c>
      <c r="C13" s="135">
        <v>0.12</v>
      </c>
      <c r="D13" s="131" t="s">
        <v>440</v>
      </c>
      <c r="E13" s="131" t="s">
        <v>456</v>
      </c>
      <c r="F13" s="131" t="s">
        <v>25</v>
      </c>
      <c r="G13" s="131" t="str">
        <f t="shared" si="1"/>
        <v>Bed-Disk  w/roller 8R-30</v>
      </c>
      <c r="H13" s="244">
        <v>59900</v>
      </c>
      <c r="I13" s="170">
        <v>20</v>
      </c>
      <c r="J13" s="170">
        <v>5.5</v>
      </c>
      <c r="K13" s="170">
        <v>80</v>
      </c>
      <c r="L13" s="171">
        <f t="shared" si="2"/>
        <v>9.375E-2</v>
      </c>
      <c r="M13" s="170">
        <v>30</v>
      </c>
      <c r="N13" s="170">
        <v>40</v>
      </c>
      <c r="O13" s="170">
        <v>10</v>
      </c>
      <c r="P13" s="170">
        <v>160</v>
      </c>
      <c r="Q13" s="17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8">
        <v>732</v>
      </c>
      <c r="B14" s="170" t="str">
        <f t="shared" si="0"/>
        <v>0.13, Bed-Disk  w/roller 8R-36</v>
      </c>
      <c r="C14" s="135">
        <v>0.13</v>
      </c>
      <c r="D14" s="131" t="s">
        <v>440</v>
      </c>
      <c r="E14" s="131" t="s">
        <v>456</v>
      </c>
      <c r="F14" s="131" t="s">
        <v>193</v>
      </c>
      <c r="G14" s="131" t="str">
        <f t="shared" si="1"/>
        <v>Bed-Disk  w/roller 8R-36</v>
      </c>
      <c r="H14" s="244">
        <v>68500</v>
      </c>
      <c r="I14" s="170">
        <v>24</v>
      </c>
      <c r="J14" s="170">
        <v>5.5</v>
      </c>
      <c r="K14" s="170">
        <v>80</v>
      </c>
      <c r="L14" s="171">
        <f t="shared" si="2"/>
        <v>7.8125E-2</v>
      </c>
      <c r="M14" s="170">
        <v>30</v>
      </c>
      <c r="N14" s="170">
        <v>40</v>
      </c>
      <c r="O14" s="170">
        <v>10</v>
      </c>
      <c r="P14" s="170">
        <v>160</v>
      </c>
      <c r="Q14" s="17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8">
        <v>301</v>
      </c>
      <c r="B15" s="170" t="str">
        <f t="shared" si="0"/>
        <v>0.14, Bed-Disk  w/roller 12R-30</v>
      </c>
      <c r="C15" s="135">
        <v>0.14000000000000001</v>
      </c>
      <c r="D15" s="131" t="s">
        <v>440</v>
      </c>
      <c r="E15" s="131" t="s">
        <v>456</v>
      </c>
      <c r="F15" s="131" t="s">
        <v>457</v>
      </c>
      <c r="G15" s="131" t="str">
        <f t="shared" si="1"/>
        <v>Bed-Disk  w/roller 12R-30</v>
      </c>
      <c r="H15" s="244">
        <v>113000</v>
      </c>
      <c r="I15" s="170">
        <v>30</v>
      </c>
      <c r="J15" s="170">
        <v>5.5</v>
      </c>
      <c r="K15" s="170">
        <v>80</v>
      </c>
      <c r="L15" s="171">
        <f t="shared" si="2"/>
        <v>6.25E-2</v>
      </c>
      <c r="M15" s="170">
        <v>30</v>
      </c>
      <c r="N15" s="170">
        <v>40</v>
      </c>
      <c r="O15" s="170">
        <v>10</v>
      </c>
      <c r="P15" s="170">
        <v>160</v>
      </c>
      <c r="Q15" s="17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8">
        <v>594</v>
      </c>
      <c r="B16" s="170" t="str">
        <f t="shared" si="0"/>
        <v>0.15, Bed/Lister  4R-36</v>
      </c>
      <c r="C16" s="135">
        <v>0.15</v>
      </c>
      <c r="D16" s="131" t="s">
        <v>440</v>
      </c>
      <c r="E16" s="131" t="s">
        <v>521</v>
      </c>
      <c r="F16" s="131" t="s">
        <v>195</v>
      </c>
      <c r="G16" s="131" t="str">
        <f t="shared" si="1"/>
        <v>Bed/Lister  4R-36</v>
      </c>
      <c r="H16" s="244">
        <v>31900</v>
      </c>
      <c r="I16" s="170">
        <v>10</v>
      </c>
      <c r="J16" s="170">
        <v>4.25</v>
      </c>
      <c r="K16" s="170">
        <v>85</v>
      </c>
      <c r="L16" s="171">
        <f t="shared" si="2"/>
        <v>0.22837370242214533</v>
      </c>
      <c r="M16" s="170">
        <v>35</v>
      </c>
      <c r="N16" s="170">
        <v>30</v>
      </c>
      <c r="O16" s="170">
        <v>8</v>
      </c>
      <c r="P16" s="170">
        <v>160</v>
      </c>
      <c r="Q16" s="17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8">
        <v>119</v>
      </c>
      <c r="B17" s="170" t="str">
        <f t="shared" si="0"/>
        <v>0.16, Bed/Lister  6R-36</v>
      </c>
      <c r="C17" s="135">
        <v>0.16</v>
      </c>
      <c r="D17" s="131" t="s">
        <v>440</v>
      </c>
      <c r="E17" s="131" t="s">
        <v>521</v>
      </c>
      <c r="F17" s="131" t="s">
        <v>196</v>
      </c>
      <c r="G17" s="131" t="str">
        <f t="shared" si="1"/>
        <v>Bed/Lister  6R-36</v>
      </c>
      <c r="H17" s="244">
        <v>36000</v>
      </c>
      <c r="I17" s="170">
        <v>18</v>
      </c>
      <c r="J17" s="170">
        <v>4.25</v>
      </c>
      <c r="K17" s="170">
        <v>85</v>
      </c>
      <c r="L17" s="171">
        <f t="shared" si="2"/>
        <v>0.12687427912341406</v>
      </c>
      <c r="M17" s="170">
        <v>35</v>
      </c>
      <c r="N17" s="170">
        <v>30</v>
      </c>
      <c r="O17" s="170">
        <v>8</v>
      </c>
      <c r="P17" s="170">
        <v>160</v>
      </c>
      <c r="Q17" s="17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8">
        <v>120</v>
      </c>
      <c r="B18" s="170" t="str">
        <f t="shared" si="0"/>
        <v>0.17, Bed/Lister  8R-30</v>
      </c>
      <c r="C18" s="135">
        <v>0.17</v>
      </c>
      <c r="D18" s="131" t="s">
        <v>440</v>
      </c>
      <c r="E18" s="131" t="s">
        <v>521</v>
      </c>
      <c r="F18" s="131" t="s">
        <v>25</v>
      </c>
      <c r="G18" s="131" t="str">
        <f t="shared" si="1"/>
        <v>Bed/Lister  8R-30</v>
      </c>
      <c r="H18" s="244">
        <v>48300</v>
      </c>
      <c r="I18" s="170">
        <v>20</v>
      </c>
      <c r="J18" s="170">
        <v>4.25</v>
      </c>
      <c r="K18" s="170">
        <v>85</v>
      </c>
      <c r="L18" s="171">
        <f t="shared" si="2"/>
        <v>0.11418685121107267</v>
      </c>
      <c r="M18" s="170">
        <v>35</v>
      </c>
      <c r="N18" s="170">
        <v>30</v>
      </c>
      <c r="O18" s="170">
        <v>8</v>
      </c>
      <c r="P18" s="170">
        <v>160</v>
      </c>
      <c r="Q18" s="17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8">
        <v>121</v>
      </c>
      <c r="B19" s="170" t="str">
        <f t="shared" si="0"/>
        <v>0.18, Bed/Lister  8R-36</v>
      </c>
      <c r="C19" s="135">
        <v>0.18</v>
      </c>
      <c r="D19" s="131" t="s">
        <v>440</v>
      </c>
      <c r="E19" s="131" t="s">
        <v>521</v>
      </c>
      <c r="F19" s="131" t="s">
        <v>193</v>
      </c>
      <c r="G19" s="131" t="str">
        <f t="shared" si="1"/>
        <v>Bed/Lister  8R-36</v>
      </c>
      <c r="H19" s="244">
        <v>48700</v>
      </c>
      <c r="I19" s="170">
        <v>24</v>
      </c>
      <c r="J19" s="170">
        <v>4.25</v>
      </c>
      <c r="K19" s="170">
        <v>85</v>
      </c>
      <c r="L19" s="171">
        <f t="shared" si="2"/>
        <v>9.5155709342560554E-2</v>
      </c>
      <c r="M19" s="170">
        <v>35</v>
      </c>
      <c r="N19" s="170">
        <v>30</v>
      </c>
      <c r="O19" s="170">
        <v>8</v>
      </c>
      <c r="P19" s="170">
        <v>160</v>
      </c>
      <c r="Q19" s="17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8">
        <v>246</v>
      </c>
      <c r="B20" s="170" t="str">
        <f t="shared" si="0"/>
        <v>0.19, Bed/Lister  8R-36 2x1</v>
      </c>
      <c r="C20" s="135">
        <v>0.19</v>
      </c>
      <c r="D20" s="131" t="s">
        <v>440</v>
      </c>
      <c r="E20" s="131" t="s">
        <v>521</v>
      </c>
      <c r="F20" s="131" t="s">
        <v>197</v>
      </c>
      <c r="G20" s="131" t="str">
        <f t="shared" si="1"/>
        <v>Bed/Lister  8R-36 2x1</v>
      </c>
      <c r="H20" s="244">
        <v>81500</v>
      </c>
      <c r="I20" s="170">
        <v>36</v>
      </c>
      <c r="J20" s="170">
        <v>4.25</v>
      </c>
      <c r="K20" s="170">
        <v>85</v>
      </c>
      <c r="L20" s="171">
        <f t="shared" si="2"/>
        <v>6.3437139561707032E-2</v>
      </c>
      <c r="M20" s="170">
        <v>35</v>
      </c>
      <c r="N20" s="170">
        <v>30</v>
      </c>
      <c r="O20" s="170">
        <v>8</v>
      </c>
      <c r="P20" s="170">
        <v>160</v>
      </c>
      <c r="Q20" s="17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8">
        <v>247</v>
      </c>
      <c r="B21" s="170" t="str">
        <f t="shared" si="0"/>
        <v>0.22, Bed/Lister 12R-36</v>
      </c>
      <c r="C21" s="135">
        <v>0.22</v>
      </c>
      <c r="D21" s="131" t="s">
        <v>440</v>
      </c>
      <c r="E21" s="131" t="s">
        <v>521</v>
      </c>
      <c r="F21" s="131" t="s">
        <v>194</v>
      </c>
      <c r="G21" s="131" t="str">
        <f t="shared" si="1"/>
        <v>Bed/Lister 12R-36</v>
      </c>
      <c r="H21" s="244">
        <v>81500</v>
      </c>
      <c r="I21" s="170">
        <v>36</v>
      </c>
      <c r="J21" s="170">
        <v>4.25</v>
      </c>
      <c r="K21" s="170">
        <v>85</v>
      </c>
      <c r="L21" s="171">
        <f t="shared" si="2"/>
        <v>6.3437139561707032E-2</v>
      </c>
      <c r="M21" s="170">
        <v>35</v>
      </c>
      <c r="N21" s="170">
        <v>30</v>
      </c>
      <c r="O21" s="170">
        <v>8</v>
      </c>
      <c r="P21" s="170">
        <v>160</v>
      </c>
      <c r="Q21" s="17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8"/>
      <c r="B22" s="170" t="str">
        <f t="shared" si="0"/>
        <v>0.221, Bed/Lister -Roll-Fo 8R-36</v>
      </c>
      <c r="C22" s="135">
        <v>0.221</v>
      </c>
      <c r="D22" s="131" t="s">
        <v>440</v>
      </c>
      <c r="E22" s="131" t="s">
        <v>522</v>
      </c>
      <c r="F22" s="131" t="s">
        <v>199</v>
      </c>
      <c r="G22" s="131" t="str">
        <f t="shared" si="1"/>
        <v>Bed/Lister -Roll-Fo 8R-36</v>
      </c>
      <c r="H22" s="244">
        <v>31400</v>
      </c>
      <c r="I22" s="170">
        <v>24</v>
      </c>
      <c r="J22" s="170">
        <v>4.25</v>
      </c>
      <c r="K22" s="170">
        <v>80</v>
      </c>
      <c r="L22" s="171">
        <f t="shared" si="2"/>
        <v>0.1011029411764706</v>
      </c>
      <c r="M22" s="170">
        <v>30</v>
      </c>
      <c r="N22" s="170">
        <v>40</v>
      </c>
      <c r="O22" s="170">
        <v>10</v>
      </c>
      <c r="P22" s="170">
        <v>160</v>
      </c>
      <c r="Q22" s="17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8"/>
      <c r="B23" s="170" t="str">
        <f t="shared" si="0"/>
        <v>0.222, Bed/Lister -Roll-Fo 12R-30</v>
      </c>
      <c r="C23" s="135">
        <v>0.222</v>
      </c>
      <c r="D23" s="131" t="s">
        <v>440</v>
      </c>
      <c r="E23" s="131" t="s">
        <v>522</v>
      </c>
      <c r="F23" s="131" t="s">
        <v>6</v>
      </c>
      <c r="G23" s="131" t="str">
        <f t="shared" si="1"/>
        <v>Bed/Lister -Roll-Fo 12R-30</v>
      </c>
      <c r="H23" s="244">
        <v>65100</v>
      </c>
      <c r="I23" s="170">
        <v>30</v>
      </c>
      <c r="J23" s="170">
        <v>4.25</v>
      </c>
      <c r="K23" s="170">
        <v>80</v>
      </c>
      <c r="L23" s="171">
        <f t="shared" si="2"/>
        <v>8.0882352941176475E-2</v>
      </c>
      <c r="M23" s="170">
        <v>30</v>
      </c>
      <c r="N23" s="170">
        <v>40</v>
      </c>
      <c r="O23" s="170">
        <v>10</v>
      </c>
      <c r="P23" s="170">
        <v>160</v>
      </c>
      <c r="Q23" s="17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8"/>
      <c r="B24" s="170" t="str">
        <f t="shared" si="0"/>
        <v>0.223, Bed/Lister -Roll-Fo 12R-36</v>
      </c>
      <c r="C24" s="135">
        <v>0.223</v>
      </c>
      <c r="D24" s="131" t="s">
        <v>440</v>
      </c>
      <c r="E24" s="131" t="s">
        <v>522</v>
      </c>
      <c r="F24" s="131" t="s">
        <v>194</v>
      </c>
      <c r="G24" s="131" t="str">
        <f t="shared" si="1"/>
        <v>Bed/Lister -Roll-Fo 12R-36</v>
      </c>
      <c r="H24" s="244">
        <v>48700</v>
      </c>
      <c r="I24" s="170">
        <v>36</v>
      </c>
      <c r="J24" s="170">
        <v>4.25</v>
      </c>
      <c r="K24" s="170">
        <v>80</v>
      </c>
      <c r="L24" s="171">
        <f t="shared" si="2"/>
        <v>6.7401960784313722E-2</v>
      </c>
      <c r="M24" s="170">
        <v>30</v>
      </c>
      <c r="N24" s="170">
        <v>40</v>
      </c>
      <c r="O24" s="170">
        <v>10</v>
      </c>
      <c r="P24" s="170">
        <v>160</v>
      </c>
      <c r="Q24" s="17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8"/>
      <c r="B25" s="170" t="str">
        <f t="shared" si="0"/>
        <v>0.224, Bed/Lister -Roll-Fo 16R-30</v>
      </c>
      <c r="C25" s="135">
        <v>0.224</v>
      </c>
      <c r="D25" s="131" t="s">
        <v>440</v>
      </c>
      <c r="E25" s="131" t="s">
        <v>522</v>
      </c>
      <c r="F25" s="131" t="s">
        <v>59</v>
      </c>
      <c r="G25" s="131" t="str">
        <f t="shared" si="1"/>
        <v>Bed/Lister -Roll-Fo 16R-30</v>
      </c>
      <c r="H25" s="244">
        <v>61600</v>
      </c>
      <c r="I25" s="170">
        <v>40</v>
      </c>
      <c r="J25" s="170">
        <v>4.25</v>
      </c>
      <c r="K25" s="170">
        <v>80</v>
      </c>
      <c r="L25" s="171">
        <f t="shared" si="2"/>
        <v>6.0661764705882353E-2</v>
      </c>
      <c r="M25" s="170">
        <v>30</v>
      </c>
      <c r="N25" s="170">
        <v>40</v>
      </c>
      <c r="O25" s="170">
        <v>10</v>
      </c>
      <c r="P25" s="170">
        <v>160</v>
      </c>
      <c r="Q25" s="17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8"/>
      <c r="B26" s="170" t="str">
        <f t="shared" si="0"/>
        <v>0.225, Bed/Lister -Roll-Ri8R-36</v>
      </c>
      <c r="C26" s="135">
        <v>0.22500000000000001</v>
      </c>
      <c r="D26" s="131" t="s">
        <v>440</v>
      </c>
      <c r="E26" s="131" t="s">
        <v>523</v>
      </c>
      <c r="F26" s="131" t="s">
        <v>199</v>
      </c>
      <c r="G26" s="131" t="str">
        <f t="shared" si="1"/>
        <v>Bed/Lister -Roll-Ri8R-36</v>
      </c>
      <c r="H26" s="244">
        <v>25000</v>
      </c>
      <c r="I26" s="170">
        <v>24</v>
      </c>
      <c r="J26" s="170">
        <v>4.25</v>
      </c>
      <c r="K26" s="170">
        <v>80</v>
      </c>
      <c r="L26" s="171">
        <f t="shared" si="2"/>
        <v>0.1011029411764706</v>
      </c>
      <c r="M26" s="170">
        <v>30</v>
      </c>
      <c r="N26" s="170">
        <v>40</v>
      </c>
      <c r="O26" s="170">
        <v>10</v>
      </c>
      <c r="P26" s="170">
        <v>160</v>
      </c>
      <c r="Q26" s="17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8">
        <v>416</v>
      </c>
      <c r="B27" s="170" t="str">
        <f t="shared" si="0"/>
        <v>0.23, Bed-Paratill   Fold 8R-36</v>
      </c>
      <c r="C27" s="135">
        <v>0.23</v>
      </c>
      <c r="D27" s="131" t="s">
        <v>440</v>
      </c>
      <c r="E27" s="131" t="s">
        <v>461</v>
      </c>
      <c r="F27" s="131" t="s">
        <v>193</v>
      </c>
      <c r="G27" s="131" t="str">
        <f t="shared" si="1"/>
        <v>Bed-Paratill   Fold 8R-36</v>
      </c>
      <c r="H27" s="245">
        <v>54400</v>
      </c>
      <c r="I27" s="170">
        <v>24</v>
      </c>
      <c r="J27" s="170">
        <v>4.75</v>
      </c>
      <c r="K27" s="170">
        <v>85</v>
      </c>
      <c r="L27" s="171">
        <f t="shared" si="2"/>
        <v>8.5139318885448914E-2</v>
      </c>
      <c r="M27" s="170">
        <v>30</v>
      </c>
      <c r="N27" s="170">
        <v>65</v>
      </c>
      <c r="O27" s="170">
        <v>12</v>
      </c>
      <c r="P27" s="170">
        <v>150</v>
      </c>
      <c r="Q27" s="17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8">
        <v>610</v>
      </c>
      <c r="B28" s="170" t="str">
        <f t="shared" si="0"/>
        <v>0.24, Bed-Paratill   Fold10R-30</v>
      </c>
      <c r="C28" s="135">
        <v>0.24</v>
      </c>
      <c r="D28" s="131" t="s">
        <v>440</v>
      </c>
      <c r="E28" s="131" t="s">
        <v>461</v>
      </c>
      <c r="F28" s="131" t="s">
        <v>24</v>
      </c>
      <c r="G28" s="131" t="str">
        <f t="shared" si="1"/>
        <v>Bed-Paratill   Fold10R-30</v>
      </c>
      <c r="H28" s="245">
        <v>63929.774999999994</v>
      </c>
      <c r="I28" s="170">
        <v>25</v>
      </c>
      <c r="J28" s="170">
        <v>4.75</v>
      </c>
      <c r="K28" s="170">
        <v>85</v>
      </c>
      <c r="L28" s="171">
        <f t="shared" si="2"/>
        <v>8.1733746130030968E-2</v>
      </c>
      <c r="M28" s="170">
        <v>30</v>
      </c>
      <c r="N28" s="170">
        <v>65</v>
      </c>
      <c r="O28" s="170">
        <v>12</v>
      </c>
      <c r="P28" s="170">
        <v>150</v>
      </c>
      <c r="Q28" s="17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8">
        <v>486</v>
      </c>
      <c r="B29" s="170" t="str">
        <f t="shared" si="0"/>
        <v>0.25, Bed-Paratill   Fold 8R-36 2x1</v>
      </c>
      <c r="C29" s="135">
        <v>0.25</v>
      </c>
      <c r="D29" s="131" t="s">
        <v>440</v>
      </c>
      <c r="E29" s="131" t="s">
        <v>461</v>
      </c>
      <c r="F29" s="131" t="s">
        <v>197</v>
      </c>
      <c r="G29" s="131" t="str">
        <f t="shared" si="1"/>
        <v>Bed-Paratill   Fold 8R-36 2x1</v>
      </c>
      <c r="H29" s="245">
        <v>69100</v>
      </c>
      <c r="I29" s="170">
        <v>36</v>
      </c>
      <c r="J29" s="170">
        <v>4.75</v>
      </c>
      <c r="K29" s="170">
        <v>85</v>
      </c>
      <c r="L29" s="171">
        <f t="shared" si="2"/>
        <v>5.6759545923632616E-2</v>
      </c>
      <c r="M29" s="170">
        <v>30</v>
      </c>
      <c r="N29" s="170">
        <v>65</v>
      </c>
      <c r="O29" s="170">
        <v>12</v>
      </c>
      <c r="P29" s="170">
        <v>150</v>
      </c>
      <c r="Q29" s="17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8">
        <v>417</v>
      </c>
      <c r="B30" s="170" t="str">
        <f t="shared" si="0"/>
        <v>0.26, Bed-Paratill   Fold12R-36</v>
      </c>
      <c r="C30" s="135">
        <v>0.26</v>
      </c>
      <c r="D30" s="131" t="s">
        <v>440</v>
      </c>
      <c r="E30" s="131" t="s">
        <v>461</v>
      </c>
      <c r="F30" s="131" t="s">
        <v>194</v>
      </c>
      <c r="G30" s="131" t="str">
        <f t="shared" si="1"/>
        <v>Bed-Paratill   Fold12R-36</v>
      </c>
      <c r="H30" s="245">
        <v>69100</v>
      </c>
      <c r="I30" s="170">
        <v>36</v>
      </c>
      <c r="J30" s="170">
        <v>4.75</v>
      </c>
      <c r="K30" s="170">
        <v>85</v>
      </c>
      <c r="L30" s="171">
        <f t="shared" si="2"/>
        <v>5.6759545923632616E-2</v>
      </c>
      <c r="M30" s="170">
        <v>30</v>
      </c>
      <c r="N30" s="170">
        <v>65</v>
      </c>
      <c r="O30" s="170">
        <v>12</v>
      </c>
      <c r="P30" s="170">
        <v>150</v>
      </c>
      <c r="Q30" s="17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8">
        <v>409</v>
      </c>
      <c r="B31" s="170" t="str">
        <f t="shared" si="0"/>
        <v>0.27, Bed-Paratill   Rigid 4R-30</v>
      </c>
      <c r="C31" s="135">
        <v>0.27</v>
      </c>
      <c r="D31" s="131" t="s">
        <v>440</v>
      </c>
      <c r="E31" s="131" t="s">
        <v>462</v>
      </c>
      <c r="F31" s="131" t="s">
        <v>48</v>
      </c>
      <c r="G31" s="131" t="str">
        <f t="shared" si="1"/>
        <v>Bed-Paratill   Rigid 4R-30</v>
      </c>
      <c r="H31" s="245">
        <v>18100</v>
      </c>
      <c r="I31" s="170">
        <v>10</v>
      </c>
      <c r="J31" s="170">
        <v>4.75</v>
      </c>
      <c r="K31" s="170">
        <v>85</v>
      </c>
      <c r="L31" s="171">
        <f t="shared" si="2"/>
        <v>0.20433436532507743</v>
      </c>
      <c r="M31" s="170">
        <v>30</v>
      </c>
      <c r="N31" s="170">
        <v>65</v>
      </c>
      <c r="O31" s="170">
        <v>12</v>
      </c>
      <c r="P31" s="170">
        <v>150</v>
      </c>
      <c r="Q31" s="17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8">
        <v>142</v>
      </c>
      <c r="B32" s="170" t="str">
        <f t="shared" si="0"/>
        <v>0.28, Bed-Paratill   Rigid 4R-36</v>
      </c>
      <c r="C32" s="135">
        <v>0.28000000000000003</v>
      </c>
      <c r="D32" s="131" t="s">
        <v>440</v>
      </c>
      <c r="E32" s="131" t="s">
        <v>462</v>
      </c>
      <c r="F32" s="131" t="s">
        <v>195</v>
      </c>
      <c r="G32" s="131" t="str">
        <f t="shared" si="1"/>
        <v>Bed-Paratill   Rigid 4R-36</v>
      </c>
      <c r="H32" s="245">
        <v>19000</v>
      </c>
      <c r="I32" s="170">
        <v>12</v>
      </c>
      <c r="J32" s="170">
        <v>4.75</v>
      </c>
      <c r="K32" s="170">
        <v>85</v>
      </c>
      <c r="L32" s="171">
        <f t="shared" si="2"/>
        <v>0.17027863777089783</v>
      </c>
      <c r="M32" s="170">
        <v>30</v>
      </c>
      <c r="N32" s="170">
        <v>65</v>
      </c>
      <c r="O32" s="170">
        <v>12</v>
      </c>
      <c r="P32" s="170">
        <v>150</v>
      </c>
      <c r="Q32" s="17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8">
        <v>258</v>
      </c>
      <c r="B33" s="170" t="str">
        <f t="shared" si="0"/>
        <v>0.3, Bed-Paratill   Rigid 6R-36</v>
      </c>
      <c r="C33" s="135">
        <v>0.3</v>
      </c>
      <c r="D33" s="131" t="s">
        <v>440</v>
      </c>
      <c r="E33" s="131" t="s">
        <v>462</v>
      </c>
      <c r="F33" s="131" t="s">
        <v>196</v>
      </c>
      <c r="G33" s="131" t="str">
        <f t="shared" si="1"/>
        <v>Bed-Paratill   Rigid 6R-36</v>
      </c>
      <c r="H33" s="245">
        <v>20400</v>
      </c>
      <c r="I33" s="170">
        <v>18</v>
      </c>
      <c r="J33" s="170">
        <v>4.75</v>
      </c>
      <c r="K33" s="170">
        <v>85</v>
      </c>
      <c r="L33" s="171">
        <f t="shared" si="2"/>
        <v>0.11351909184726523</v>
      </c>
      <c r="M33" s="170">
        <v>30</v>
      </c>
      <c r="N33" s="170">
        <v>65</v>
      </c>
      <c r="O33" s="170">
        <v>12</v>
      </c>
      <c r="P33" s="170">
        <v>150</v>
      </c>
      <c r="Q33" s="17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8">
        <v>414</v>
      </c>
      <c r="B34" s="170" t="str">
        <f t="shared" si="0"/>
        <v>0.31, Bed-Paratill   Rigid 8R-30</v>
      </c>
      <c r="C34" s="135">
        <v>0.31</v>
      </c>
      <c r="D34" s="131" t="s">
        <v>440</v>
      </c>
      <c r="E34" s="131" t="s">
        <v>462</v>
      </c>
      <c r="F34" s="131" t="s">
        <v>25</v>
      </c>
      <c r="G34" s="131" t="str">
        <f t="shared" si="1"/>
        <v>Bed-Paratill   Rigid 8R-30</v>
      </c>
      <c r="H34" s="245">
        <v>24900</v>
      </c>
      <c r="I34" s="170">
        <v>20</v>
      </c>
      <c r="J34" s="170">
        <v>4.75</v>
      </c>
      <c r="K34" s="170">
        <v>85</v>
      </c>
      <c r="L34" s="171">
        <f t="shared" si="2"/>
        <v>0.10216718266253871</v>
      </c>
      <c r="M34" s="170">
        <v>30</v>
      </c>
      <c r="N34" s="170">
        <v>65</v>
      </c>
      <c r="O34" s="170">
        <v>12</v>
      </c>
      <c r="P34" s="170">
        <v>150</v>
      </c>
      <c r="Q34" s="17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8">
        <v>415</v>
      </c>
      <c r="B35" s="170" t="str">
        <f t="shared" si="0"/>
        <v>0.32, Bed-Paratill   Rigid 8R-36</v>
      </c>
      <c r="C35" s="135">
        <v>0.32</v>
      </c>
      <c r="D35" s="131" t="s">
        <v>440</v>
      </c>
      <c r="E35" s="131" t="s">
        <v>462</v>
      </c>
      <c r="F35" s="131" t="s">
        <v>193</v>
      </c>
      <c r="G35" s="131" t="str">
        <f t="shared" si="1"/>
        <v>Bed-Paratill   Rigid 8R-36</v>
      </c>
      <c r="H35" s="245">
        <v>25000</v>
      </c>
      <c r="I35" s="170">
        <v>24</v>
      </c>
      <c r="J35" s="170">
        <v>4.75</v>
      </c>
      <c r="K35" s="170">
        <v>85</v>
      </c>
      <c r="L35" s="171">
        <f t="shared" si="2"/>
        <v>8.5139318885448914E-2</v>
      </c>
      <c r="M35" s="170">
        <v>30</v>
      </c>
      <c r="N35" s="170">
        <v>65</v>
      </c>
      <c r="O35" s="170">
        <v>12</v>
      </c>
      <c r="P35" s="170">
        <v>150</v>
      </c>
      <c r="Q35" s="17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8">
        <v>401</v>
      </c>
      <c r="B36" s="170" t="str">
        <f t="shared" si="0"/>
        <v>0.34, Bed-Paratill  w/roll 4R-30</v>
      </c>
      <c r="C36" s="135">
        <v>0.34</v>
      </c>
      <c r="D36" s="131" t="s">
        <v>440</v>
      </c>
      <c r="E36" s="131" t="s">
        <v>470</v>
      </c>
      <c r="F36" s="131" t="s">
        <v>0</v>
      </c>
      <c r="G36" s="131" t="str">
        <f t="shared" si="1"/>
        <v>Bed-Paratill  w/roll 4R-30</v>
      </c>
      <c r="H36" s="244">
        <v>27800</v>
      </c>
      <c r="I36" s="170">
        <v>10</v>
      </c>
      <c r="J36" s="170">
        <v>4.75</v>
      </c>
      <c r="K36" s="170">
        <v>85</v>
      </c>
      <c r="L36" s="171">
        <f t="shared" si="2"/>
        <v>0.20433436532507743</v>
      </c>
      <c r="M36" s="170">
        <v>30</v>
      </c>
      <c r="N36" s="170">
        <v>65</v>
      </c>
      <c r="O36" s="170">
        <v>12</v>
      </c>
      <c r="P36" s="170">
        <v>150</v>
      </c>
      <c r="Q36" s="17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8">
        <v>290</v>
      </c>
      <c r="B37" s="170" t="str">
        <f t="shared" si="0"/>
        <v>0.35, Bed-Paratill  w/roll 4R-36</v>
      </c>
      <c r="C37" s="135">
        <v>0.35</v>
      </c>
      <c r="D37" s="131" t="s">
        <v>440</v>
      </c>
      <c r="E37" s="131" t="s">
        <v>470</v>
      </c>
      <c r="F37" s="131" t="s">
        <v>73</v>
      </c>
      <c r="G37" s="131" t="str">
        <f t="shared" si="1"/>
        <v>Bed-Paratill  w/roll 4R-36</v>
      </c>
      <c r="H37" s="244">
        <v>27800</v>
      </c>
      <c r="I37" s="170">
        <v>12</v>
      </c>
      <c r="J37" s="170">
        <v>4.75</v>
      </c>
      <c r="K37" s="170">
        <v>85</v>
      </c>
      <c r="L37" s="171">
        <f t="shared" si="2"/>
        <v>0.17027863777089783</v>
      </c>
      <c r="M37" s="170">
        <v>30</v>
      </c>
      <c r="N37" s="170">
        <v>65</v>
      </c>
      <c r="O37" s="170">
        <v>12</v>
      </c>
      <c r="P37" s="170">
        <v>150</v>
      </c>
      <c r="Q37" s="17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8">
        <v>289</v>
      </c>
      <c r="B38" s="170" t="str">
        <f t="shared" si="0"/>
        <v>0.36, Bed-Paratill  w/roll 6R-36</v>
      </c>
      <c r="C38" s="135">
        <v>0.36</v>
      </c>
      <c r="D38" s="131" t="s">
        <v>440</v>
      </c>
      <c r="E38" s="131" t="s">
        <v>470</v>
      </c>
      <c r="F38" s="131" t="s">
        <v>200</v>
      </c>
      <c r="G38" s="131" t="str">
        <f t="shared" si="1"/>
        <v>Bed-Paratill  w/roll 6R-36</v>
      </c>
      <c r="H38" s="244">
        <v>38000</v>
      </c>
      <c r="I38" s="170">
        <v>18</v>
      </c>
      <c r="J38" s="170">
        <v>4.75</v>
      </c>
      <c r="K38" s="170">
        <v>85</v>
      </c>
      <c r="L38" s="171">
        <f t="shared" si="2"/>
        <v>0.11351909184726523</v>
      </c>
      <c r="M38" s="170">
        <v>30</v>
      </c>
      <c r="N38" s="170">
        <v>65</v>
      </c>
      <c r="O38" s="170">
        <v>12</v>
      </c>
      <c r="P38" s="170">
        <v>150</v>
      </c>
      <c r="Q38" s="17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8">
        <v>574</v>
      </c>
      <c r="B39" s="170" t="str">
        <f t="shared" si="0"/>
        <v>0.37, Bed-Rip/Disk Fold. 8R-36</v>
      </c>
      <c r="C39" s="135">
        <v>0.37</v>
      </c>
      <c r="D39" s="131" t="s">
        <v>440</v>
      </c>
      <c r="E39" s="131" t="s">
        <v>463</v>
      </c>
      <c r="F39" s="131" t="s">
        <v>193</v>
      </c>
      <c r="G39" s="131" t="str">
        <f t="shared" si="1"/>
        <v>Bed-Rip/Disk Fold. 8R-36</v>
      </c>
      <c r="H39" s="244">
        <v>71000</v>
      </c>
      <c r="I39" s="170">
        <v>24</v>
      </c>
      <c r="J39" s="170">
        <v>5.25</v>
      </c>
      <c r="K39" s="170">
        <v>85</v>
      </c>
      <c r="L39" s="171">
        <f t="shared" si="2"/>
        <v>7.7030812324929962E-2</v>
      </c>
      <c r="M39" s="170">
        <v>30</v>
      </c>
      <c r="N39" s="170">
        <v>30</v>
      </c>
      <c r="O39" s="170">
        <v>20</v>
      </c>
      <c r="P39" s="170">
        <v>300</v>
      </c>
      <c r="Q39" s="17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8">
        <v>622</v>
      </c>
      <c r="B40" s="170" t="str">
        <f t="shared" si="0"/>
        <v>0.38, Bed-Rip/Disk Fold.12R-30</v>
      </c>
      <c r="C40" s="135">
        <v>0.38</v>
      </c>
      <c r="D40" s="131" t="s">
        <v>440</v>
      </c>
      <c r="E40" s="131" t="s">
        <v>463</v>
      </c>
      <c r="F40" s="131" t="s">
        <v>6</v>
      </c>
      <c r="G40" s="131" t="str">
        <f t="shared" si="1"/>
        <v>Bed-Rip/Disk Fold.12R-30</v>
      </c>
      <c r="H40" s="244">
        <v>100200</v>
      </c>
      <c r="I40" s="170">
        <v>30</v>
      </c>
      <c r="J40" s="170">
        <v>5.25</v>
      </c>
      <c r="K40" s="170">
        <v>85</v>
      </c>
      <c r="L40" s="171">
        <f t="shared" si="2"/>
        <v>6.1624649859943981E-2</v>
      </c>
      <c r="M40" s="170">
        <v>30</v>
      </c>
      <c r="N40" s="170">
        <v>30</v>
      </c>
      <c r="O40" s="170">
        <v>20</v>
      </c>
      <c r="P40" s="170">
        <v>300</v>
      </c>
      <c r="Q40" s="17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8">
        <v>571</v>
      </c>
      <c r="B41" s="170" t="str">
        <f t="shared" si="0"/>
        <v>0.39, Bed-Rip/Disk Fold.12R-36</v>
      </c>
      <c r="C41" s="135">
        <v>0.39</v>
      </c>
      <c r="D41" s="131" t="s">
        <v>440</v>
      </c>
      <c r="E41" s="131" t="s">
        <v>463</v>
      </c>
      <c r="F41" s="131" t="s">
        <v>194</v>
      </c>
      <c r="G41" s="131" t="str">
        <f t="shared" si="1"/>
        <v>Bed-Rip/Disk Fold.12R-36</v>
      </c>
      <c r="H41" s="244">
        <v>100200</v>
      </c>
      <c r="I41" s="170">
        <v>40</v>
      </c>
      <c r="J41" s="170">
        <v>5.25</v>
      </c>
      <c r="K41" s="170">
        <v>85</v>
      </c>
      <c r="L41" s="171">
        <f t="shared" si="2"/>
        <v>4.6218487394957986E-2</v>
      </c>
      <c r="M41" s="170">
        <v>30</v>
      </c>
      <c r="N41" s="170">
        <v>30</v>
      </c>
      <c r="O41" s="170">
        <v>20</v>
      </c>
      <c r="P41" s="170">
        <v>300</v>
      </c>
      <c r="Q41" s="17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8">
        <v>607</v>
      </c>
      <c r="B42" s="170" t="str">
        <f t="shared" si="0"/>
        <v>0.4, Bed-Rip/Disk Rigid 4R-30</v>
      </c>
      <c r="C42" s="135">
        <v>0.4</v>
      </c>
      <c r="D42" s="131" t="s">
        <v>440</v>
      </c>
      <c r="E42" s="131" t="s">
        <v>464</v>
      </c>
      <c r="F42" s="131" t="s">
        <v>48</v>
      </c>
      <c r="G42" s="131" t="str">
        <f t="shared" si="1"/>
        <v>Bed-Rip/Disk Rigid 4R-30</v>
      </c>
      <c r="H42" s="244">
        <v>31500</v>
      </c>
      <c r="I42" s="170">
        <v>10</v>
      </c>
      <c r="J42" s="170">
        <v>5.25</v>
      </c>
      <c r="K42" s="170">
        <v>85</v>
      </c>
      <c r="L42" s="171">
        <f t="shared" si="2"/>
        <v>0.18487394957983194</v>
      </c>
      <c r="M42" s="170">
        <v>30</v>
      </c>
      <c r="N42" s="170">
        <v>30</v>
      </c>
      <c r="O42" s="170">
        <v>20</v>
      </c>
      <c r="P42" s="170">
        <v>300</v>
      </c>
      <c r="Q42" s="17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8">
        <v>608</v>
      </c>
      <c r="B43" s="170" t="str">
        <f t="shared" si="0"/>
        <v>0.41, Bed-Rip/Disk Rigid 4R-36</v>
      </c>
      <c r="C43" s="135">
        <v>0.41</v>
      </c>
      <c r="D43" s="131" t="s">
        <v>440</v>
      </c>
      <c r="E43" s="131" t="s">
        <v>464</v>
      </c>
      <c r="F43" s="131" t="s">
        <v>195</v>
      </c>
      <c r="G43" s="131" t="str">
        <f t="shared" si="1"/>
        <v>Bed-Rip/Disk Rigid 4R-36</v>
      </c>
      <c r="H43" s="244">
        <v>31500</v>
      </c>
      <c r="I43" s="170">
        <v>12.6</v>
      </c>
      <c r="J43" s="170">
        <v>5.25</v>
      </c>
      <c r="K43" s="170">
        <v>85</v>
      </c>
      <c r="L43" s="171">
        <f t="shared" si="2"/>
        <v>0.14672535680939044</v>
      </c>
      <c r="M43" s="170">
        <v>30</v>
      </c>
      <c r="N43" s="170">
        <v>30</v>
      </c>
      <c r="O43" s="170">
        <v>20</v>
      </c>
      <c r="P43" s="170">
        <v>300</v>
      </c>
      <c r="Q43" s="17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8">
        <v>573</v>
      </c>
      <c r="B44" s="170" t="str">
        <f t="shared" si="0"/>
        <v>0.42, Bed-Rip/Disk Rigid 8R-30</v>
      </c>
      <c r="C44" s="135">
        <v>0.42</v>
      </c>
      <c r="D44" s="131" t="s">
        <v>440</v>
      </c>
      <c r="E44" s="131" t="s">
        <v>464</v>
      </c>
      <c r="F44" s="131" t="s">
        <v>25</v>
      </c>
      <c r="G44" s="131" t="str">
        <f t="shared" si="1"/>
        <v>Bed-Rip/Disk Rigid 8R-30</v>
      </c>
      <c r="H44" s="244">
        <v>57800</v>
      </c>
      <c r="I44" s="170">
        <v>13.3</v>
      </c>
      <c r="J44" s="170">
        <v>5.25</v>
      </c>
      <c r="K44" s="170">
        <v>85</v>
      </c>
      <c r="L44" s="171">
        <f t="shared" si="2"/>
        <v>0.13900296960889622</v>
      </c>
      <c r="M44" s="170">
        <v>30</v>
      </c>
      <c r="N44" s="170">
        <v>30</v>
      </c>
      <c r="O44" s="170">
        <v>20</v>
      </c>
      <c r="P44" s="170">
        <v>300</v>
      </c>
      <c r="Q44" s="17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8">
        <v>572</v>
      </c>
      <c r="B45" s="170" t="str">
        <f t="shared" si="0"/>
        <v>0.43, Bed-Rip/Disk Rigid 6R-36</v>
      </c>
      <c r="C45" s="135">
        <v>0.43</v>
      </c>
      <c r="D45" s="131" t="s">
        <v>440</v>
      </c>
      <c r="E45" s="131" t="s">
        <v>464</v>
      </c>
      <c r="F45" s="131" t="s">
        <v>196</v>
      </c>
      <c r="G45" s="131" t="str">
        <f t="shared" si="1"/>
        <v>Bed-Rip/Disk Rigid 6R-36</v>
      </c>
      <c r="H45" s="244">
        <v>43600</v>
      </c>
      <c r="I45" s="170">
        <v>18</v>
      </c>
      <c r="J45" s="170">
        <v>5.25</v>
      </c>
      <c r="K45" s="170">
        <v>85</v>
      </c>
      <c r="L45" s="171">
        <f t="shared" si="2"/>
        <v>0.10270774976657329</v>
      </c>
      <c r="M45" s="170">
        <v>30</v>
      </c>
      <c r="N45" s="170">
        <v>30</v>
      </c>
      <c r="O45" s="170">
        <v>20</v>
      </c>
      <c r="P45" s="170">
        <v>300</v>
      </c>
      <c r="Q45" s="17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8">
        <v>623</v>
      </c>
      <c r="B46" s="170" t="str">
        <f t="shared" si="0"/>
        <v>0.44, Bed-Rip/Disk Rigid 8R-36</v>
      </c>
      <c r="C46" s="135">
        <v>0.44</v>
      </c>
      <c r="D46" s="131" t="s">
        <v>440</v>
      </c>
      <c r="E46" s="131" t="s">
        <v>464</v>
      </c>
      <c r="F46" s="131" t="s">
        <v>193</v>
      </c>
      <c r="G46" s="131" t="str">
        <f t="shared" si="1"/>
        <v>Bed-Rip/Disk Rigid 8R-36</v>
      </c>
      <c r="H46" s="244">
        <v>57800</v>
      </c>
      <c r="I46" s="170">
        <v>24</v>
      </c>
      <c r="J46" s="170">
        <v>5.25</v>
      </c>
      <c r="K46" s="170">
        <v>85</v>
      </c>
      <c r="L46" s="171">
        <f t="shared" si="2"/>
        <v>7.7030812324929962E-2</v>
      </c>
      <c r="M46" s="170">
        <v>30</v>
      </c>
      <c r="N46" s="170">
        <v>30</v>
      </c>
      <c r="O46" s="170">
        <v>20</v>
      </c>
      <c r="P46" s="170">
        <v>300</v>
      </c>
      <c r="Q46" s="17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8">
        <v>624</v>
      </c>
      <c r="B47" s="170" t="str">
        <f t="shared" si="0"/>
        <v>0.45, Bed-Rip/Disk Rigid 6R-30</v>
      </c>
      <c r="C47" s="135">
        <v>0.45</v>
      </c>
      <c r="D47" s="131" t="s">
        <v>440</v>
      </c>
      <c r="E47" s="131" t="s">
        <v>465</v>
      </c>
      <c r="F47" s="131" t="s">
        <v>47</v>
      </c>
      <c r="G47" s="131" t="str">
        <f t="shared" si="1"/>
        <v>Bed-Rip/Disk Rigid 6R-30</v>
      </c>
      <c r="H47" s="244">
        <v>43600</v>
      </c>
      <c r="I47" s="170">
        <v>15</v>
      </c>
      <c r="J47" s="170">
        <v>5.25</v>
      </c>
      <c r="K47" s="170">
        <v>85</v>
      </c>
      <c r="L47" s="171">
        <f t="shared" si="2"/>
        <v>0.12324929971988796</v>
      </c>
      <c r="M47" s="170">
        <v>30</v>
      </c>
      <c r="N47" s="170">
        <v>30</v>
      </c>
      <c r="O47" s="170">
        <v>20</v>
      </c>
      <c r="P47" s="170">
        <v>300</v>
      </c>
      <c r="Q47" s="17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8">
        <v>516</v>
      </c>
      <c r="B48" s="170" t="str">
        <f t="shared" si="0"/>
        <v>0.46, Bed-Rip/Disk/Cond. 6-Row</v>
      </c>
      <c r="C48" s="135">
        <v>0.46</v>
      </c>
      <c r="D48" s="131" t="s">
        <v>440</v>
      </c>
      <c r="E48" s="131" t="s">
        <v>466</v>
      </c>
      <c r="F48" s="131" t="s">
        <v>46</v>
      </c>
      <c r="G48" s="131" t="str">
        <f t="shared" si="1"/>
        <v>Bed-Rip/Disk/Cond. 6-Row</v>
      </c>
      <c r="H48" s="244">
        <v>43600</v>
      </c>
      <c r="I48" s="170">
        <v>18</v>
      </c>
      <c r="J48" s="170">
        <v>4.75</v>
      </c>
      <c r="K48" s="170">
        <v>85</v>
      </c>
      <c r="L48" s="171">
        <f t="shared" si="2"/>
        <v>0.11351909184726523</v>
      </c>
      <c r="M48" s="170">
        <v>30</v>
      </c>
      <c r="N48" s="170">
        <v>65</v>
      </c>
      <c r="O48" s="170">
        <v>12</v>
      </c>
      <c r="P48" s="170">
        <v>150</v>
      </c>
      <c r="Q48" s="17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8">
        <v>517</v>
      </c>
      <c r="B49" s="170" t="str">
        <f t="shared" si="0"/>
        <v>0.47, Bed-Rip/Disk/Cond. 8-Row</v>
      </c>
      <c r="C49" s="135">
        <v>0.47</v>
      </c>
      <c r="D49" s="131" t="s">
        <v>440</v>
      </c>
      <c r="E49" s="131" t="s">
        <v>466</v>
      </c>
      <c r="F49" s="131" t="s">
        <v>45</v>
      </c>
      <c r="G49" s="131" t="str">
        <f t="shared" si="1"/>
        <v>Bed-Rip/Disk/Cond. 8-Row</v>
      </c>
      <c r="H49" s="244">
        <v>57800</v>
      </c>
      <c r="I49" s="170">
        <v>24</v>
      </c>
      <c r="J49" s="170">
        <v>4.75</v>
      </c>
      <c r="K49" s="170">
        <v>85</v>
      </c>
      <c r="L49" s="171">
        <f t="shared" si="2"/>
        <v>8.5139318885448914E-2</v>
      </c>
      <c r="M49" s="170">
        <v>30</v>
      </c>
      <c r="N49" s="170">
        <v>65</v>
      </c>
      <c r="O49" s="170">
        <v>12</v>
      </c>
      <c r="P49" s="170">
        <v>150</v>
      </c>
      <c r="Q49" s="17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8">
        <v>510</v>
      </c>
      <c r="B50" s="170" t="str">
        <f t="shared" si="0"/>
        <v>0.48, Bed-Roll-Fold. 8R-36</v>
      </c>
      <c r="C50" s="135">
        <v>0.48</v>
      </c>
      <c r="D50" s="131" t="s">
        <v>440</v>
      </c>
      <c r="E50" s="131" t="s">
        <v>467</v>
      </c>
      <c r="F50" s="131" t="s">
        <v>193</v>
      </c>
      <c r="G50" s="131" t="str">
        <f t="shared" si="1"/>
        <v>Bed-Roll-Fold. 8R-36</v>
      </c>
      <c r="H50" s="244">
        <v>71000</v>
      </c>
      <c r="I50" s="170">
        <v>24</v>
      </c>
      <c r="J50" s="170">
        <v>5.5</v>
      </c>
      <c r="K50" s="170">
        <v>80</v>
      </c>
      <c r="L50" s="171">
        <f t="shared" si="2"/>
        <v>7.8125E-2</v>
      </c>
      <c r="M50" s="170">
        <v>30</v>
      </c>
      <c r="N50" s="170">
        <v>40</v>
      </c>
      <c r="O50" s="170">
        <v>10</v>
      </c>
      <c r="P50" s="170">
        <v>160</v>
      </c>
      <c r="Q50" s="17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8">
        <v>512</v>
      </c>
      <c r="B51" s="170" t="str">
        <f t="shared" si="0"/>
        <v>0.49, Bed-Roll-Fold. 12R-30</v>
      </c>
      <c r="C51" s="135">
        <v>0.49</v>
      </c>
      <c r="D51" s="131" t="s">
        <v>440</v>
      </c>
      <c r="E51" s="131" t="s">
        <v>468</v>
      </c>
      <c r="F51" s="131" t="s">
        <v>6</v>
      </c>
      <c r="G51" s="131" t="str">
        <f t="shared" si="1"/>
        <v>Bed-Roll-Fold. 12R-30</v>
      </c>
      <c r="H51" s="244">
        <v>100200</v>
      </c>
      <c r="I51" s="170">
        <v>30</v>
      </c>
      <c r="J51" s="170">
        <v>5.5</v>
      </c>
      <c r="K51" s="170">
        <v>80</v>
      </c>
      <c r="L51" s="171">
        <f t="shared" si="2"/>
        <v>6.25E-2</v>
      </c>
      <c r="M51" s="170">
        <v>30</v>
      </c>
      <c r="N51" s="170">
        <v>40</v>
      </c>
      <c r="O51" s="170">
        <v>10</v>
      </c>
      <c r="P51" s="170">
        <v>160</v>
      </c>
      <c r="Q51" s="17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8">
        <v>513</v>
      </c>
      <c r="B52" s="170" t="str">
        <f t="shared" si="0"/>
        <v>0.5, Bed-Roll-Fold. 12R-36</v>
      </c>
      <c r="C52" s="135">
        <v>0.5</v>
      </c>
      <c r="D52" s="131" t="s">
        <v>440</v>
      </c>
      <c r="E52" s="131" t="s">
        <v>468</v>
      </c>
      <c r="F52" s="131" t="s">
        <v>194</v>
      </c>
      <c r="G52" s="131" t="str">
        <f t="shared" si="1"/>
        <v>Bed-Roll-Fold. 12R-36</v>
      </c>
      <c r="H52" s="244">
        <v>100200</v>
      </c>
      <c r="I52" s="170">
        <v>36</v>
      </c>
      <c r="J52" s="170">
        <v>5.5</v>
      </c>
      <c r="K52" s="170">
        <v>80</v>
      </c>
      <c r="L52" s="171">
        <f t="shared" si="2"/>
        <v>5.2083333333333336E-2</v>
      </c>
      <c r="M52" s="170">
        <v>30</v>
      </c>
      <c r="N52" s="170">
        <v>40</v>
      </c>
      <c r="O52" s="170">
        <v>10</v>
      </c>
      <c r="P52" s="170">
        <v>160</v>
      </c>
      <c r="Q52" s="17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8">
        <v>514</v>
      </c>
      <c r="B53" s="170" t="str">
        <f t="shared" si="0"/>
        <v>0.51, Bed-Roll-Fold. 16R-30</v>
      </c>
      <c r="C53" s="135">
        <v>0.51</v>
      </c>
      <c r="D53" s="131" t="s">
        <v>440</v>
      </c>
      <c r="E53" s="131" t="s">
        <v>468</v>
      </c>
      <c r="F53" s="131" t="s">
        <v>59</v>
      </c>
      <c r="G53" s="131" t="str">
        <f t="shared" si="1"/>
        <v>Bed-Roll-Fold. 16R-30</v>
      </c>
      <c r="H53" s="244">
        <v>94300</v>
      </c>
      <c r="I53" s="170">
        <v>40</v>
      </c>
      <c r="J53" s="170">
        <v>5.5</v>
      </c>
      <c r="K53" s="170">
        <v>80</v>
      </c>
      <c r="L53" s="171">
        <f t="shared" si="2"/>
        <v>4.6875E-2</v>
      </c>
      <c r="M53" s="170">
        <v>30</v>
      </c>
      <c r="N53" s="170">
        <v>40</v>
      </c>
      <c r="O53" s="170">
        <v>10</v>
      </c>
      <c r="P53" s="170">
        <v>160</v>
      </c>
      <c r="Q53" s="17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8">
        <v>511</v>
      </c>
      <c r="B54" s="170" t="str">
        <f t="shared" si="0"/>
        <v>0.52, Bed-Roll-Rigid  8R-36</v>
      </c>
      <c r="C54" s="135">
        <v>0.52</v>
      </c>
      <c r="D54" s="131" t="s">
        <v>440</v>
      </c>
      <c r="E54" s="131" t="s">
        <v>469</v>
      </c>
      <c r="F54" s="131" t="s">
        <v>193</v>
      </c>
      <c r="G54" s="131" t="str">
        <f t="shared" si="1"/>
        <v>Bed-Roll-Rigid  8R-36</v>
      </c>
      <c r="H54" s="244">
        <f>H50-20000</f>
        <v>51000</v>
      </c>
      <c r="I54" s="170">
        <v>24</v>
      </c>
      <c r="J54" s="170">
        <v>5.5</v>
      </c>
      <c r="K54" s="170">
        <v>80</v>
      </c>
      <c r="L54" s="171">
        <f t="shared" si="2"/>
        <v>7.8125E-2</v>
      </c>
      <c r="M54" s="170">
        <v>30</v>
      </c>
      <c r="N54" s="170">
        <v>40</v>
      </c>
      <c r="O54" s="170">
        <v>10</v>
      </c>
      <c r="P54" s="170">
        <v>160</v>
      </c>
      <c r="Q54" s="17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8"/>
      <c r="B55" s="170" t="str">
        <f t="shared" si="0"/>
        <v>0.521, Bed-Subsoil   Fold 8R-36</v>
      </c>
      <c r="C55" s="135">
        <v>0.52100000000000002</v>
      </c>
      <c r="D55" s="131" t="s">
        <v>440</v>
      </c>
      <c r="E55" s="131" t="s">
        <v>524</v>
      </c>
      <c r="F55" s="131" t="s">
        <v>199</v>
      </c>
      <c r="G55" s="131" t="str">
        <f t="shared" si="1"/>
        <v>Bed-Subsoil   Fold 8R-36</v>
      </c>
      <c r="H55" s="244">
        <v>71000</v>
      </c>
      <c r="I55" s="170">
        <v>24</v>
      </c>
      <c r="J55" s="170">
        <v>4.75</v>
      </c>
      <c r="K55" s="170">
        <v>85</v>
      </c>
      <c r="L55" s="171">
        <f t="shared" si="2"/>
        <v>8.5139318885448914E-2</v>
      </c>
      <c r="M55" s="170">
        <v>30</v>
      </c>
      <c r="N55" s="170">
        <v>65</v>
      </c>
      <c r="O55" s="170">
        <v>12</v>
      </c>
      <c r="P55" s="170">
        <v>150</v>
      </c>
      <c r="Q55" s="17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8"/>
      <c r="B56" s="170" t="str">
        <f t="shared" si="0"/>
        <v>0.522, Bed-Subsoil   Fold 12R-36</v>
      </c>
      <c r="C56" s="135">
        <v>0.52200000000000002</v>
      </c>
      <c r="D56" s="131" t="s">
        <v>440</v>
      </c>
      <c r="E56" s="131" t="s">
        <v>524</v>
      </c>
      <c r="F56" s="131" t="s">
        <v>194</v>
      </c>
      <c r="G56" s="131" t="str">
        <f t="shared" si="1"/>
        <v>Bed-Subsoil   Fold 12R-36</v>
      </c>
      <c r="H56" s="244">
        <v>100200</v>
      </c>
      <c r="I56" s="170">
        <v>36</v>
      </c>
      <c r="J56" s="170">
        <v>4.75</v>
      </c>
      <c r="K56" s="170">
        <v>85</v>
      </c>
      <c r="L56" s="171">
        <f t="shared" si="2"/>
        <v>5.6759545923632616E-2</v>
      </c>
      <c r="M56" s="170">
        <v>30</v>
      </c>
      <c r="N56" s="170">
        <v>65</v>
      </c>
      <c r="O56" s="170">
        <v>12</v>
      </c>
      <c r="P56" s="170">
        <v>150</v>
      </c>
      <c r="Q56" s="17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8"/>
      <c r="B57" s="170" t="str">
        <f t="shared" si="0"/>
        <v>0.523, Bed-Subsoil   Fold 8R-36 2x1</v>
      </c>
      <c r="C57" s="135">
        <v>0.52300000000000002</v>
      </c>
      <c r="D57" s="131" t="s">
        <v>440</v>
      </c>
      <c r="E57" s="131" t="s">
        <v>524</v>
      </c>
      <c r="F57" s="131" t="s">
        <v>525</v>
      </c>
      <c r="G57" s="131" t="str">
        <f t="shared" si="1"/>
        <v>Bed-Subsoil   Fold 8R-36 2x1</v>
      </c>
      <c r="H57" s="244">
        <v>100200</v>
      </c>
      <c r="I57" s="170">
        <v>36</v>
      </c>
      <c r="J57" s="170">
        <v>4.75</v>
      </c>
      <c r="K57" s="170">
        <v>85</v>
      </c>
      <c r="L57" s="171">
        <f t="shared" si="2"/>
        <v>5.6759545923632616E-2</v>
      </c>
      <c r="M57" s="170">
        <v>30</v>
      </c>
      <c r="N57" s="170">
        <v>65</v>
      </c>
      <c r="O57" s="170">
        <v>12</v>
      </c>
      <c r="P57" s="170">
        <v>150</v>
      </c>
      <c r="Q57" s="17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8"/>
      <c r="B58" s="170" t="str">
        <f t="shared" si="0"/>
        <v>0.524, Bed-Subsoil   Rigid 4R-36</v>
      </c>
      <c r="C58" s="135">
        <v>0.52400000000000002</v>
      </c>
      <c r="D58" s="131" t="s">
        <v>440</v>
      </c>
      <c r="E58" s="131" t="s">
        <v>526</v>
      </c>
      <c r="F58" s="131" t="s">
        <v>73</v>
      </c>
      <c r="G58" s="131" t="str">
        <f t="shared" si="1"/>
        <v>Bed-Subsoil   Rigid 4R-36</v>
      </c>
      <c r="H58" s="244">
        <v>27800</v>
      </c>
      <c r="I58" s="170">
        <v>12</v>
      </c>
      <c r="J58" s="170">
        <v>4.75</v>
      </c>
      <c r="K58" s="170">
        <v>85</v>
      </c>
      <c r="L58" s="171">
        <f t="shared" si="2"/>
        <v>0.17027863777089783</v>
      </c>
      <c r="M58" s="170">
        <v>30</v>
      </c>
      <c r="N58" s="170">
        <v>65</v>
      </c>
      <c r="O58" s="170">
        <v>12</v>
      </c>
      <c r="P58" s="170">
        <v>150</v>
      </c>
      <c r="Q58" s="17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8"/>
      <c r="B59" s="170" t="str">
        <f t="shared" si="0"/>
        <v>0.525, Bed-Subsoil   Rigid 6R-36</v>
      </c>
      <c r="C59" s="135">
        <v>0.52500000000000002</v>
      </c>
      <c r="D59" s="131" t="s">
        <v>440</v>
      </c>
      <c r="E59" s="131" t="s">
        <v>526</v>
      </c>
      <c r="F59" s="131" t="s">
        <v>200</v>
      </c>
      <c r="G59" s="131" t="str">
        <f t="shared" si="1"/>
        <v>Bed-Subsoil   Rigid 6R-36</v>
      </c>
      <c r="H59" s="244">
        <v>37700</v>
      </c>
      <c r="I59" s="170">
        <v>18</v>
      </c>
      <c r="J59" s="170">
        <v>4.75</v>
      </c>
      <c r="K59" s="170">
        <v>85</v>
      </c>
      <c r="L59" s="171">
        <f t="shared" si="2"/>
        <v>0.11351909184726523</v>
      </c>
      <c r="M59" s="170">
        <v>30</v>
      </c>
      <c r="N59" s="170">
        <v>65</v>
      </c>
      <c r="O59" s="170">
        <v>12</v>
      </c>
      <c r="P59" s="170">
        <v>150</v>
      </c>
      <c r="Q59" s="17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8"/>
      <c r="B60" s="170" t="str">
        <f t="shared" si="0"/>
        <v>0.526, Bed-Subsoil   Rigid 8R-36</v>
      </c>
      <c r="C60" s="135">
        <v>0.52600000000000002</v>
      </c>
      <c r="D60" s="131" t="s">
        <v>440</v>
      </c>
      <c r="E60" s="131" t="s">
        <v>526</v>
      </c>
      <c r="F60" s="131" t="s">
        <v>199</v>
      </c>
      <c r="G60" s="131" t="str">
        <f t="shared" si="1"/>
        <v>Bed-Subsoil   Rigid 8R-36</v>
      </c>
      <c r="H60" s="244">
        <v>50100</v>
      </c>
      <c r="I60" s="170">
        <v>24</v>
      </c>
      <c r="J60" s="170">
        <v>4.75</v>
      </c>
      <c r="K60" s="170">
        <v>85</v>
      </c>
      <c r="L60" s="171">
        <f t="shared" si="2"/>
        <v>8.5139318885448914E-2</v>
      </c>
      <c r="M60" s="170">
        <v>30</v>
      </c>
      <c r="N60" s="170">
        <v>65</v>
      </c>
      <c r="O60" s="170">
        <v>12</v>
      </c>
      <c r="P60" s="170">
        <v>150</v>
      </c>
      <c r="Q60" s="17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8">
        <v>418</v>
      </c>
      <c r="B61" s="170" t="str">
        <f t="shared" si="0"/>
        <v>0.53, Blade-Box  6'-7'</v>
      </c>
      <c r="C61" s="135">
        <v>0.53</v>
      </c>
      <c r="D61" s="131" t="s">
        <v>440</v>
      </c>
      <c r="E61" s="131" t="s">
        <v>256</v>
      </c>
      <c r="F61" s="131" t="s">
        <v>94</v>
      </c>
      <c r="G61" s="131" t="str">
        <f t="shared" si="1"/>
        <v>Blade-Box  6'-7'</v>
      </c>
      <c r="H61" s="244">
        <v>2080</v>
      </c>
      <c r="I61" s="170">
        <v>6</v>
      </c>
      <c r="J61" s="170">
        <v>5.25</v>
      </c>
      <c r="K61" s="170">
        <v>85</v>
      </c>
      <c r="L61" s="171">
        <f t="shared" si="2"/>
        <v>0.30812324929971985</v>
      </c>
      <c r="M61" s="170">
        <v>15</v>
      </c>
      <c r="N61" s="170">
        <v>190</v>
      </c>
      <c r="O61" s="170">
        <v>20</v>
      </c>
      <c r="P61" s="170">
        <v>200</v>
      </c>
      <c r="Q61" s="17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8">
        <v>473</v>
      </c>
      <c r="B62" s="170" t="str">
        <f t="shared" si="0"/>
        <v>0.54, Blade-Box  8'-10'</v>
      </c>
      <c r="C62" s="135">
        <v>0.54</v>
      </c>
      <c r="D62" s="131" t="s">
        <v>440</v>
      </c>
      <c r="E62" s="131" t="s">
        <v>256</v>
      </c>
      <c r="F62" s="131" t="s">
        <v>93</v>
      </c>
      <c r="G62" s="131" t="str">
        <f t="shared" si="1"/>
        <v>Blade-Box  8'-10'</v>
      </c>
      <c r="H62" s="244">
        <v>3790</v>
      </c>
      <c r="I62" s="170">
        <v>8</v>
      </c>
      <c r="J62" s="170">
        <v>5.25</v>
      </c>
      <c r="K62" s="170">
        <v>85</v>
      </c>
      <c r="L62" s="171">
        <f t="shared" si="2"/>
        <v>0.23109243697478987</v>
      </c>
      <c r="M62" s="170">
        <v>15</v>
      </c>
      <c r="N62" s="170">
        <v>190</v>
      </c>
      <c r="O62" s="170">
        <v>20</v>
      </c>
      <c r="P62" s="170">
        <v>200</v>
      </c>
      <c r="Q62" s="17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8">
        <v>506</v>
      </c>
      <c r="B63" s="170" t="str">
        <f t="shared" si="0"/>
        <v>0.55, Blade-Box 12'-16'</v>
      </c>
      <c r="C63" s="135">
        <v>0.55000000000000004</v>
      </c>
      <c r="D63" s="131" t="s">
        <v>440</v>
      </c>
      <c r="E63" s="131" t="s">
        <v>256</v>
      </c>
      <c r="F63" s="131" t="s">
        <v>92</v>
      </c>
      <c r="G63" s="131" t="str">
        <f t="shared" si="1"/>
        <v>Blade-Box 12'-16'</v>
      </c>
      <c r="H63" s="244">
        <v>7580</v>
      </c>
      <c r="I63" s="170">
        <v>12</v>
      </c>
      <c r="J63" s="170">
        <v>5.25</v>
      </c>
      <c r="K63" s="170">
        <v>85</v>
      </c>
      <c r="L63" s="171">
        <f t="shared" si="2"/>
        <v>0.15406162464985992</v>
      </c>
      <c r="M63" s="170">
        <v>15</v>
      </c>
      <c r="N63" s="170">
        <v>190</v>
      </c>
      <c r="O63" s="170">
        <v>20</v>
      </c>
      <c r="P63" s="170">
        <v>200</v>
      </c>
      <c r="Q63" s="17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8">
        <v>475</v>
      </c>
      <c r="B64" s="170" t="str">
        <f t="shared" si="0"/>
        <v>0.56, Blade-Scraper  6'-7'</v>
      </c>
      <c r="C64" s="135">
        <v>0.56000000000000005</v>
      </c>
      <c r="D64" s="131" t="s">
        <v>440</v>
      </c>
      <c r="E64" s="131" t="s">
        <v>257</v>
      </c>
      <c r="F64" s="131" t="s">
        <v>94</v>
      </c>
      <c r="G64" s="131" t="str">
        <f t="shared" si="1"/>
        <v>Blade-Scraper  6'-7'</v>
      </c>
      <c r="H64" s="244">
        <v>1760</v>
      </c>
      <c r="I64" s="170">
        <v>6</v>
      </c>
      <c r="J64" s="170">
        <v>5.25</v>
      </c>
      <c r="K64" s="170">
        <v>85</v>
      </c>
      <c r="L64" s="171">
        <f t="shared" si="2"/>
        <v>0.30812324929971985</v>
      </c>
      <c r="M64" s="170">
        <v>15</v>
      </c>
      <c r="N64" s="170">
        <v>190</v>
      </c>
      <c r="O64" s="170">
        <v>20</v>
      </c>
      <c r="P64" s="170">
        <v>200</v>
      </c>
      <c r="Q64" s="17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8">
        <v>476</v>
      </c>
      <c r="B65" s="170" t="str">
        <f t="shared" si="0"/>
        <v>0.57, Blade-Scraper  8'-10'</v>
      </c>
      <c r="C65" s="135">
        <v>0.56999999999999995</v>
      </c>
      <c r="D65" s="131" t="s">
        <v>440</v>
      </c>
      <c r="E65" s="131" t="s">
        <v>257</v>
      </c>
      <c r="F65" s="131" t="s">
        <v>93</v>
      </c>
      <c r="G65" s="131" t="str">
        <f t="shared" si="1"/>
        <v>Blade-Scraper  8'-10'</v>
      </c>
      <c r="H65" s="244">
        <v>5840</v>
      </c>
      <c r="I65" s="170">
        <v>8</v>
      </c>
      <c r="J65" s="170">
        <v>5.25</v>
      </c>
      <c r="K65" s="170">
        <v>85</v>
      </c>
      <c r="L65" s="171">
        <f t="shared" si="2"/>
        <v>0.23109243697478987</v>
      </c>
      <c r="M65" s="170">
        <v>15</v>
      </c>
      <c r="N65" s="170">
        <v>190</v>
      </c>
      <c r="O65" s="170">
        <v>20</v>
      </c>
      <c r="P65" s="170">
        <v>200</v>
      </c>
      <c r="Q65" s="17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8">
        <v>477</v>
      </c>
      <c r="B66" s="170" t="str">
        <f t="shared" si="0"/>
        <v>0.58, Blade-Scraper 12'-16'</v>
      </c>
      <c r="C66" s="135">
        <v>0.57999999999999996</v>
      </c>
      <c r="D66" s="131" t="s">
        <v>440</v>
      </c>
      <c r="E66" s="131" t="s">
        <v>257</v>
      </c>
      <c r="F66" s="131" t="s">
        <v>92</v>
      </c>
      <c r="G66" s="131" t="str">
        <f t="shared" si="1"/>
        <v>Blade-Scraper 12'-16'</v>
      </c>
      <c r="H66" s="244">
        <v>12200</v>
      </c>
      <c r="I66" s="170">
        <v>12</v>
      </c>
      <c r="J66" s="170">
        <v>5.25</v>
      </c>
      <c r="K66" s="170">
        <v>85</v>
      </c>
      <c r="L66" s="171">
        <f t="shared" si="2"/>
        <v>0.15406162464985992</v>
      </c>
      <c r="M66" s="170">
        <v>15</v>
      </c>
      <c r="N66" s="170">
        <v>190</v>
      </c>
      <c r="O66" s="170">
        <v>20</v>
      </c>
      <c r="P66" s="170">
        <v>200</v>
      </c>
      <c r="Q66" s="17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8">
        <v>5</v>
      </c>
      <c r="B67" s="170" t="str">
        <f t="shared" si="0"/>
        <v>0.59, Chisel Plow-Folding 16'</v>
      </c>
      <c r="C67" s="135">
        <v>0.59</v>
      </c>
      <c r="D67" s="131" t="s">
        <v>440</v>
      </c>
      <c r="E67" s="131" t="s">
        <v>258</v>
      </c>
      <c r="F67" s="131" t="s">
        <v>80</v>
      </c>
      <c r="G67" s="131" t="str">
        <f t="shared" si="1"/>
        <v>Chisel Plow-Folding 16'</v>
      </c>
      <c r="H67" s="246">
        <v>30000</v>
      </c>
      <c r="I67" s="170">
        <v>16</v>
      </c>
      <c r="J67" s="170">
        <v>5.25</v>
      </c>
      <c r="K67" s="170">
        <v>85</v>
      </c>
      <c r="L67" s="171">
        <f t="shared" si="2"/>
        <v>0.11554621848739494</v>
      </c>
      <c r="M67" s="170">
        <v>30</v>
      </c>
      <c r="N67" s="170">
        <v>65</v>
      </c>
      <c r="O67" s="170">
        <v>12</v>
      </c>
      <c r="P67" s="170">
        <v>150</v>
      </c>
      <c r="Q67" s="17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8">
        <v>408</v>
      </c>
      <c r="B68" s="170" t="str">
        <f t="shared" si="0"/>
        <v>0.6, Chisel Plow-Folding 24'</v>
      </c>
      <c r="C68" s="135">
        <v>0.6</v>
      </c>
      <c r="D68" s="131" t="s">
        <v>440</v>
      </c>
      <c r="E68" s="131" t="s">
        <v>258</v>
      </c>
      <c r="F68" s="131" t="s">
        <v>65</v>
      </c>
      <c r="G68" s="131" t="str">
        <f t="shared" si="1"/>
        <v>Chisel Plow-Folding 24'</v>
      </c>
      <c r="H68" s="244">
        <v>59800</v>
      </c>
      <c r="I68" s="170">
        <v>24</v>
      </c>
      <c r="J68" s="170">
        <v>5.25</v>
      </c>
      <c r="K68" s="170">
        <v>85</v>
      </c>
      <c r="L68" s="171">
        <f t="shared" si="2"/>
        <v>7.7030812324929962E-2</v>
      </c>
      <c r="M68" s="170">
        <v>30</v>
      </c>
      <c r="N68" s="170">
        <v>65</v>
      </c>
      <c r="O68" s="170">
        <v>12</v>
      </c>
      <c r="P68" s="170">
        <v>150</v>
      </c>
      <c r="Q68" s="17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8">
        <v>7</v>
      </c>
      <c r="B69" s="170" t="str">
        <f t="shared" si="0"/>
        <v>0.61, Chisel Plow-Folding 32'</v>
      </c>
      <c r="C69" s="135">
        <v>0.61</v>
      </c>
      <c r="D69" s="131" t="s">
        <v>440</v>
      </c>
      <c r="E69" s="131" t="s">
        <v>258</v>
      </c>
      <c r="F69" s="131" t="s">
        <v>43</v>
      </c>
      <c r="G69" s="131" t="str">
        <f t="shared" si="1"/>
        <v>Chisel Plow-Folding 32'</v>
      </c>
      <c r="H69" s="244">
        <v>76500</v>
      </c>
      <c r="I69" s="170">
        <v>32</v>
      </c>
      <c r="J69" s="170">
        <v>5.25</v>
      </c>
      <c r="K69" s="170">
        <v>85</v>
      </c>
      <c r="L69" s="171">
        <f t="shared" si="2"/>
        <v>5.7773109243697468E-2</v>
      </c>
      <c r="M69" s="170">
        <v>30</v>
      </c>
      <c r="N69" s="170">
        <v>65</v>
      </c>
      <c r="O69" s="170">
        <v>12</v>
      </c>
      <c r="P69" s="170">
        <v>150</v>
      </c>
      <c r="Q69" s="17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8">
        <v>230</v>
      </c>
      <c r="B70" s="170" t="str">
        <f t="shared" si="0"/>
        <v>0.62, Chisel Plow-Folding 42'</v>
      </c>
      <c r="C70" s="135">
        <v>0.62</v>
      </c>
      <c r="D70" s="131" t="s">
        <v>440</v>
      </c>
      <c r="E70" s="131" t="s">
        <v>258</v>
      </c>
      <c r="F70" s="131" t="s">
        <v>86</v>
      </c>
      <c r="G70" s="131" t="str">
        <f t="shared" si="1"/>
        <v>Chisel Plow-Folding 42'</v>
      </c>
      <c r="H70" s="244">
        <v>88600</v>
      </c>
      <c r="I70" s="170">
        <v>42</v>
      </c>
      <c r="J70" s="170">
        <v>5.25</v>
      </c>
      <c r="K70" s="170">
        <v>85</v>
      </c>
      <c r="L70" s="171">
        <f t="shared" si="2"/>
        <v>4.4017607042817118E-2</v>
      </c>
      <c r="M70" s="170">
        <v>30</v>
      </c>
      <c r="N70" s="170">
        <v>65</v>
      </c>
      <c r="O70" s="170">
        <v>12</v>
      </c>
      <c r="P70" s="170">
        <v>150</v>
      </c>
      <c r="Q70" s="17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8">
        <v>651</v>
      </c>
      <c r="B71" s="170" t="str">
        <f t="shared" si="0"/>
        <v>0.63, Chisel Plow-Folding 50'</v>
      </c>
      <c r="C71" s="135">
        <v>0.63</v>
      </c>
      <c r="D71" s="131" t="s">
        <v>440</v>
      </c>
      <c r="E71" s="131" t="s">
        <v>258</v>
      </c>
      <c r="F71" s="131" t="s">
        <v>15</v>
      </c>
      <c r="G71" s="131" t="str">
        <f t="shared" si="1"/>
        <v>Chisel Plow-Folding 50'</v>
      </c>
      <c r="H71" s="244">
        <v>113000</v>
      </c>
      <c r="I71" s="170">
        <v>50</v>
      </c>
      <c r="J71" s="170">
        <v>5.25</v>
      </c>
      <c r="K71" s="170">
        <v>85</v>
      </c>
      <c r="L71" s="171">
        <f t="shared" si="2"/>
        <v>3.6974789915966387E-2</v>
      </c>
      <c r="M71" s="170">
        <v>30</v>
      </c>
      <c r="N71" s="170">
        <v>65</v>
      </c>
      <c r="O71" s="170">
        <v>10</v>
      </c>
      <c r="P71" s="170">
        <v>150</v>
      </c>
      <c r="Q71" s="17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8">
        <v>702</v>
      </c>
      <c r="B72" s="170" t="str">
        <f t="shared" si="0"/>
        <v>0.64, Chisel Plow-Folding 61'</v>
      </c>
      <c r="C72" s="135">
        <v>0.64</v>
      </c>
      <c r="D72" s="131" t="s">
        <v>440</v>
      </c>
      <c r="E72" s="131" t="s">
        <v>258</v>
      </c>
      <c r="F72" s="131" t="s">
        <v>90</v>
      </c>
      <c r="G72" s="131" t="str">
        <f t="shared" si="1"/>
        <v>Chisel Plow-Folding 61'</v>
      </c>
      <c r="H72" s="244">
        <v>141000</v>
      </c>
      <c r="I72" s="170">
        <v>61</v>
      </c>
      <c r="J72" s="170">
        <v>5.25</v>
      </c>
      <c r="K72" s="170">
        <v>85</v>
      </c>
      <c r="L72" s="171">
        <f t="shared" si="2"/>
        <v>3.030720484915278E-2</v>
      </c>
      <c r="M72" s="170">
        <v>30</v>
      </c>
      <c r="N72" s="170">
        <v>65</v>
      </c>
      <c r="O72" s="170">
        <v>12</v>
      </c>
      <c r="P72" s="170">
        <v>150</v>
      </c>
      <c r="Q72" s="17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8">
        <v>698</v>
      </c>
      <c r="B73" s="170" t="str">
        <f t="shared" ref="B73:B136" si="19">CONCATENATE(C73,D73,E73,F73)</f>
        <v>0.65, Chisel Plow-Rigid 10'</v>
      </c>
      <c r="C73" s="135">
        <v>0.65</v>
      </c>
      <c r="D73" s="131" t="s">
        <v>440</v>
      </c>
      <c r="E73" s="131" t="s">
        <v>259</v>
      </c>
      <c r="F73" s="131" t="s">
        <v>66</v>
      </c>
      <c r="G73" s="131" t="str">
        <f t="shared" ref="G73:G136" si="20">CONCATENATE(E73,F73)</f>
        <v>Chisel Plow-Rigid 10'</v>
      </c>
      <c r="H73" s="244">
        <v>16100</v>
      </c>
      <c r="I73" s="170">
        <v>10</v>
      </c>
      <c r="J73" s="170">
        <v>5.25</v>
      </c>
      <c r="K73" s="170">
        <v>85</v>
      </c>
      <c r="L73" s="171">
        <f t="shared" ref="L73:L136" si="21">1/((I73*J73*K73/100*5280)/43560)</f>
        <v>0.18487394957983194</v>
      </c>
      <c r="M73" s="170">
        <v>30</v>
      </c>
      <c r="N73" s="170">
        <v>65</v>
      </c>
      <c r="O73" s="170">
        <v>12</v>
      </c>
      <c r="P73" s="170">
        <v>150</v>
      </c>
      <c r="Q73" s="17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8">
        <v>4</v>
      </c>
      <c r="B74" s="170" t="str">
        <f t="shared" si="19"/>
        <v>0.66, Chisel Plow-Rigid 15'</v>
      </c>
      <c r="C74" s="135">
        <v>0.66</v>
      </c>
      <c r="D74" s="131" t="s">
        <v>440</v>
      </c>
      <c r="E74" s="131" t="s">
        <v>259</v>
      </c>
      <c r="F74" s="131" t="s">
        <v>10</v>
      </c>
      <c r="G74" s="131" t="str">
        <f t="shared" si="20"/>
        <v>Chisel Plow-Rigid 15'</v>
      </c>
      <c r="H74" s="244">
        <v>20100</v>
      </c>
      <c r="I74" s="170">
        <v>15</v>
      </c>
      <c r="J74" s="170">
        <v>5.25</v>
      </c>
      <c r="K74" s="170">
        <v>85</v>
      </c>
      <c r="L74" s="171">
        <f t="shared" si="21"/>
        <v>0.12324929971988796</v>
      </c>
      <c r="M74" s="170">
        <v>30</v>
      </c>
      <c r="N74" s="170">
        <v>65</v>
      </c>
      <c r="O74" s="170">
        <v>12</v>
      </c>
      <c r="P74" s="170">
        <v>150</v>
      </c>
      <c r="Q74" s="17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8">
        <v>701</v>
      </c>
      <c r="B75" s="170" t="str">
        <f t="shared" si="19"/>
        <v>0.67, Chisel Plow-Rigid 20'</v>
      </c>
      <c r="C75" s="135">
        <v>0.67</v>
      </c>
      <c r="D75" s="131" t="s">
        <v>440</v>
      </c>
      <c r="E75" s="131" t="s">
        <v>259</v>
      </c>
      <c r="F75" s="131" t="s">
        <v>8</v>
      </c>
      <c r="G75" s="131" t="str">
        <f t="shared" si="20"/>
        <v>Chisel Plow-Rigid 20'</v>
      </c>
      <c r="H75" s="244">
        <v>13400</v>
      </c>
      <c r="I75" s="170">
        <v>18</v>
      </c>
      <c r="J75" s="170">
        <v>5.25</v>
      </c>
      <c r="K75" s="170">
        <v>85</v>
      </c>
      <c r="L75" s="171">
        <f t="shared" si="21"/>
        <v>0.10270774976657329</v>
      </c>
      <c r="M75" s="170">
        <v>30</v>
      </c>
      <c r="N75" s="170">
        <v>65</v>
      </c>
      <c r="O75" s="170">
        <v>12</v>
      </c>
      <c r="P75" s="170">
        <v>150</v>
      </c>
      <c r="Q75" s="17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8">
        <v>6</v>
      </c>
      <c r="B76" s="170" t="str">
        <f t="shared" si="19"/>
        <v>0.68, Chisel Plow-Rigid 24'</v>
      </c>
      <c r="C76" s="135">
        <v>0.68</v>
      </c>
      <c r="D76" s="131" t="s">
        <v>440</v>
      </c>
      <c r="E76" s="131" t="s">
        <v>259</v>
      </c>
      <c r="F76" s="131" t="s">
        <v>65</v>
      </c>
      <c r="G76" s="131" t="str">
        <f t="shared" si="20"/>
        <v>Chisel Plow-Rigid 24'</v>
      </c>
      <c r="H76" s="246">
        <v>15000</v>
      </c>
      <c r="I76" s="170">
        <v>24</v>
      </c>
      <c r="J76" s="170">
        <v>5.25</v>
      </c>
      <c r="K76" s="170">
        <v>85</v>
      </c>
      <c r="L76" s="171">
        <f t="shared" si="21"/>
        <v>7.7030812324929962E-2</v>
      </c>
      <c r="M76" s="170">
        <v>30</v>
      </c>
      <c r="N76" s="170">
        <v>65</v>
      </c>
      <c r="O76" s="170">
        <v>12</v>
      </c>
      <c r="P76" s="170">
        <v>150</v>
      </c>
      <c r="Q76" s="17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8">
        <v>294</v>
      </c>
      <c r="B77" s="170" t="str">
        <f t="shared" si="19"/>
        <v>0.69, Chisel-Harrow 21 shank</v>
      </c>
      <c r="C77" s="135">
        <v>0.69</v>
      </c>
      <c r="D77" s="131" t="s">
        <v>440</v>
      </c>
      <c r="E77" s="131" t="s">
        <v>260</v>
      </c>
      <c r="F77" s="131" t="s">
        <v>89</v>
      </c>
      <c r="G77" s="131" t="str">
        <f t="shared" si="20"/>
        <v>Chisel-Harrow 21 shank</v>
      </c>
      <c r="H77" s="246">
        <v>17500</v>
      </c>
      <c r="I77" s="170">
        <v>21</v>
      </c>
      <c r="J77" s="170">
        <v>5.25</v>
      </c>
      <c r="K77" s="170">
        <v>85</v>
      </c>
      <c r="L77" s="171">
        <f t="shared" si="21"/>
        <v>8.8035214085634236E-2</v>
      </c>
      <c r="M77" s="170">
        <v>30</v>
      </c>
      <c r="N77" s="170">
        <v>65</v>
      </c>
      <c r="O77" s="170">
        <v>12</v>
      </c>
      <c r="P77" s="170">
        <v>150</v>
      </c>
      <c r="Q77" s="17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8">
        <v>293</v>
      </c>
      <c r="B78" s="170" t="str">
        <f t="shared" si="19"/>
        <v>0.7, Chisel-Harrow 27 shank</v>
      </c>
      <c r="C78" s="135">
        <v>0.7</v>
      </c>
      <c r="D78" s="131" t="s">
        <v>440</v>
      </c>
      <c r="E78" s="131" t="s">
        <v>260</v>
      </c>
      <c r="F78" s="131" t="s">
        <v>88</v>
      </c>
      <c r="G78" s="131" t="str">
        <f t="shared" si="20"/>
        <v>Chisel-Harrow 27 shank</v>
      </c>
      <c r="H78" s="246">
        <v>19500</v>
      </c>
      <c r="I78" s="170">
        <v>27</v>
      </c>
      <c r="J78" s="170">
        <v>5.25</v>
      </c>
      <c r="K78" s="170">
        <v>85</v>
      </c>
      <c r="L78" s="171">
        <f t="shared" si="21"/>
        <v>6.8471833177715533E-2</v>
      </c>
      <c r="M78" s="170">
        <v>30</v>
      </c>
      <c r="N78" s="170">
        <v>65</v>
      </c>
      <c r="O78" s="170">
        <v>12</v>
      </c>
      <c r="P78" s="170">
        <v>150</v>
      </c>
      <c r="Q78" s="17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8">
        <v>296</v>
      </c>
      <c r="B79" s="170" t="str">
        <f t="shared" si="19"/>
        <v>0.71, Coulter-Chisel-Harrow 21 shank</v>
      </c>
      <c r="C79" s="135">
        <v>0.71</v>
      </c>
      <c r="D79" s="131" t="s">
        <v>440</v>
      </c>
      <c r="E79" s="131" t="s">
        <v>261</v>
      </c>
      <c r="F79" s="131" t="s">
        <v>89</v>
      </c>
      <c r="G79" s="131" t="str">
        <f t="shared" si="20"/>
        <v>Coulter-Chisel-Harrow 21 shank</v>
      </c>
      <c r="H79" s="246">
        <v>25000</v>
      </c>
      <c r="I79" s="170">
        <v>21</v>
      </c>
      <c r="J79" s="170">
        <v>5.25</v>
      </c>
      <c r="K79" s="170">
        <v>85</v>
      </c>
      <c r="L79" s="171">
        <f t="shared" si="21"/>
        <v>8.8035214085634236E-2</v>
      </c>
      <c r="M79" s="170">
        <v>30</v>
      </c>
      <c r="N79" s="170">
        <v>65</v>
      </c>
      <c r="O79" s="170">
        <v>12</v>
      </c>
      <c r="P79" s="170">
        <v>150</v>
      </c>
      <c r="Q79" s="17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8">
        <v>295</v>
      </c>
      <c r="B80" s="170" t="str">
        <f t="shared" si="19"/>
        <v>0.72, Coulter-Chisel-Harrow 27 shank</v>
      </c>
      <c r="C80" s="135">
        <v>0.72</v>
      </c>
      <c r="D80" s="131" t="s">
        <v>440</v>
      </c>
      <c r="E80" s="131" t="s">
        <v>261</v>
      </c>
      <c r="F80" s="131" t="s">
        <v>88</v>
      </c>
      <c r="G80" s="131" t="str">
        <f t="shared" si="20"/>
        <v>Coulter-Chisel-Harrow 27 shank</v>
      </c>
      <c r="H80" s="246">
        <v>30000</v>
      </c>
      <c r="I80" s="170">
        <v>27</v>
      </c>
      <c r="J80" s="170">
        <v>5.25</v>
      </c>
      <c r="K80" s="170">
        <v>85</v>
      </c>
      <c r="L80" s="171">
        <f t="shared" si="21"/>
        <v>6.8471833177715533E-2</v>
      </c>
      <c r="M80" s="170">
        <v>30</v>
      </c>
      <c r="N80" s="170">
        <v>65</v>
      </c>
      <c r="O80" s="170">
        <v>12</v>
      </c>
      <c r="P80" s="170">
        <v>150</v>
      </c>
      <c r="Q80" s="17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8">
        <v>315</v>
      </c>
      <c r="B81" s="170" t="str">
        <f t="shared" si="19"/>
        <v>0.73, Cult &amp; PD Ridge Till 8R-30</v>
      </c>
      <c r="C81" s="135">
        <v>0.73</v>
      </c>
      <c r="D81" s="131" t="s">
        <v>440</v>
      </c>
      <c r="E81" s="131" t="s">
        <v>473</v>
      </c>
      <c r="F81" s="131" t="s">
        <v>25</v>
      </c>
      <c r="G81" s="131" t="str">
        <f t="shared" si="20"/>
        <v>Cult &amp; PD Ridge Till 8R-30</v>
      </c>
      <c r="H81" s="246">
        <v>35500</v>
      </c>
      <c r="I81" s="170">
        <v>20</v>
      </c>
      <c r="J81" s="170">
        <v>5</v>
      </c>
      <c r="K81" s="170">
        <v>75</v>
      </c>
      <c r="L81" s="171">
        <f t="shared" si="21"/>
        <v>0.10999999999999999</v>
      </c>
      <c r="M81" s="170">
        <v>25</v>
      </c>
      <c r="N81" s="170">
        <v>115</v>
      </c>
      <c r="O81" s="170">
        <v>12</v>
      </c>
      <c r="P81" s="170">
        <v>200</v>
      </c>
      <c r="Q81" s="17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8">
        <v>314</v>
      </c>
      <c r="B82" s="170" t="str">
        <f t="shared" si="19"/>
        <v>0.74, Cult &amp; PD Ridge Till 12R-30</v>
      </c>
      <c r="C82" s="135">
        <v>0.74</v>
      </c>
      <c r="D82" s="131" t="s">
        <v>440</v>
      </c>
      <c r="E82" s="131" t="s">
        <v>475</v>
      </c>
      <c r="F82" s="131" t="s">
        <v>6</v>
      </c>
      <c r="G82" s="131" t="str">
        <f t="shared" si="20"/>
        <v>Cult &amp; PD Ridge Till 12R-30</v>
      </c>
      <c r="H82" s="246">
        <v>50000</v>
      </c>
      <c r="I82" s="170">
        <v>30</v>
      </c>
      <c r="J82" s="170">
        <v>5</v>
      </c>
      <c r="K82" s="170">
        <v>75</v>
      </c>
      <c r="L82" s="171">
        <f t="shared" si="21"/>
        <v>7.3333333333333334E-2</v>
      </c>
      <c r="M82" s="170">
        <v>25</v>
      </c>
      <c r="N82" s="170">
        <v>115</v>
      </c>
      <c r="O82" s="170">
        <v>12</v>
      </c>
      <c r="P82" s="170">
        <v>200</v>
      </c>
      <c r="Q82" s="17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8">
        <v>579</v>
      </c>
      <c r="B83" s="170" t="str">
        <f t="shared" si="19"/>
        <v>0.75, Cultivate  4R-30</v>
      </c>
      <c r="C83" s="135">
        <v>0.75</v>
      </c>
      <c r="D83" s="131" t="s">
        <v>440</v>
      </c>
      <c r="E83" s="131" t="s">
        <v>262</v>
      </c>
      <c r="F83" s="131" t="s">
        <v>48</v>
      </c>
      <c r="G83" s="131" t="str">
        <f t="shared" si="20"/>
        <v>Cultivate  4R-30</v>
      </c>
      <c r="H83" s="244">
        <v>21500</v>
      </c>
      <c r="I83" s="170">
        <v>10</v>
      </c>
      <c r="J83" s="170">
        <v>5</v>
      </c>
      <c r="K83" s="170">
        <v>80</v>
      </c>
      <c r="L83" s="171">
        <f t="shared" si="21"/>
        <v>0.20624999999999999</v>
      </c>
      <c r="M83" s="170">
        <v>30</v>
      </c>
      <c r="N83" s="170">
        <v>40</v>
      </c>
      <c r="O83" s="170">
        <v>10</v>
      </c>
      <c r="P83" s="170">
        <v>150</v>
      </c>
      <c r="Q83" s="17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8">
        <v>31</v>
      </c>
      <c r="B84" s="170" t="str">
        <f t="shared" si="19"/>
        <v>0.76, Cultivate  4R-36</v>
      </c>
      <c r="C84" s="135">
        <v>0.76</v>
      </c>
      <c r="D84" s="131" t="s">
        <v>440</v>
      </c>
      <c r="E84" s="131" t="s">
        <v>262</v>
      </c>
      <c r="F84" s="131" t="s">
        <v>195</v>
      </c>
      <c r="G84" s="131" t="str">
        <f t="shared" si="20"/>
        <v>Cultivate  4R-36</v>
      </c>
      <c r="H84" s="244">
        <v>21500</v>
      </c>
      <c r="I84" s="170">
        <v>12</v>
      </c>
      <c r="J84" s="170">
        <v>5</v>
      </c>
      <c r="K84" s="170">
        <v>80</v>
      </c>
      <c r="L84" s="171">
        <f t="shared" si="21"/>
        <v>0.171875</v>
      </c>
      <c r="M84" s="170">
        <v>30</v>
      </c>
      <c r="N84" s="170">
        <v>40</v>
      </c>
      <c r="O84" s="170">
        <v>10</v>
      </c>
      <c r="P84" s="170">
        <v>150</v>
      </c>
      <c r="Q84" s="17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8">
        <v>32</v>
      </c>
      <c r="B85" s="170" t="str">
        <f t="shared" si="19"/>
        <v>0.77, Cultivate  6R-30</v>
      </c>
      <c r="C85" s="135">
        <v>0.77</v>
      </c>
      <c r="D85" s="131" t="s">
        <v>440</v>
      </c>
      <c r="E85" s="131" t="s">
        <v>262</v>
      </c>
      <c r="F85" s="131" t="s">
        <v>53</v>
      </c>
      <c r="G85" s="131" t="str">
        <f t="shared" si="20"/>
        <v>Cultivate  6R-30</v>
      </c>
      <c r="H85" s="244">
        <v>28100</v>
      </c>
      <c r="I85" s="170">
        <v>15</v>
      </c>
      <c r="J85" s="170">
        <v>5</v>
      </c>
      <c r="K85" s="170">
        <v>80</v>
      </c>
      <c r="L85" s="171">
        <f t="shared" si="21"/>
        <v>0.13750000000000001</v>
      </c>
      <c r="M85" s="170">
        <v>30</v>
      </c>
      <c r="N85" s="170">
        <v>40</v>
      </c>
      <c r="O85" s="170">
        <v>10</v>
      </c>
      <c r="P85" s="170">
        <v>150</v>
      </c>
      <c r="Q85" s="17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8">
        <v>33</v>
      </c>
      <c r="B86" s="170" t="str">
        <f t="shared" si="19"/>
        <v>0.78, Cultivate  6R-36</v>
      </c>
      <c r="C86" s="135">
        <v>0.78</v>
      </c>
      <c r="D86" s="131" t="s">
        <v>440</v>
      </c>
      <c r="E86" s="131" t="s">
        <v>262</v>
      </c>
      <c r="F86" s="131" t="s">
        <v>196</v>
      </c>
      <c r="G86" s="131" t="str">
        <f t="shared" si="20"/>
        <v>Cultivate  6R-36</v>
      </c>
      <c r="H86" s="244">
        <v>28000</v>
      </c>
      <c r="I86" s="170">
        <v>18</v>
      </c>
      <c r="J86" s="170">
        <v>5</v>
      </c>
      <c r="K86" s="170">
        <v>80</v>
      </c>
      <c r="L86" s="171">
        <f t="shared" si="21"/>
        <v>0.11458333333333334</v>
      </c>
      <c r="M86" s="170">
        <v>30</v>
      </c>
      <c r="N86" s="170">
        <v>40</v>
      </c>
      <c r="O86" s="170">
        <v>10</v>
      </c>
      <c r="P86" s="170">
        <v>150</v>
      </c>
      <c r="Q86" s="17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8">
        <v>34</v>
      </c>
      <c r="B87" s="170" t="str">
        <f t="shared" si="19"/>
        <v>0.79, Cultivate  8R-30</v>
      </c>
      <c r="C87" s="135">
        <v>0.79</v>
      </c>
      <c r="D87" s="131" t="s">
        <v>440</v>
      </c>
      <c r="E87" s="131" t="s">
        <v>262</v>
      </c>
      <c r="F87" s="131" t="s">
        <v>25</v>
      </c>
      <c r="G87" s="131" t="str">
        <f t="shared" si="20"/>
        <v>Cultivate  8R-30</v>
      </c>
      <c r="H87" s="244">
        <v>36300</v>
      </c>
      <c r="I87" s="170">
        <v>20</v>
      </c>
      <c r="J87" s="170">
        <v>5</v>
      </c>
      <c r="K87" s="170">
        <v>80</v>
      </c>
      <c r="L87" s="171">
        <f t="shared" si="21"/>
        <v>0.10312499999999999</v>
      </c>
      <c r="M87" s="170">
        <v>30</v>
      </c>
      <c r="N87" s="170">
        <v>40</v>
      </c>
      <c r="O87" s="170">
        <v>10</v>
      </c>
      <c r="P87" s="170">
        <v>150</v>
      </c>
      <c r="Q87" s="17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8">
        <v>35</v>
      </c>
      <c r="B88" s="170" t="str">
        <f t="shared" si="19"/>
        <v>0.8, Cultivate  8R-36</v>
      </c>
      <c r="C88" s="135">
        <v>0.8</v>
      </c>
      <c r="D88" s="131" t="s">
        <v>440</v>
      </c>
      <c r="E88" s="131" t="s">
        <v>262</v>
      </c>
      <c r="F88" s="131" t="s">
        <v>193</v>
      </c>
      <c r="G88" s="131" t="str">
        <f t="shared" si="20"/>
        <v>Cultivate  8R-36</v>
      </c>
      <c r="H88" s="244">
        <v>43200</v>
      </c>
      <c r="I88" s="170">
        <v>24</v>
      </c>
      <c r="J88" s="170">
        <v>5</v>
      </c>
      <c r="K88" s="170">
        <v>80</v>
      </c>
      <c r="L88" s="171">
        <f t="shared" si="21"/>
        <v>8.59375E-2</v>
      </c>
      <c r="M88" s="170">
        <v>30</v>
      </c>
      <c r="N88" s="170">
        <v>40</v>
      </c>
      <c r="O88" s="170">
        <v>10</v>
      </c>
      <c r="P88" s="170">
        <v>150</v>
      </c>
      <c r="Q88" s="17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8">
        <v>36</v>
      </c>
      <c r="B89" s="170" t="str">
        <f t="shared" si="19"/>
        <v>0.81, Cultivate 10R-30</v>
      </c>
      <c r="C89" s="135">
        <v>0.81</v>
      </c>
      <c r="D89" s="131" t="s">
        <v>440</v>
      </c>
      <c r="E89" s="131" t="s">
        <v>262</v>
      </c>
      <c r="F89" s="131" t="s">
        <v>24</v>
      </c>
      <c r="G89" s="131" t="str">
        <f t="shared" si="20"/>
        <v>Cultivate 10R-30</v>
      </c>
      <c r="H89" s="246">
        <v>35000</v>
      </c>
      <c r="I89" s="170">
        <v>25</v>
      </c>
      <c r="J89" s="170">
        <v>5</v>
      </c>
      <c r="K89" s="170">
        <v>80</v>
      </c>
      <c r="L89" s="171">
        <f t="shared" si="21"/>
        <v>8.2500000000000004E-2</v>
      </c>
      <c r="M89" s="170">
        <v>30</v>
      </c>
      <c r="N89" s="170">
        <v>40</v>
      </c>
      <c r="O89" s="170">
        <v>10</v>
      </c>
      <c r="P89" s="170">
        <v>150</v>
      </c>
      <c r="Q89" s="17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8">
        <v>508</v>
      </c>
      <c r="B90" s="170" t="str">
        <f t="shared" si="19"/>
        <v>0.82, Cultivate 12R-30</v>
      </c>
      <c r="C90" s="135">
        <v>0.82</v>
      </c>
      <c r="D90" s="131" t="s">
        <v>440</v>
      </c>
      <c r="E90" s="131" t="s">
        <v>262</v>
      </c>
      <c r="F90" s="131" t="s">
        <v>6</v>
      </c>
      <c r="G90" s="131" t="str">
        <f t="shared" si="20"/>
        <v>Cultivate 12R-30</v>
      </c>
      <c r="H90" s="244">
        <v>62000</v>
      </c>
      <c r="I90" s="170">
        <v>30</v>
      </c>
      <c r="J90" s="170">
        <v>5</v>
      </c>
      <c r="K90" s="170">
        <v>80</v>
      </c>
      <c r="L90" s="171">
        <f t="shared" si="21"/>
        <v>6.8750000000000006E-2</v>
      </c>
      <c r="M90" s="170">
        <v>30</v>
      </c>
      <c r="N90" s="170">
        <v>40</v>
      </c>
      <c r="O90" s="170">
        <v>10</v>
      </c>
      <c r="P90" s="170">
        <v>150</v>
      </c>
      <c r="Q90" s="17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8">
        <v>235</v>
      </c>
      <c r="B91" s="170" t="str">
        <f t="shared" si="19"/>
        <v>0.83, Cultivate  8R-36 2x1</v>
      </c>
      <c r="C91" s="135">
        <v>0.83</v>
      </c>
      <c r="D91" s="131" t="s">
        <v>440</v>
      </c>
      <c r="E91" s="131" t="s">
        <v>262</v>
      </c>
      <c r="F91" s="131" t="s">
        <v>197</v>
      </c>
      <c r="G91" s="131" t="str">
        <f t="shared" si="20"/>
        <v>Cultivate  8R-36 2x1</v>
      </c>
      <c r="H91" s="244">
        <v>60200</v>
      </c>
      <c r="I91" s="170">
        <v>36</v>
      </c>
      <c r="J91" s="170">
        <v>5</v>
      </c>
      <c r="K91" s="170">
        <v>80</v>
      </c>
      <c r="L91" s="171">
        <f t="shared" si="21"/>
        <v>5.7291666666666671E-2</v>
      </c>
      <c r="M91" s="170">
        <v>30</v>
      </c>
      <c r="N91" s="170">
        <v>40</v>
      </c>
      <c r="O91" s="170">
        <v>10</v>
      </c>
      <c r="P91" s="170">
        <v>150</v>
      </c>
      <c r="Q91" s="17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8">
        <v>236</v>
      </c>
      <c r="B92" s="170" t="str">
        <f t="shared" si="19"/>
        <v>0.84, Cultivate 12R-36</v>
      </c>
      <c r="C92" s="135">
        <v>0.84</v>
      </c>
      <c r="D92" s="131" t="s">
        <v>440</v>
      </c>
      <c r="E92" s="131" t="s">
        <v>262</v>
      </c>
      <c r="F92" s="131" t="s">
        <v>194</v>
      </c>
      <c r="G92" s="131" t="str">
        <f t="shared" si="20"/>
        <v>Cultivate 12R-36</v>
      </c>
      <c r="H92" s="244">
        <v>60200</v>
      </c>
      <c r="I92" s="170">
        <v>36</v>
      </c>
      <c r="J92" s="170">
        <v>5</v>
      </c>
      <c r="K92" s="170">
        <v>80</v>
      </c>
      <c r="L92" s="171">
        <f t="shared" si="21"/>
        <v>5.7291666666666671E-2</v>
      </c>
      <c r="M92" s="170">
        <v>30</v>
      </c>
      <c r="N92" s="170">
        <v>40</v>
      </c>
      <c r="O92" s="170">
        <v>10</v>
      </c>
      <c r="P92" s="170">
        <v>150</v>
      </c>
      <c r="Q92" s="17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8">
        <v>580</v>
      </c>
      <c r="B93" s="170" t="str">
        <f t="shared" si="19"/>
        <v>0.85, Cultivate 16R-30</v>
      </c>
      <c r="C93" s="135">
        <v>0.85</v>
      </c>
      <c r="D93" s="131" t="s">
        <v>440</v>
      </c>
      <c r="E93" s="131" t="s">
        <v>262</v>
      </c>
      <c r="F93" s="131" t="s">
        <v>59</v>
      </c>
      <c r="G93" s="131" t="str">
        <f t="shared" si="20"/>
        <v>Cultivate 16R-30</v>
      </c>
      <c r="H93" s="244">
        <v>83400</v>
      </c>
      <c r="I93" s="170">
        <v>40</v>
      </c>
      <c r="J93" s="170">
        <v>5</v>
      </c>
      <c r="K93" s="170">
        <v>80</v>
      </c>
      <c r="L93" s="171">
        <f t="shared" si="21"/>
        <v>5.1562499999999997E-2</v>
      </c>
      <c r="M93" s="170">
        <v>30</v>
      </c>
      <c r="N93" s="170">
        <v>40</v>
      </c>
      <c r="O93" s="170">
        <v>10</v>
      </c>
      <c r="P93" s="170">
        <v>150</v>
      </c>
      <c r="Q93" s="17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8">
        <v>578</v>
      </c>
      <c r="B94" s="170" t="str">
        <f t="shared" si="19"/>
        <v>0.86, Cultivate &amp; Post  4R-30</v>
      </c>
      <c r="C94" s="135">
        <v>0.86</v>
      </c>
      <c r="D94" s="131" t="s">
        <v>440</v>
      </c>
      <c r="E94" s="131" t="s">
        <v>263</v>
      </c>
      <c r="F94" s="131" t="s">
        <v>48</v>
      </c>
      <c r="G94" s="131" t="str">
        <f t="shared" si="20"/>
        <v>Cultivate &amp; Post  4R-30</v>
      </c>
      <c r="H94" s="244">
        <v>27300</v>
      </c>
      <c r="I94" s="170">
        <v>10</v>
      </c>
      <c r="J94" s="170">
        <v>5</v>
      </c>
      <c r="K94" s="170">
        <v>75</v>
      </c>
      <c r="L94" s="171">
        <f t="shared" si="21"/>
        <v>0.21999999999999997</v>
      </c>
      <c r="M94" s="170">
        <v>30</v>
      </c>
      <c r="N94" s="170">
        <v>40</v>
      </c>
      <c r="O94" s="170">
        <v>10</v>
      </c>
      <c r="P94" s="170">
        <v>150</v>
      </c>
      <c r="Q94" s="17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8">
        <v>15</v>
      </c>
      <c r="B95" s="170" t="str">
        <f t="shared" si="19"/>
        <v>0.87, Cultivate &amp; Post  4R-36</v>
      </c>
      <c r="C95" s="135">
        <v>0.87</v>
      </c>
      <c r="D95" s="131" t="s">
        <v>440</v>
      </c>
      <c r="E95" s="131" t="s">
        <v>263</v>
      </c>
      <c r="F95" s="131" t="s">
        <v>195</v>
      </c>
      <c r="G95" s="131" t="str">
        <f t="shared" si="20"/>
        <v>Cultivate &amp; Post  4R-36</v>
      </c>
      <c r="H95" s="244">
        <v>27300</v>
      </c>
      <c r="I95" s="170">
        <v>12</v>
      </c>
      <c r="J95" s="170">
        <v>5</v>
      </c>
      <c r="K95" s="170">
        <v>75</v>
      </c>
      <c r="L95" s="171">
        <f t="shared" si="21"/>
        <v>0.18333333333333335</v>
      </c>
      <c r="M95" s="170">
        <v>30</v>
      </c>
      <c r="N95" s="170">
        <v>40</v>
      </c>
      <c r="O95" s="170">
        <v>10</v>
      </c>
      <c r="P95" s="170">
        <v>150</v>
      </c>
      <c r="Q95" s="17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8">
        <v>16</v>
      </c>
      <c r="B96" s="170" t="str">
        <f t="shared" si="19"/>
        <v>0.88, Cultivate &amp; Post  6R-30</v>
      </c>
      <c r="C96" s="135">
        <v>0.88</v>
      </c>
      <c r="D96" s="131" t="s">
        <v>440</v>
      </c>
      <c r="E96" s="131" t="s">
        <v>263</v>
      </c>
      <c r="F96" s="131" t="s">
        <v>53</v>
      </c>
      <c r="G96" s="131" t="str">
        <f t="shared" si="20"/>
        <v>Cultivate &amp; Post  6R-30</v>
      </c>
      <c r="H96" s="244">
        <v>33900</v>
      </c>
      <c r="I96" s="170">
        <v>15</v>
      </c>
      <c r="J96" s="170">
        <v>5</v>
      </c>
      <c r="K96" s="170">
        <v>75</v>
      </c>
      <c r="L96" s="171">
        <f t="shared" si="21"/>
        <v>0.14666666666666667</v>
      </c>
      <c r="M96" s="170">
        <v>30</v>
      </c>
      <c r="N96" s="170">
        <v>40</v>
      </c>
      <c r="O96" s="170">
        <v>10</v>
      </c>
      <c r="P96" s="170">
        <v>150</v>
      </c>
      <c r="Q96" s="17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8">
        <v>17</v>
      </c>
      <c r="B97" s="170" t="str">
        <f t="shared" si="19"/>
        <v>0.89, Cultivate &amp; Post  6R-36</v>
      </c>
      <c r="C97" s="135">
        <v>0.89</v>
      </c>
      <c r="D97" s="131" t="s">
        <v>440</v>
      </c>
      <c r="E97" s="131" t="s">
        <v>263</v>
      </c>
      <c r="F97" s="131" t="s">
        <v>196</v>
      </c>
      <c r="G97" s="131" t="str">
        <f t="shared" si="20"/>
        <v>Cultivate &amp; Post  6R-36</v>
      </c>
      <c r="H97" s="244">
        <v>33800</v>
      </c>
      <c r="I97" s="170">
        <v>18</v>
      </c>
      <c r="J97" s="170">
        <v>5</v>
      </c>
      <c r="K97" s="170">
        <v>75</v>
      </c>
      <c r="L97" s="171">
        <f t="shared" si="21"/>
        <v>0.12222222222222222</v>
      </c>
      <c r="M97" s="170">
        <v>30</v>
      </c>
      <c r="N97" s="170">
        <v>40</v>
      </c>
      <c r="O97" s="170">
        <v>10</v>
      </c>
      <c r="P97" s="170">
        <v>150</v>
      </c>
      <c r="Q97" s="17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8">
        <v>18</v>
      </c>
      <c r="B98" s="170" t="str">
        <f t="shared" si="19"/>
        <v>0.9, Cultivate &amp; Post  8R-30</v>
      </c>
      <c r="C98" s="135">
        <v>0.9</v>
      </c>
      <c r="D98" s="131" t="s">
        <v>440</v>
      </c>
      <c r="E98" s="131" t="s">
        <v>263</v>
      </c>
      <c r="F98" s="131" t="s">
        <v>25</v>
      </c>
      <c r="G98" s="131" t="str">
        <f t="shared" si="20"/>
        <v>Cultivate &amp; Post  8R-30</v>
      </c>
      <c r="H98" s="244">
        <v>44100</v>
      </c>
      <c r="I98" s="170">
        <v>20</v>
      </c>
      <c r="J98" s="170">
        <v>5</v>
      </c>
      <c r="K98" s="170">
        <v>75</v>
      </c>
      <c r="L98" s="171">
        <f t="shared" si="21"/>
        <v>0.10999999999999999</v>
      </c>
      <c r="M98" s="170">
        <v>30</v>
      </c>
      <c r="N98" s="170">
        <v>40</v>
      </c>
      <c r="O98" s="170">
        <v>10</v>
      </c>
      <c r="P98" s="170">
        <v>150</v>
      </c>
      <c r="Q98" s="17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8">
        <v>19</v>
      </c>
      <c r="B99" s="170" t="str">
        <f t="shared" si="19"/>
        <v>0.91, Cultivate &amp; Post  8R-36</v>
      </c>
      <c r="C99" s="135">
        <v>0.91</v>
      </c>
      <c r="D99" s="131" t="s">
        <v>440</v>
      </c>
      <c r="E99" s="131" t="s">
        <v>263</v>
      </c>
      <c r="F99" s="131" t="s">
        <v>193</v>
      </c>
      <c r="G99" s="131" t="str">
        <f t="shared" si="20"/>
        <v>Cultivate &amp; Post  8R-36</v>
      </c>
      <c r="H99" s="244">
        <v>49100</v>
      </c>
      <c r="I99" s="170">
        <v>24</v>
      </c>
      <c r="J99" s="170">
        <v>5</v>
      </c>
      <c r="K99" s="170">
        <v>75</v>
      </c>
      <c r="L99" s="171">
        <f t="shared" si="21"/>
        <v>9.1666666666666674E-2</v>
      </c>
      <c r="M99" s="170">
        <v>30</v>
      </c>
      <c r="N99" s="170">
        <v>40</v>
      </c>
      <c r="O99" s="170">
        <v>10</v>
      </c>
      <c r="P99" s="170">
        <v>150</v>
      </c>
      <c r="Q99" s="17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8">
        <v>20</v>
      </c>
      <c r="B100" s="170" t="str">
        <f t="shared" si="19"/>
        <v>0.92, Cultivate &amp; Post 10R-30</v>
      </c>
      <c r="C100" s="135">
        <v>0.92</v>
      </c>
      <c r="D100" s="131" t="s">
        <v>440</v>
      </c>
      <c r="E100" s="131" t="s">
        <v>263</v>
      </c>
      <c r="F100" s="131" t="s">
        <v>24</v>
      </c>
      <c r="G100" s="131" t="str">
        <f t="shared" si="20"/>
        <v>Cultivate &amp; Post 10R-30</v>
      </c>
      <c r="H100" s="246">
        <v>40000</v>
      </c>
      <c r="I100" s="170">
        <v>25</v>
      </c>
      <c r="J100" s="170">
        <v>5</v>
      </c>
      <c r="K100" s="170">
        <v>75</v>
      </c>
      <c r="L100" s="171">
        <f t="shared" si="21"/>
        <v>8.8000000000000009E-2</v>
      </c>
      <c r="M100" s="170">
        <v>30</v>
      </c>
      <c r="N100" s="170">
        <v>40</v>
      </c>
      <c r="O100" s="170">
        <v>10</v>
      </c>
      <c r="P100" s="170">
        <v>150</v>
      </c>
      <c r="Q100" s="17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8">
        <v>310</v>
      </c>
      <c r="B101" s="170" t="str">
        <f t="shared" si="19"/>
        <v>0.93, Cultivate &amp; Post 12R-30</v>
      </c>
      <c r="C101" s="135">
        <v>0.93</v>
      </c>
      <c r="D101" s="131" t="s">
        <v>440</v>
      </c>
      <c r="E101" s="131" t="s">
        <v>263</v>
      </c>
      <c r="F101" s="131" t="s">
        <v>6</v>
      </c>
      <c r="G101" s="131" t="str">
        <f t="shared" si="20"/>
        <v>Cultivate &amp; Post 12R-30</v>
      </c>
      <c r="H101" s="244">
        <v>67800</v>
      </c>
      <c r="I101" s="170">
        <v>30</v>
      </c>
      <c r="J101" s="170">
        <v>5</v>
      </c>
      <c r="K101" s="170">
        <v>75</v>
      </c>
      <c r="L101" s="171">
        <f t="shared" si="21"/>
        <v>7.3333333333333334E-2</v>
      </c>
      <c r="M101" s="170">
        <v>30</v>
      </c>
      <c r="N101" s="170">
        <v>40</v>
      </c>
      <c r="O101" s="170">
        <v>10</v>
      </c>
      <c r="P101" s="170">
        <v>150</v>
      </c>
      <c r="Q101" s="17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8">
        <v>231</v>
      </c>
      <c r="B102" s="170" t="str">
        <f t="shared" si="19"/>
        <v>0.94, Cultivate &amp; Post  8R-36 2x1</v>
      </c>
      <c r="C102" s="135">
        <v>0.94</v>
      </c>
      <c r="D102" s="131" t="s">
        <v>440</v>
      </c>
      <c r="E102" s="131" t="s">
        <v>263</v>
      </c>
      <c r="F102" s="131" t="s">
        <v>197</v>
      </c>
      <c r="G102" s="131" t="str">
        <f t="shared" si="20"/>
        <v>Cultivate &amp; Post  8R-36 2x1</v>
      </c>
      <c r="H102" s="244">
        <v>66000</v>
      </c>
      <c r="I102" s="170">
        <v>36</v>
      </c>
      <c r="J102" s="170">
        <v>5</v>
      </c>
      <c r="K102" s="170">
        <v>75</v>
      </c>
      <c r="L102" s="171">
        <f t="shared" si="21"/>
        <v>6.1111111111111109E-2</v>
      </c>
      <c r="M102" s="170">
        <v>30</v>
      </c>
      <c r="N102" s="170">
        <v>40</v>
      </c>
      <c r="O102" s="170">
        <v>10</v>
      </c>
      <c r="P102" s="170">
        <v>150</v>
      </c>
      <c r="Q102" s="17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8">
        <v>232</v>
      </c>
      <c r="B103" s="170" t="str">
        <f t="shared" si="19"/>
        <v>0.95, Cultivate &amp; Post 12R-36</v>
      </c>
      <c r="C103" s="135">
        <v>0.95</v>
      </c>
      <c r="D103" s="131" t="s">
        <v>440</v>
      </c>
      <c r="E103" s="131" t="s">
        <v>263</v>
      </c>
      <c r="F103" s="131" t="s">
        <v>194</v>
      </c>
      <c r="G103" s="131" t="str">
        <f t="shared" si="20"/>
        <v>Cultivate &amp; Post 12R-36</v>
      </c>
      <c r="H103" s="244">
        <v>66000</v>
      </c>
      <c r="I103" s="170">
        <v>36</v>
      </c>
      <c r="J103" s="170">
        <v>5</v>
      </c>
      <c r="K103" s="170">
        <v>75</v>
      </c>
      <c r="L103" s="171">
        <f t="shared" si="21"/>
        <v>6.1111111111111109E-2</v>
      </c>
      <c r="M103" s="170">
        <v>30</v>
      </c>
      <c r="N103" s="170">
        <v>40</v>
      </c>
      <c r="O103" s="170">
        <v>10</v>
      </c>
      <c r="P103" s="170">
        <v>150</v>
      </c>
      <c r="Q103" s="17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8">
        <v>581</v>
      </c>
      <c r="B104" s="170" t="str">
        <f t="shared" si="19"/>
        <v>0.96, Cultivate &amp; Post 16R-30</v>
      </c>
      <c r="C104" s="135">
        <v>0.96</v>
      </c>
      <c r="D104" s="131" t="s">
        <v>440</v>
      </c>
      <c r="E104" s="131" t="s">
        <v>263</v>
      </c>
      <c r="F104" s="131" t="s">
        <v>59</v>
      </c>
      <c r="G104" s="131" t="str">
        <f t="shared" si="20"/>
        <v>Cultivate &amp; Post 16R-30</v>
      </c>
      <c r="H104" s="244">
        <v>89200</v>
      </c>
      <c r="I104" s="170">
        <v>40</v>
      </c>
      <c r="J104" s="170">
        <v>5</v>
      </c>
      <c r="K104" s="170">
        <v>75</v>
      </c>
      <c r="L104" s="171">
        <f t="shared" si="21"/>
        <v>5.4999999999999993E-2</v>
      </c>
      <c r="M104" s="170">
        <v>30</v>
      </c>
      <c r="N104" s="170">
        <v>40</v>
      </c>
      <c r="O104" s="170">
        <v>10</v>
      </c>
      <c r="P104" s="170">
        <v>150</v>
      </c>
      <c r="Q104" s="17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8">
        <v>322</v>
      </c>
      <c r="B105" s="170" t="str">
        <f t="shared" si="19"/>
        <v>0.97, Cultivate Ridge Till 8R-30</v>
      </c>
      <c r="C105" s="135">
        <v>0.97</v>
      </c>
      <c r="D105" s="131" t="s">
        <v>440</v>
      </c>
      <c r="E105" s="131" t="s">
        <v>474</v>
      </c>
      <c r="F105" s="131" t="s">
        <v>25</v>
      </c>
      <c r="G105" s="131" t="str">
        <f t="shared" si="20"/>
        <v>Cultivate Ridge Till 8R-30</v>
      </c>
      <c r="H105" s="246">
        <v>26000</v>
      </c>
      <c r="I105" s="170">
        <v>20</v>
      </c>
      <c r="J105" s="170">
        <v>5</v>
      </c>
      <c r="K105" s="170">
        <v>80</v>
      </c>
      <c r="L105" s="171">
        <f t="shared" si="21"/>
        <v>0.10312499999999999</v>
      </c>
      <c r="M105" s="170">
        <v>25</v>
      </c>
      <c r="N105" s="170">
        <v>115</v>
      </c>
      <c r="O105" s="170">
        <v>12</v>
      </c>
      <c r="P105" s="170">
        <v>200</v>
      </c>
      <c r="Q105" s="17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8">
        <v>320</v>
      </c>
      <c r="B106" s="170" t="str">
        <f t="shared" si="19"/>
        <v>0.98, Cultivate Ridge Till 12R-30</v>
      </c>
      <c r="C106" s="135">
        <v>0.98</v>
      </c>
      <c r="D106" s="131" t="s">
        <v>440</v>
      </c>
      <c r="E106" s="131" t="s">
        <v>476</v>
      </c>
      <c r="F106" s="131" t="s">
        <v>6</v>
      </c>
      <c r="G106" s="131" t="str">
        <f t="shared" si="20"/>
        <v>Cultivate Ridge Till 12R-30</v>
      </c>
      <c r="H106" s="246">
        <v>38000</v>
      </c>
      <c r="I106" s="170">
        <v>30</v>
      </c>
      <c r="J106" s="170">
        <v>5</v>
      </c>
      <c r="K106" s="170">
        <v>80</v>
      </c>
      <c r="L106" s="171">
        <f t="shared" si="21"/>
        <v>6.8750000000000006E-2</v>
      </c>
      <c r="M106" s="170">
        <v>25</v>
      </c>
      <c r="N106" s="170">
        <v>115</v>
      </c>
      <c r="O106" s="170">
        <v>12</v>
      </c>
      <c r="P106" s="170">
        <v>200</v>
      </c>
      <c r="Q106" s="17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8">
        <v>47</v>
      </c>
      <c r="B107" s="170" t="str">
        <f t="shared" si="19"/>
        <v>0.99, Disk &amp; Incorporate 14'</v>
      </c>
      <c r="C107" s="135">
        <v>0.99</v>
      </c>
      <c r="D107" s="131" t="s">
        <v>440</v>
      </c>
      <c r="E107" s="131" t="s">
        <v>264</v>
      </c>
      <c r="F107" s="131" t="s">
        <v>12</v>
      </c>
      <c r="G107" s="131" t="str">
        <f t="shared" si="20"/>
        <v>Disk &amp; Incorporate 14'</v>
      </c>
      <c r="H107" s="244">
        <v>42100</v>
      </c>
      <c r="I107" s="170">
        <v>14</v>
      </c>
      <c r="J107" s="170">
        <v>5.25</v>
      </c>
      <c r="K107" s="170">
        <v>75</v>
      </c>
      <c r="L107" s="171">
        <f t="shared" si="21"/>
        <v>0.14965986394557823</v>
      </c>
      <c r="M107" s="170">
        <v>30</v>
      </c>
      <c r="N107" s="170">
        <v>60</v>
      </c>
      <c r="O107" s="170">
        <v>10</v>
      </c>
      <c r="P107" s="170">
        <v>200</v>
      </c>
      <c r="Q107" s="17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8">
        <v>744</v>
      </c>
      <c r="B108" s="170" t="str">
        <f t="shared" si="19"/>
        <v>1, Disk &amp; Incorporate 20'</v>
      </c>
      <c r="C108" s="135">
        <v>1</v>
      </c>
      <c r="D108" s="131" t="s">
        <v>440</v>
      </c>
      <c r="E108" s="131" t="s">
        <v>264</v>
      </c>
      <c r="F108" s="131" t="s">
        <v>8</v>
      </c>
      <c r="G108" s="131" t="str">
        <f t="shared" si="20"/>
        <v>Disk &amp; Incorporate 20'</v>
      </c>
      <c r="H108" s="244">
        <v>83300</v>
      </c>
      <c r="I108" s="170">
        <v>20</v>
      </c>
      <c r="J108" s="170">
        <v>5.25</v>
      </c>
      <c r="K108" s="170">
        <v>85</v>
      </c>
      <c r="L108" s="171">
        <f t="shared" si="21"/>
        <v>9.2436974789915971E-2</v>
      </c>
      <c r="M108" s="170">
        <v>30</v>
      </c>
      <c r="N108" s="170">
        <v>60</v>
      </c>
      <c r="O108" s="170">
        <v>10</v>
      </c>
      <c r="P108" s="170">
        <v>180</v>
      </c>
      <c r="Q108" s="17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8">
        <v>48</v>
      </c>
      <c r="B109" s="170" t="str">
        <f t="shared" si="19"/>
        <v>1.01, Disk &amp; Incorporate 24'</v>
      </c>
      <c r="C109" s="135">
        <v>1.01</v>
      </c>
      <c r="D109" s="131" t="s">
        <v>440</v>
      </c>
      <c r="E109" s="131" t="s">
        <v>264</v>
      </c>
      <c r="F109" s="131" t="s">
        <v>65</v>
      </c>
      <c r="G109" s="131" t="str">
        <f t="shared" si="20"/>
        <v>Disk &amp; Incorporate 24'</v>
      </c>
      <c r="H109" s="244">
        <v>71800</v>
      </c>
      <c r="I109" s="170">
        <v>24</v>
      </c>
      <c r="J109" s="170">
        <v>5.25</v>
      </c>
      <c r="K109" s="170">
        <v>75</v>
      </c>
      <c r="L109" s="171">
        <f t="shared" si="21"/>
        <v>8.7301587301587297E-2</v>
      </c>
      <c r="M109" s="170">
        <v>30</v>
      </c>
      <c r="N109" s="170">
        <v>60</v>
      </c>
      <c r="O109" s="170">
        <v>10</v>
      </c>
      <c r="P109" s="170">
        <v>200</v>
      </c>
      <c r="Q109" s="17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8">
        <v>582</v>
      </c>
      <c r="B110" s="170" t="str">
        <f t="shared" si="19"/>
        <v>1.02, Disk &amp; Incorporate 28'</v>
      </c>
      <c r="C110" s="135">
        <v>1.02</v>
      </c>
      <c r="D110" s="131" t="s">
        <v>440</v>
      </c>
      <c r="E110" s="131" t="s">
        <v>264</v>
      </c>
      <c r="F110" s="131" t="s">
        <v>87</v>
      </c>
      <c r="G110" s="131" t="str">
        <f t="shared" si="20"/>
        <v>Disk &amp; Incorporate 28'</v>
      </c>
      <c r="H110" s="244">
        <v>82000</v>
      </c>
      <c r="I110" s="170">
        <v>28</v>
      </c>
      <c r="J110" s="170">
        <v>5.25</v>
      </c>
      <c r="K110" s="170">
        <v>75</v>
      </c>
      <c r="L110" s="171">
        <f t="shared" si="21"/>
        <v>7.4829931972789115E-2</v>
      </c>
      <c r="M110" s="170">
        <v>30</v>
      </c>
      <c r="N110" s="170">
        <v>60</v>
      </c>
      <c r="O110" s="170">
        <v>10</v>
      </c>
      <c r="P110" s="170">
        <v>200</v>
      </c>
      <c r="Q110" s="17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8">
        <v>49</v>
      </c>
      <c r="B111" s="170" t="str">
        <f t="shared" si="19"/>
        <v>1.03, Disk &amp; Incorporate 32'</v>
      </c>
      <c r="C111" s="135">
        <v>1.03</v>
      </c>
      <c r="D111" s="131" t="s">
        <v>440</v>
      </c>
      <c r="E111" s="131" t="s">
        <v>264</v>
      </c>
      <c r="F111" s="131" t="s">
        <v>43</v>
      </c>
      <c r="G111" s="131" t="str">
        <f t="shared" si="20"/>
        <v>Disk &amp; Incorporate 32'</v>
      </c>
      <c r="H111" s="244">
        <v>93300</v>
      </c>
      <c r="I111" s="170">
        <v>32</v>
      </c>
      <c r="J111" s="170">
        <v>5.25</v>
      </c>
      <c r="K111" s="170">
        <v>75</v>
      </c>
      <c r="L111" s="171">
        <f t="shared" si="21"/>
        <v>6.5476190476190479E-2</v>
      </c>
      <c r="M111" s="170">
        <v>30</v>
      </c>
      <c r="N111" s="170">
        <v>60</v>
      </c>
      <c r="O111" s="170">
        <v>10</v>
      </c>
      <c r="P111" s="170">
        <v>200</v>
      </c>
      <c r="Q111" s="17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8">
        <v>72</v>
      </c>
      <c r="B112" s="170" t="str">
        <f t="shared" si="19"/>
        <v>1.04, Disk Harrow 14'</v>
      </c>
      <c r="C112" s="135">
        <v>1.04</v>
      </c>
      <c r="D112" s="131" t="s">
        <v>440</v>
      </c>
      <c r="E112" s="131" t="s">
        <v>265</v>
      </c>
      <c r="F112" s="131" t="s">
        <v>12</v>
      </c>
      <c r="G112" s="131" t="str">
        <f t="shared" si="20"/>
        <v>Disk Harrow 14'</v>
      </c>
      <c r="H112" s="244">
        <v>36300</v>
      </c>
      <c r="I112" s="170">
        <v>14</v>
      </c>
      <c r="J112" s="170">
        <v>5.25</v>
      </c>
      <c r="K112" s="170">
        <v>80</v>
      </c>
      <c r="L112" s="171">
        <f t="shared" si="21"/>
        <v>0.14030612244897961</v>
      </c>
      <c r="M112" s="170">
        <v>30</v>
      </c>
      <c r="N112" s="170">
        <v>50</v>
      </c>
      <c r="O112" s="170">
        <v>10</v>
      </c>
      <c r="P112" s="170">
        <v>180</v>
      </c>
      <c r="Q112" s="17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8">
        <v>743</v>
      </c>
      <c r="B113" s="170" t="str">
        <f t="shared" si="19"/>
        <v>1.05, Disk Harrow 20'</v>
      </c>
      <c r="C113" s="135">
        <v>1.05</v>
      </c>
      <c r="D113" s="131" t="s">
        <v>440</v>
      </c>
      <c r="E113" s="131" t="s">
        <v>265</v>
      </c>
      <c r="F113" s="131" t="s">
        <v>8</v>
      </c>
      <c r="G113" s="131" t="str">
        <f t="shared" si="20"/>
        <v>Disk Harrow 20'</v>
      </c>
      <c r="H113" s="244">
        <v>77500</v>
      </c>
      <c r="I113" s="170">
        <v>20</v>
      </c>
      <c r="J113" s="170">
        <v>5.25</v>
      </c>
      <c r="K113" s="170">
        <v>80</v>
      </c>
      <c r="L113" s="171">
        <f t="shared" si="21"/>
        <v>9.8214285714285712E-2</v>
      </c>
      <c r="M113" s="170">
        <v>30</v>
      </c>
      <c r="N113" s="170">
        <v>50</v>
      </c>
      <c r="O113" s="170">
        <v>10</v>
      </c>
      <c r="P113" s="170">
        <v>180</v>
      </c>
      <c r="Q113" s="17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8">
        <v>73</v>
      </c>
      <c r="B114" s="170" t="str">
        <f>CONCATENATE(C114,D114,E114,F114)</f>
        <v>1.06, Disk Harrow 24'</v>
      </c>
      <c r="C114" s="135">
        <v>1.06</v>
      </c>
      <c r="D114" s="131" t="s">
        <v>440</v>
      </c>
      <c r="E114" s="131" t="s">
        <v>265</v>
      </c>
      <c r="F114" s="131" t="s">
        <v>65</v>
      </c>
      <c r="G114" s="131" t="str">
        <f t="shared" si="20"/>
        <v>Disk Harrow 24'</v>
      </c>
      <c r="H114" s="244">
        <v>65900</v>
      </c>
      <c r="I114" s="170">
        <v>24</v>
      </c>
      <c r="J114" s="170">
        <v>5.25</v>
      </c>
      <c r="K114" s="170">
        <v>80</v>
      </c>
      <c r="L114" s="171">
        <f t="shared" si="21"/>
        <v>8.1845238095238096E-2</v>
      </c>
      <c r="M114" s="170">
        <v>30</v>
      </c>
      <c r="N114" s="170">
        <v>50</v>
      </c>
      <c r="O114" s="170">
        <v>10</v>
      </c>
      <c r="P114" s="170">
        <v>180</v>
      </c>
      <c r="Q114" s="17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8">
        <v>291</v>
      </c>
      <c r="B115" s="170" t="str">
        <f t="shared" si="19"/>
        <v>1.07, Disk Harrow 28'</v>
      </c>
      <c r="C115" s="135">
        <v>1.07</v>
      </c>
      <c r="D115" s="131" t="s">
        <v>440</v>
      </c>
      <c r="E115" s="131" t="s">
        <v>265</v>
      </c>
      <c r="F115" s="131" t="s">
        <v>87</v>
      </c>
      <c r="G115" s="131" t="str">
        <f t="shared" si="20"/>
        <v>Disk Harrow 28'</v>
      </c>
      <c r="H115" s="244">
        <v>76200</v>
      </c>
      <c r="I115" s="170">
        <v>28</v>
      </c>
      <c r="J115" s="170">
        <v>5.25</v>
      </c>
      <c r="K115" s="170">
        <v>80</v>
      </c>
      <c r="L115" s="171">
        <f t="shared" si="21"/>
        <v>7.0153061224489804E-2</v>
      </c>
      <c r="M115" s="170">
        <v>30</v>
      </c>
      <c r="N115" s="170">
        <v>50</v>
      </c>
      <c r="O115" s="170">
        <v>10</v>
      </c>
      <c r="P115" s="170">
        <v>180</v>
      </c>
      <c r="Q115" s="17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8">
        <v>74</v>
      </c>
      <c r="B116" s="170" t="str">
        <f t="shared" si="19"/>
        <v>1.08, Disk Harrow 32'</v>
      </c>
      <c r="C116" s="135">
        <v>1.08</v>
      </c>
      <c r="D116" s="131" t="s">
        <v>440</v>
      </c>
      <c r="E116" s="131" t="s">
        <v>265</v>
      </c>
      <c r="F116" s="131" t="s">
        <v>43</v>
      </c>
      <c r="G116" s="131" t="str">
        <f t="shared" si="20"/>
        <v>Disk Harrow 32'</v>
      </c>
      <c r="H116" s="244">
        <v>87500</v>
      </c>
      <c r="I116" s="170">
        <v>32</v>
      </c>
      <c r="J116" s="170">
        <v>5.25</v>
      </c>
      <c r="K116" s="170">
        <v>80</v>
      </c>
      <c r="L116" s="171">
        <f t="shared" si="21"/>
        <v>6.1383928571428575E-2</v>
      </c>
      <c r="M116" s="170">
        <v>30</v>
      </c>
      <c r="N116" s="170">
        <v>50</v>
      </c>
      <c r="O116" s="170">
        <v>10</v>
      </c>
      <c r="P116" s="170">
        <v>180</v>
      </c>
      <c r="Q116" s="17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8">
        <v>721</v>
      </c>
      <c r="B117" s="170" t="str">
        <f t="shared" si="19"/>
        <v>1.09, Disk Harrow 42'</v>
      </c>
      <c r="C117" s="135">
        <v>1.0900000000000001</v>
      </c>
      <c r="D117" s="131" t="s">
        <v>440</v>
      </c>
      <c r="E117" s="131" t="s">
        <v>265</v>
      </c>
      <c r="F117" s="131" t="s">
        <v>86</v>
      </c>
      <c r="G117" s="131" t="str">
        <f t="shared" si="20"/>
        <v>Disk Harrow 42'</v>
      </c>
      <c r="H117" s="244">
        <v>139000</v>
      </c>
      <c r="I117" s="170">
        <v>42</v>
      </c>
      <c r="J117" s="170">
        <v>5.25</v>
      </c>
      <c r="K117" s="170">
        <v>80</v>
      </c>
      <c r="L117" s="171">
        <f t="shared" si="21"/>
        <v>4.6768707482993194E-2</v>
      </c>
      <c r="M117" s="170">
        <v>30</v>
      </c>
      <c r="N117" s="170">
        <v>50</v>
      </c>
      <c r="O117" s="170">
        <v>10</v>
      </c>
      <c r="P117" s="170">
        <v>180</v>
      </c>
      <c r="Q117" s="17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8">
        <v>742</v>
      </c>
      <c r="B118" s="170" t="str">
        <f t="shared" si="19"/>
        <v>1.1, Disk Harrow 40-100 hp 14'</v>
      </c>
      <c r="C118" s="135">
        <v>1.1000000000000001</v>
      </c>
      <c r="D118" s="131" t="s">
        <v>440</v>
      </c>
      <c r="E118" s="131" t="s">
        <v>266</v>
      </c>
      <c r="F118" s="131" t="s">
        <v>12</v>
      </c>
      <c r="G118" s="131" t="str">
        <f t="shared" si="20"/>
        <v>Disk Harrow 40-100 hp 14'</v>
      </c>
      <c r="H118" s="244">
        <v>24600</v>
      </c>
      <c r="I118" s="170">
        <v>14</v>
      </c>
      <c r="J118" s="170">
        <v>5.25</v>
      </c>
      <c r="K118" s="170">
        <v>80</v>
      </c>
      <c r="L118" s="171">
        <f t="shared" si="21"/>
        <v>0.14030612244897961</v>
      </c>
      <c r="M118" s="170">
        <v>30</v>
      </c>
      <c r="N118" s="170">
        <v>50</v>
      </c>
      <c r="O118" s="170">
        <v>10</v>
      </c>
      <c r="P118" s="170">
        <v>180</v>
      </c>
      <c r="Q118" s="17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8">
        <v>722</v>
      </c>
      <c r="B119" s="170" t="str">
        <f t="shared" si="19"/>
        <v>1.11, Disk Ripper 15'</v>
      </c>
      <c r="C119" s="135">
        <v>1.1100000000000001</v>
      </c>
      <c r="D119" s="131" t="s">
        <v>440</v>
      </c>
      <c r="E119" s="131" t="s">
        <v>267</v>
      </c>
      <c r="F119" s="131" t="s">
        <v>10</v>
      </c>
      <c r="G119" s="131" t="str">
        <f t="shared" si="20"/>
        <v>Disk Ripper 15'</v>
      </c>
      <c r="H119" s="244">
        <v>68600</v>
      </c>
      <c r="I119" s="170">
        <v>15</v>
      </c>
      <c r="J119" s="170">
        <v>4.75</v>
      </c>
      <c r="K119" s="170">
        <v>85</v>
      </c>
      <c r="L119" s="171">
        <f t="shared" si="21"/>
        <v>0.13622291021671826</v>
      </c>
      <c r="M119" s="170">
        <v>30</v>
      </c>
      <c r="N119" s="170">
        <v>50</v>
      </c>
      <c r="O119" s="170">
        <v>10</v>
      </c>
      <c r="P119" s="170">
        <v>180</v>
      </c>
      <c r="Q119" s="17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8">
        <v>419</v>
      </c>
      <c r="B120" s="170" t="str">
        <f t="shared" si="19"/>
        <v xml:space="preserve">1.12, Ditcher  </v>
      </c>
      <c r="C120" s="135">
        <v>1.1200000000000001</v>
      </c>
      <c r="D120" s="131" t="s">
        <v>440</v>
      </c>
      <c r="E120" s="131" t="s">
        <v>268</v>
      </c>
      <c r="F120" s="131" t="s">
        <v>63</v>
      </c>
      <c r="G120" s="131" t="str">
        <f t="shared" si="20"/>
        <v xml:space="preserve">Ditcher  </v>
      </c>
      <c r="H120" s="244">
        <v>6720</v>
      </c>
      <c r="I120" s="170">
        <v>12</v>
      </c>
      <c r="J120" s="170">
        <v>4.75</v>
      </c>
      <c r="K120" s="170">
        <v>85</v>
      </c>
      <c r="L120" s="171">
        <f t="shared" si="21"/>
        <v>0.17027863777089783</v>
      </c>
      <c r="M120" s="170">
        <v>30</v>
      </c>
      <c r="N120" s="170">
        <v>80</v>
      </c>
      <c r="O120" s="170">
        <v>10</v>
      </c>
      <c r="P120" s="170">
        <v>200</v>
      </c>
      <c r="Q120" s="17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8">
        <v>76</v>
      </c>
      <c r="B121" s="170" t="str">
        <f t="shared" si="19"/>
        <v xml:space="preserve">1.13, Ditcher (1m/160a)  </v>
      </c>
      <c r="C121" s="135">
        <v>1.1299999999999999</v>
      </c>
      <c r="D121" s="131" t="s">
        <v>440</v>
      </c>
      <c r="E121" s="131" t="s">
        <v>269</v>
      </c>
      <c r="F121" s="131" t="s">
        <v>63</v>
      </c>
      <c r="G121" s="131" t="str">
        <f t="shared" si="20"/>
        <v xml:space="preserve">Ditcher (1m/160a)  </v>
      </c>
      <c r="H121" s="244">
        <v>6720</v>
      </c>
      <c r="I121" s="170">
        <v>12</v>
      </c>
      <c r="J121" s="170">
        <v>4.75</v>
      </c>
      <c r="K121" s="170">
        <v>85</v>
      </c>
      <c r="L121" s="171">
        <f t="shared" si="21"/>
        <v>0.17027863777089783</v>
      </c>
      <c r="M121" s="170">
        <v>30</v>
      </c>
      <c r="N121" s="170">
        <v>80</v>
      </c>
      <c r="O121" s="170">
        <v>10</v>
      </c>
      <c r="P121" s="170">
        <v>200</v>
      </c>
      <c r="Q121" s="17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8">
        <v>83</v>
      </c>
      <c r="B122" s="170" t="str">
        <f t="shared" si="19"/>
        <v>1.14, Fert Appl (Liquid)  4R-36</v>
      </c>
      <c r="C122" s="135">
        <v>1.1399999999999999</v>
      </c>
      <c r="D122" s="131" t="s">
        <v>440</v>
      </c>
      <c r="E122" s="131" t="s">
        <v>270</v>
      </c>
      <c r="F122" s="131" t="s">
        <v>195</v>
      </c>
      <c r="G122" s="131" t="str">
        <f t="shared" si="20"/>
        <v>Fert Appl (Liquid)  4R-36</v>
      </c>
      <c r="H122" s="244">
        <v>25400</v>
      </c>
      <c r="I122" s="170">
        <v>12</v>
      </c>
      <c r="J122" s="170">
        <v>6</v>
      </c>
      <c r="K122" s="170">
        <v>70</v>
      </c>
      <c r="L122" s="171">
        <f t="shared" si="21"/>
        <v>0.16369047619047619</v>
      </c>
      <c r="M122" s="170">
        <v>40</v>
      </c>
      <c r="N122" s="170">
        <v>80</v>
      </c>
      <c r="O122" s="170">
        <v>8</v>
      </c>
      <c r="P122" s="170">
        <v>150</v>
      </c>
      <c r="Q122" s="17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8">
        <v>84</v>
      </c>
      <c r="B123" s="170" t="str">
        <f t="shared" si="19"/>
        <v>1.15, Fert Appl (Liquid)  6R-30</v>
      </c>
      <c r="C123" s="135">
        <v>1.1499999999999999</v>
      </c>
      <c r="D123" s="131" t="s">
        <v>440</v>
      </c>
      <c r="E123" s="131" t="s">
        <v>270</v>
      </c>
      <c r="F123" s="131" t="s">
        <v>53</v>
      </c>
      <c r="G123" s="131" t="str">
        <f t="shared" si="20"/>
        <v>Fert Appl (Liquid)  6R-30</v>
      </c>
      <c r="H123" s="244">
        <v>25300</v>
      </c>
      <c r="I123" s="170">
        <v>15</v>
      </c>
      <c r="J123" s="170">
        <v>6</v>
      </c>
      <c r="K123" s="170">
        <v>70</v>
      </c>
      <c r="L123" s="171">
        <f t="shared" si="21"/>
        <v>0.13095238095238096</v>
      </c>
      <c r="M123" s="170">
        <v>40</v>
      </c>
      <c r="N123" s="170">
        <v>80</v>
      </c>
      <c r="O123" s="170">
        <v>8</v>
      </c>
      <c r="P123" s="170">
        <v>150</v>
      </c>
      <c r="Q123" s="17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8">
        <v>85</v>
      </c>
      <c r="B124" s="170" t="str">
        <f t="shared" si="19"/>
        <v>1.16, Fert Appl (Liquid)  6R-36</v>
      </c>
      <c r="C124" s="135">
        <v>1.1599999999999999</v>
      </c>
      <c r="D124" s="131" t="s">
        <v>440</v>
      </c>
      <c r="E124" s="131" t="s">
        <v>270</v>
      </c>
      <c r="F124" s="131" t="s">
        <v>196</v>
      </c>
      <c r="G124" s="131" t="str">
        <f t="shared" si="20"/>
        <v>Fert Appl (Liquid)  6R-36</v>
      </c>
      <c r="H124" s="244">
        <v>25300</v>
      </c>
      <c r="I124" s="170">
        <v>18</v>
      </c>
      <c r="J124" s="170">
        <v>6</v>
      </c>
      <c r="K124" s="170">
        <v>70</v>
      </c>
      <c r="L124" s="171">
        <f t="shared" si="21"/>
        <v>0.10912698412698414</v>
      </c>
      <c r="M124" s="170">
        <v>40</v>
      </c>
      <c r="N124" s="170">
        <v>80</v>
      </c>
      <c r="O124" s="170">
        <v>8</v>
      </c>
      <c r="P124" s="170">
        <v>150</v>
      </c>
      <c r="Q124" s="17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8">
        <v>86</v>
      </c>
      <c r="B125" s="170" t="str">
        <f t="shared" si="19"/>
        <v>1.17, Fert Appl (Liquid)  8R-30</v>
      </c>
      <c r="C125" s="135">
        <v>1.17</v>
      </c>
      <c r="D125" s="131" t="s">
        <v>440</v>
      </c>
      <c r="E125" s="131" t="s">
        <v>270</v>
      </c>
      <c r="F125" s="131" t="s">
        <v>25</v>
      </c>
      <c r="G125" s="131" t="str">
        <f t="shared" si="20"/>
        <v>Fert Appl (Liquid)  8R-30</v>
      </c>
      <c r="H125" s="244">
        <v>26300</v>
      </c>
      <c r="I125" s="170">
        <v>20</v>
      </c>
      <c r="J125" s="170">
        <v>6</v>
      </c>
      <c r="K125" s="170">
        <v>70</v>
      </c>
      <c r="L125" s="171">
        <f t="shared" si="21"/>
        <v>9.8214285714285712E-2</v>
      </c>
      <c r="M125" s="170">
        <v>40</v>
      </c>
      <c r="N125" s="170">
        <v>80</v>
      </c>
      <c r="O125" s="170">
        <v>8</v>
      </c>
      <c r="P125" s="170">
        <v>150</v>
      </c>
      <c r="Q125" s="17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8">
        <v>87</v>
      </c>
      <c r="B126" s="170" t="str">
        <f t="shared" si="19"/>
        <v>1.18, Fert Appl (Liquid)  8R-36</v>
      </c>
      <c r="C126" s="135">
        <v>1.18</v>
      </c>
      <c r="D126" s="131" t="s">
        <v>440</v>
      </c>
      <c r="E126" s="131" t="s">
        <v>270</v>
      </c>
      <c r="F126" s="131" t="s">
        <v>193</v>
      </c>
      <c r="G126" s="131" t="str">
        <f t="shared" si="20"/>
        <v>Fert Appl (Liquid)  8R-36</v>
      </c>
      <c r="H126" s="244">
        <v>29500</v>
      </c>
      <c r="I126" s="170">
        <v>24</v>
      </c>
      <c r="J126" s="170">
        <v>6</v>
      </c>
      <c r="K126" s="170">
        <v>70</v>
      </c>
      <c r="L126" s="171">
        <f t="shared" si="21"/>
        <v>8.1845238095238096E-2</v>
      </c>
      <c r="M126" s="170">
        <v>40</v>
      </c>
      <c r="N126" s="170">
        <v>80</v>
      </c>
      <c r="O126" s="170">
        <v>8</v>
      </c>
      <c r="P126" s="170">
        <v>150</v>
      </c>
      <c r="Q126" s="17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8">
        <v>88</v>
      </c>
      <c r="B127" s="170" t="str">
        <f t="shared" si="19"/>
        <v>1.19, Fert Appl (Liquid) 10R-30</v>
      </c>
      <c r="C127" s="135">
        <v>1.19</v>
      </c>
      <c r="D127" s="131" t="s">
        <v>440</v>
      </c>
      <c r="E127" s="131" t="s">
        <v>270</v>
      </c>
      <c r="F127" s="131" t="s">
        <v>24</v>
      </c>
      <c r="G127" s="131" t="str">
        <f t="shared" si="20"/>
        <v>Fert Appl (Liquid) 10R-30</v>
      </c>
      <c r="H127" s="246">
        <v>23000</v>
      </c>
      <c r="I127" s="170">
        <v>25</v>
      </c>
      <c r="J127" s="170">
        <v>6</v>
      </c>
      <c r="K127" s="170">
        <v>70</v>
      </c>
      <c r="L127" s="171">
        <f t="shared" si="21"/>
        <v>7.857142857142857E-2</v>
      </c>
      <c r="M127" s="170">
        <v>40</v>
      </c>
      <c r="N127" s="170">
        <v>80</v>
      </c>
      <c r="O127" s="170">
        <v>8</v>
      </c>
      <c r="P127" s="170">
        <v>150</v>
      </c>
      <c r="Q127" s="17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8">
        <v>308</v>
      </c>
      <c r="B128" s="170" t="str">
        <f t="shared" si="19"/>
        <v>1.2, Fert Appl (Liquid) 12R-30</v>
      </c>
      <c r="C128" s="135">
        <v>1.2</v>
      </c>
      <c r="D128" s="131" t="s">
        <v>440</v>
      </c>
      <c r="E128" s="131" t="s">
        <v>270</v>
      </c>
      <c r="F128" s="131" t="s">
        <v>6</v>
      </c>
      <c r="G128" s="131" t="str">
        <f t="shared" si="20"/>
        <v>Fert Appl (Liquid) 12R-30</v>
      </c>
      <c r="H128" s="244">
        <v>36200</v>
      </c>
      <c r="I128" s="170">
        <v>25</v>
      </c>
      <c r="J128" s="170">
        <v>6</v>
      </c>
      <c r="K128" s="170">
        <v>70</v>
      </c>
      <c r="L128" s="171">
        <f t="shared" si="21"/>
        <v>7.857142857142857E-2</v>
      </c>
      <c r="M128" s="170">
        <v>40</v>
      </c>
      <c r="N128" s="170">
        <v>80</v>
      </c>
      <c r="O128" s="170">
        <v>8</v>
      </c>
      <c r="P128" s="170">
        <v>150</v>
      </c>
      <c r="Q128" s="17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8">
        <v>89</v>
      </c>
      <c r="B129" s="170" t="str">
        <f t="shared" si="19"/>
        <v>1.21, Fert Appl (Liquid) 10R-36</v>
      </c>
      <c r="C129" s="135">
        <v>1.21</v>
      </c>
      <c r="D129" s="131" t="s">
        <v>440</v>
      </c>
      <c r="E129" s="131" t="s">
        <v>270</v>
      </c>
      <c r="F129" s="131" t="s">
        <v>198</v>
      </c>
      <c r="G129" s="131" t="str">
        <f t="shared" si="20"/>
        <v>Fert Appl (Liquid) 10R-36</v>
      </c>
      <c r="H129" s="246">
        <v>24000</v>
      </c>
      <c r="I129" s="170">
        <v>31.7</v>
      </c>
      <c r="J129" s="170">
        <v>6</v>
      </c>
      <c r="K129" s="170">
        <v>70</v>
      </c>
      <c r="L129" s="171">
        <f t="shared" si="21"/>
        <v>6.1964849031095094E-2</v>
      </c>
      <c r="M129" s="170">
        <v>40</v>
      </c>
      <c r="N129" s="170">
        <v>80</v>
      </c>
      <c r="O129" s="170">
        <v>8</v>
      </c>
      <c r="P129" s="170">
        <v>150</v>
      </c>
      <c r="Q129" s="17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8">
        <v>244</v>
      </c>
      <c r="B130" s="170" t="str">
        <f t="shared" si="19"/>
        <v>1.22, Fert Appl (Liquid)  8R-36 2x1</v>
      </c>
      <c r="C130" s="135">
        <v>1.22</v>
      </c>
      <c r="D130" s="131" t="s">
        <v>440</v>
      </c>
      <c r="E130" s="131" t="s">
        <v>270</v>
      </c>
      <c r="F130" s="131" t="s">
        <v>197</v>
      </c>
      <c r="G130" s="131" t="str">
        <f t="shared" si="20"/>
        <v>Fert Appl (Liquid)  8R-36 2x1</v>
      </c>
      <c r="H130" s="244">
        <v>32900</v>
      </c>
      <c r="I130" s="170">
        <v>36</v>
      </c>
      <c r="J130" s="170">
        <v>6</v>
      </c>
      <c r="K130" s="170">
        <v>70</v>
      </c>
      <c r="L130" s="171">
        <f t="shared" si="21"/>
        <v>5.4563492063492071E-2</v>
      </c>
      <c r="M130" s="170">
        <v>40</v>
      </c>
      <c r="N130" s="170">
        <v>80</v>
      </c>
      <c r="O130" s="170">
        <v>8</v>
      </c>
      <c r="P130" s="170">
        <v>150</v>
      </c>
      <c r="Q130" s="17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8">
        <v>245</v>
      </c>
      <c r="B131" s="170" t="str">
        <f t="shared" si="19"/>
        <v>1.23, Fert Appl (Liquid) 12R-36</v>
      </c>
      <c r="C131" s="135">
        <v>1.23</v>
      </c>
      <c r="D131" s="131" t="s">
        <v>440</v>
      </c>
      <c r="E131" s="131" t="s">
        <v>270</v>
      </c>
      <c r="F131" s="131" t="s">
        <v>194</v>
      </c>
      <c r="G131" s="131" t="str">
        <f t="shared" si="20"/>
        <v>Fert Appl (Liquid) 12R-36</v>
      </c>
      <c r="H131" s="244">
        <v>31100</v>
      </c>
      <c r="I131" s="170">
        <v>36</v>
      </c>
      <c r="J131" s="170">
        <v>6</v>
      </c>
      <c r="K131" s="170">
        <v>70</v>
      </c>
      <c r="L131" s="171">
        <f t="shared" si="21"/>
        <v>5.4563492063492071E-2</v>
      </c>
      <c r="M131" s="170">
        <v>40</v>
      </c>
      <c r="N131" s="170">
        <v>80</v>
      </c>
      <c r="O131" s="170">
        <v>8</v>
      </c>
      <c r="P131" s="170">
        <v>150</v>
      </c>
      <c r="Q131" s="17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8">
        <v>100</v>
      </c>
      <c r="B132" s="170" t="str">
        <f t="shared" si="19"/>
        <v>1.24, Field Cult &amp; Inc 42'</v>
      </c>
      <c r="C132" s="135">
        <v>1.24</v>
      </c>
      <c r="D132" s="131" t="s">
        <v>440</v>
      </c>
      <c r="E132" s="131" t="s">
        <v>271</v>
      </c>
      <c r="F132" s="131" t="s">
        <v>86</v>
      </c>
      <c r="G132" s="131" t="str">
        <f t="shared" si="20"/>
        <v>Field Cult &amp; Inc 42'</v>
      </c>
      <c r="H132" s="244">
        <v>97800</v>
      </c>
      <c r="I132" s="170">
        <v>42</v>
      </c>
      <c r="J132" s="170">
        <v>6.5</v>
      </c>
      <c r="K132" s="170">
        <v>80</v>
      </c>
      <c r="L132" s="171">
        <f t="shared" si="21"/>
        <v>3.7774725274725272E-2</v>
      </c>
      <c r="M132" s="170">
        <v>30</v>
      </c>
      <c r="N132" s="170">
        <v>25</v>
      </c>
      <c r="O132" s="170">
        <v>10</v>
      </c>
      <c r="P132" s="170">
        <v>100</v>
      </c>
      <c r="Q132" s="17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8">
        <v>583</v>
      </c>
      <c r="B133" s="170" t="str">
        <f t="shared" si="19"/>
        <v>1.25, Field Cult &amp; Inc 50'</v>
      </c>
      <c r="C133" s="135">
        <v>1.25</v>
      </c>
      <c r="D133" s="131" t="s">
        <v>440</v>
      </c>
      <c r="E133" s="131" t="s">
        <v>271</v>
      </c>
      <c r="F133" s="131" t="s">
        <v>15</v>
      </c>
      <c r="G133" s="131" t="str">
        <f t="shared" si="20"/>
        <v>Field Cult &amp; Inc 50'</v>
      </c>
      <c r="H133" s="244">
        <v>105000</v>
      </c>
      <c r="I133" s="170">
        <v>50</v>
      </c>
      <c r="J133" s="170">
        <v>6.5</v>
      </c>
      <c r="K133" s="170">
        <v>80</v>
      </c>
      <c r="L133" s="171">
        <f t="shared" si="21"/>
        <v>3.1730769230769229E-2</v>
      </c>
      <c r="M133" s="170">
        <v>30</v>
      </c>
      <c r="N133" s="170">
        <v>25</v>
      </c>
      <c r="O133" s="170">
        <v>10</v>
      </c>
      <c r="P133" s="170">
        <v>100</v>
      </c>
      <c r="Q133" s="17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8">
        <v>98</v>
      </c>
      <c r="B134" s="170" t="str">
        <f t="shared" si="19"/>
        <v>1.26, Field Cult &amp; Inc Fld 24'</v>
      </c>
      <c r="C134" s="135">
        <v>1.26</v>
      </c>
      <c r="D134" s="131" t="s">
        <v>440</v>
      </c>
      <c r="E134" s="131" t="s">
        <v>272</v>
      </c>
      <c r="F134" s="131" t="s">
        <v>65</v>
      </c>
      <c r="G134" s="131" t="str">
        <f t="shared" si="20"/>
        <v>Field Cult &amp; Inc Fld 24'</v>
      </c>
      <c r="H134" s="244">
        <v>47900</v>
      </c>
      <c r="I134" s="170">
        <v>24</v>
      </c>
      <c r="J134" s="170">
        <v>6.5</v>
      </c>
      <c r="K134" s="170">
        <v>80</v>
      </c>
      <c r="L134" s="171">
        <f t="shared" si="21"/>
        <v>6.6105769230769232E-2</v>
      </c>
      <c r="M134" s="170">
        <v>30</v>
      </c>
      <c r="N134" s="170">
        <v>25</v>
      </c>
      <c r="O134" s="170">
        <v>10</v>
      </c>
      <c r="P134" s="170">
        <v>100</v>
      </c>
      <c r="Q134" s="17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8">
        <v>99</v>
      </c>
      <c r="B135" s="170" t="str">
        <f t="shared" si="19"/>
        <v>1.27, Field Cult &amp; Inc Fld 32'</v>
      </c>
      <c r="C135" s="135">
        <v>1.27</v>
      </c>
      <c r="D135" s="131" t="s">
        <v>440</v>
      </c>
      <c r="E135" s="131" t="s">
        <v>272</v>
      </c>
      <c r="F135" s="131" t="s">
        <v>43</v>
      </c>
      <c r="G135" s="131" t="str">
        <f t="shared" si="20"/>
        <v>Field Cult &amp; Inc Fld 32'</v>
      </c>
      <c r="H135" s="244">
        <v>69400</v>
      </c>
      <c r="I135" s="170">
        <v>32</v>
      </c>
      <c r="J135" s="170">
        <v>6.5</v>
      </c>
      <c r="K135" s="170">
        <v>80</v>
      </c>
      <c r="L135" s="171">
        <f t="shared" si="21"/>
        <v>4.9579326923076927E-2</v>
      </c>
      <c r="M135" s="170">
        <v>30</v>
      </c>
      <c r="N135" s="170">
        <v>25</v>
      </c>
      <c r="O135" s="170">
        <v>10</v>
      </c>
      <c r="P135" s="170">
        <v>100</v>
      </c>
      <c r="Q135" s="17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8">
        <v>97</v>
      </c>
      <c r="B136" s="170" t="str">
        <f t="shared" si="19"/>
        <v>1.28, Field Cult &amp; Inc Rdg 12'</v>
      </c>
      <c r="C136" s="135">
        <v>1.28</v>
      </c>
      <c r="D136" s="131" t="s">
        <v>440</v>
      </c>
      <c r="E136" s="131" t="s">
        <v>273</v>
      </c>
      <c r="F136" s="131" t="s">
        <v>11</v>
      </c>
      <c r="G136" s="131" t="str">
        <f t="shared" si="20"/>
        <v>Field Cult &amp; Inc Rdg 12'</v>
      </c>
      <c r="H136" s="244">
        <v>23200</v>
      </c>
      <c r="I136" s="170">
        <v>12</v>
      </c>
      <c r="J136" s="170">
        <v>6.5</v>
      </c>
      <c r="K136" s="170">
        <v>80</v>
      </c>
      <c r="L136" s="171">
        <f t="shared" si="21"/>
        <v>0.13221153846153846</v>
      </c>
      <c r="M136" s="170">
        <v>30</v>
      </c>
      <c r="N136" s="170">
        <v>25</v>
      </c>
      <c r="O136" s="170">
        <v>10</v>
      </c>
      <c r="P136" s="170">
        <v>100</v>
      </c>
      <c r="Q136" s="17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8">
        <v>102</v>
      </c>
      <c r="B137" s="170" t="str">
        <f t="shared" ref="B137:B200" si="34">CONCATENATE(C137,D137,E137,F137)</f>
        <v>1.29, Field Cultivate Fld 24'</v>
      </c>
      <c r="C137" s="135">
        <v>1.29</v>
      </c>
      <c r="D137" s="131" t="s">
        <v>440</v>
      </c>
      <c r="E137" s="131" t="s">
        <v>274</v>
      </c>
      <c r="F137" s="131" t="s">
        <v>65</v>
      </c>
      <c r="G137" s="131" t="str">
        <f t="shared" ref="G137:G200" si="35">CONCATENATE(E137,F137)</f>
        <v>Field Cultivate Fld 24'</v>
      </c>
      <c r="H137" s="244">
        <v>42100</v>
      </c>
      <c r="I137" s="170">
        <v>24</v>
      </c>
      <c r="J137" s="170">
        <v>6.5</v>
      </c>
      <c r="K137" s="170">
        <v>85</v>
      </c>
      <c r="L137" s="171">
        <f t="shared" ref="L137:L200" si="36">1/((I137*J137*K137/100*5280)/43560)</f>
        <v>6.2217194570135741E-2</v>
      </c>
      <c r="M137" s="170">
        <v>30</v>
      </c>
      <c r="N137" s="170">
        <v>25</v>
      </c>
      <c r="O137" s="170">
        <v>10</v>
      </c>
      <c r="P137" s="170">
        <v>100</v>
      </c>
      <c r="Q137" s="17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8">
        <v>103</v>
      </c>
      <c r="B138" s="170" t="str">
        <f t="shared" si="34"/>
        <v>1.3, Field Cultivate Fld 32'</v>
      </c>
      <c r="C138" s="135">
        <v>1.3</v>
      </c>
      <c r="D138" s="131" t="s">
        <v>440</v>
      </c>
      <c r="E138" s="131" t="s">
        <v>274</v>
      </c>
      <c r="F138" s="131" t="s">
        <v>43</v>
      </c>
      <c r="G138" s="131" t="str">
        <f t="shared" si="35"/>
        <v>Field Cultivate Fld 32'</v>
      </c>
      <c r="H138" s="244">
        <v>63600</v>
      </c>
      <c r="I138" s="170">
        <v>32</v>
      </c>
      <c r="J138" s="170">
        <v>6.5</v>
      </c>
      <c r="K138" s="170">
        <v>85</v>
      </c>
      <c r="L138" s="171">
        <f t="shared" si="36"/>
        <v>4.6662895927601804E-2</v>
      </c>
      <c r="M138" s="170">
        <v>30</v>
      </c>
      <c r="N138" s="170">
        <v>25</v>
      </c>
      <c r="O138" s="170">
        <v>10</v>
      </c>
      <c r="P138" s="170">
        <v>100</v>
      </c>
      <c r="Q138" s="17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8">
        <v>104</v>
      </c>
      <c r="B139" s="170" t="str">
        <f t="shared" si="34"/>
        <v>1.31, Field Cultivate Fld 42'</v>
      </c>
      <c r="C139" s="135">
        <v>1.31</v>
      </c>
      <c r="D139" s="131" t="s">
        <v>440</v>
      </c>
      <c r="E139" s="131" t="s">
        <v>274</v>
      </c>
      <c r="F139" s="131" t="s">
        <v>86</v>
      </c>
      <c r="G139" s="131" t="str">
        <f t="shared" si="35"/>
        <v>Field Cultivate Fld 42'</v>
      </c>
      <c r="H139" s="244">
        <v>87500</v>
      </c>
      <c r="I139" s="170">
        <v>42</v>
      </c>
      <c r="J139" s="170">
        <v>6.5</v>
      </c>
      <c r="K139" s="170">
        <v>85</v>
      </c>
      <c r="L139" s="171">
        <f t="shared" si="36"/>
        <v>3.555268261150614E-2</v>
      </c>
      <c r="M139" s="170">
        <v>30</v>
      </c>
      <c r="N139" s="170">
        <v>25</v>
      </c>
      <c r="O139" s="170">
        <v>10</v>
      </c>
      <c r="P139" s="170">
        <v>100</v>
      </c>
      <c r="Q139" s="17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8">
        <v>215</v>
      </c>
      <c r="B140" s="170" t="str">
        <f t="shared" si="34"/>
        <v>1.32, Field Cultivate Fld 50'</v>
      </c>
      <c r="C140" s="135">
        <v>1.32</v>
      </c>
      <c r="D140" s="131" t="s">
        <v>440</v>
      </c>
      <c r="E140" s="131" t="s">
        <v>274</v>
      </c>
      <c r="F140" s="131" t="s">
        <v>15</v>
      </c>
      <c r="G140" s="131" t="str">
        <f t="shared" si="35"/>
        <v>Field Cultivate Fld 50'</v>
      </c>
      <c r="H140" s="244">
        <v>95700</v>
      </c>
      <c r="I140" s="170">
        <v>50</v>
      </c>
      <c r="J140" s="170">
        <v>6.5</v>
      </c>
      <c r="K140" s="170">
        <v>85</v>
      </c>
      <c r="L140" s="171">
        <f t="shared" si="36"/>
        <v>2.986425339366516E-2</v>
      </c>
      <c r="M140" s="170">
        <v>30</v>
      </c>
      <c r="N140" s="170">
        <v>25</v>
      </c>
      <c r="O140" s="170">
        <v>10</v>
      </c>
      <c r="P140" s="170">
        <v>100</v>
      </c>
      <c r="Q140" s="17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8">
        <v>101</v>
      </c>
      <c r="B141" s="170" t="str">
        <f t="shared" si="34"/>
        <v>1.33, Field Cultivate Rdg 12'</v>
      </c>
      <c r="C141" s="135">
        <v>1.33</v>
      </c>
      <c r="D141" s="131" t="s">
        <v>440</v>
      </c>
      <c r="E141" s="131" t="s">
        <v>275</v>
      </c>
      <c r="F141" s="131" t="s">
        <v>11</v>
      </c>
      <c r="G141" s="131" t="str">
        <f t="shared" si="35"/>
        <v>Field Cultivate Rdg 12'</v>
      </c>
      <c r="H141" s="244">
        <v>17400</v>
      </c>
      <c r="I141" s="170">
        <v>12</v>
      </c>
      <c r="J141" s="170">
        <v>6.5</v>
      </c>
      <c r="K141" s="170">
        <v>85</v>
      </c>
      <c r="L141" s="171">
        <f t="shared" si="36"/>
        <v>0.12443438914027148</v>
      </c>
      <c r="M141" s="170">
        <v>30</v>
      </c>
      <c r="N141" s="170">
        <v>25</v>
      </c>
      <c r="O141" s="170">
        <v>10</v>
      </c>
      <c r="P141" s="170">
        <v>100</v>
      </c>
      <c r="Q141" s="17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8">
        <v>556</v>
      </c>
      <c r="B142" s="170" t="str">
        <f t="shared" si="34"/>
        <v>1.34, Grain Drill  8'</v>
      </c>
      <c r="C142" s="135">
        <v>1.34</v>
      </c>
      <c r="D142" s="131" t="s">
        <v>440</v>
      </c>
      <c r="E142" s="131" t="s">
        <v>276</v>
      </c>
      <c r="F142" s="131" t="s">
        <v>82</v>
      </c>
      <c r="G142" s="131" t="str">
        <f t="shared" si="35"/>
        <v>Grain Drill  8'</v>
      </c>
      <c r="H142" s="246">
        <v>26500</v>
      </c>
      <c r="I142" s="170">
        <v>8</v>
      </c>
      <c r="J142" s="170">
        <v>6.25</v>
      </c>
      <c r="K142" s="170">
        <v>70</v>
      </c>
      <c r="L142" s="171">
        <f t="shared" si="36"/>
        <v>0.23571428571428574</v>
      </c>
      <c r="M142" s="170">
        <v>45</v>
      </c>
      <c r="N142" s="170">
        <v>45</v>
      </c>
      <c r="O142" s="170">
        <v>8</v>
      </c>
      <c r="P142" s="170">
        <v>150</v>
      </c>
      <c r="Q142" s="17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8">
        <v>558</v>
      </c>
      <c r="B143" s="170" t="str">
        <f t="shared" si="34"/>
        <v>1.35, Grain Drill 10'</v>
      </c>
      <c r="C143" s="135">
        <v>1.35</v>
      </c>
      <c r="D143" s="131" t="s">
        <v>440</v>
      </c>
      <c r="E143" s="131" t="s">
        <v>276</v>
      </c>
      <c r="F143" s="131" t="s">
        <v>66</v>
      </c>
      <c r="G143" s="131" t="str">
        <f t="shared" si="35"/>
        <v>Grain Drill 10'</v>
      </c>
      <c r="H143" s="247">
        <v>46400</v>
      </c>
      <c r="I143" s="170">
        <v>10</v>
      </c>
      <c r="J143" s="170">
        <v>6.25</v>
      </c>
      <c r="K143" s="170">
        <v>70</v>
      </c>
      <c r="L143" s="171">
        <f t="shared" si="36"/>
        <v>0.18857142857142858</v>
      </c>
      <c r="M143" s="170">
        <v>45</v>
      </c>
      <c r="N143" s="170">
        <v>45</v>
      </c>
      <c r="O143" s="170">
        <v>8</v>
      </c>
      <c r="P143" s="170">
        <v>150</v>
      </c>
      <c r="Q143" s="17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8">
        <v>106</v>
      </c>
      <c r="B144" s="170" t="str">
        <f t="shared" si="34"/>
        <v>1.36, Grain Drill 12'</v>
      </c>
      <c r="C144" s="135">
        <v>1.36</v>
      </c>
      <c r="D144" s="131" t="s">
        <v>440</v>
      </c>
      <c r="E144" s="131" t="s">
        <v>276</v>
      </c>
      <c r="F144" s="131" t="s">
        <v>11</v>
      </c>
      <c r="G144" s="131" t="str">
        <f t="shared" si="35"/>
        <v>Grain Drill 12'</v>
      </c>
      <c r="H144" s="247">
        <v>55400</v>
      </c>
      <c r="I144" s="170">
        <v>12</v>
      </c>
      <c r="J144" s="170">
        <v>6.25</v>
      </c>
      <c r="K144" s="170">
        <v>70</v>
      </c>
      <c r="L144" s="171">
        <f t="shared" si="36"/>
        <v>0.15714285714285714</v>
      </c>
      <c r="M144" s="170">
        <v>45</v>
      </c>
      <c r="N144" s="170">
        <v>45</v>
      </c>
      <c r="O144" s="170">
        <v>8</v>
      </c>
      <c r="P144" s="170">
        <v>150</v>
      </c>
      <c r="Q144" s="17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8">
        <v>208</v>
      </c>
      <c r="B145" s="170" t="str">
        <f t="shared" si="34"/>
        <v>1.37, Grain Drill 15'</v>
      </c>
      <c r="C145" s="135">
        <v>1.37</v>
      </c>
      <c r="D145" s="131" t="s">
        <v>440</v>
      </c>
      <c r="E145" s="131" t="s">
        <v>276</v>
      </c>
      <c r="F145" s="131" t="s">
        <v>10</v>
      </c>
      <c r="G145" s="131" t="str">
        <f t="shared" si="35"/>
        <v>Grain Drill 15'</v>
      </c>
      <c r="H145" s="247">
        <v>49900</v>
      </c>
      <c r="I145" s="170">
        <v>15</v>
      </c>
      <c r="J145" s="170">
        <v>6.25</v>
      </c>
      <c r="K145" s="170">
        <v>70</v>
      </c>
      <c r="L145" s="171">
        <f t="shared" si="36"/>
        <v>0.12571428571428572</v>
      </c>
      <c r="M145" s="170">
        <v>45</v>
      </c>
      <c r="N145" s="170">
        <v>45</v>
      </c>
      <c r="O145" s="170">
        <v>8</v>
      </c>
      <c r="P145" s="170">
        <v>150</v>
      </c>
      <c r="Q145" s="17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8">
        <v>107</v>
      </c>
      <c r="B146" s="170" t="str">
        <f t="shared" si="34"/>
        <v>1.38, Grain Drill 20'</v>
      </c>
      <c r="C146" s="135">
        <v>1.38</v>
      </c>
      <c r="D146" s="131" t="s">
        <v>440</v>
      </c>
      <c r="E146" s="131" t="s">
        <v>276</v>
      </c>
      <c r="F146" s="131" t="s">
        <v>8</v>
      </c>
      <c r="G146" s="131" t="str">
        <f t="shared" si="35"/>
        <v>Grain Drill 20'</v>
      </c>
      <c r="H146" s="247">
        <v>55100</v>
      </c>
      <c r="I146" s="170">
        <v>20</v>
      </c>
      <c r="J146" s="170">
        <v>6.25</v>
      </c>
      <c r="K146" s="170">
        <v>70</v>
      </c>
      <c r="L146" s="171">
        <f t="shared" si="36"/>
        <v>9.4285714285714292E-2</v>
      </c>
      <c r="M146" s="170">
        <v>45</v>
      </c>
      <c r="N146" s="170">
        <v>45</v>
      </c>
      <c r="O146" s="170">
        <v>8</v>
      </c>
      <c r="P146" s="170">
        <v>150</v>
      </c>
      <c r="Q146" s="17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8">
        <v>209</v>
      </c>
      <c r="B147" s="170" t="str">
        <f t="shared" si="34"/>
        <v>1.39, Grain Drill 24'</v>
      </c>
      <c r="C147" s="135">
        <v>1.39</v>
      </c>
      <c r="D147" s="131" t="s">
        <v>440</v>
      </c>
      <c r="E147" s="131" t="s">
        <v>276</v>
      </c>
      <c r="F147" s="131" t="s">
        <v>65</v>
      </c>
      <c r="G147" s="131" t="str">
        <f t="shared" si="35"/>
        <v>Grain Drill 24'</v>
      </c>
      <c r="H147" s="247">
        <v>86500</v>
      </c>
      <c r="I147" s="170">
        <v>24</v>
      </c>
      <c r="J147" s="170">
        <v>6.25</v>
      </c>
      <c r="K147" s="170">
        <v>70</v>
      </c>
      <c r="L147" s="171">
        <f t="shared" si="36"/>
        <v>7.857142857142857E-2</v>
      </c>
      <c r="M147" s="170">
        <v>45</v>
      </c>
      <c r="N147" s="170">
        <v>45</v>
      </c>
      <c r="O147" s="170">
        <v>8</v>
      </c>
      <c r="P147" s="170">
        <v>150</v>
      </c>
      <c r="Q147" s="17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8">
        <v>108</v>
      </c>
      <c r="B148" s="170" t="str">
        <f t="shared" si="34"/>
        <v>1.4, Grain Drill 30'</v>
      </c>
      <c r="C148" s="135">
        <v>1.4</v>
      </c>
      <c r="D148" s="131" t="s">
        <v>440</v>
      </c>
      <c r="E148" s="131" t="s">
        <v>276</v>
      </c>
      <c r="F148" s="131" t="s">
        <v>44</v>
      </c>
      <c r="G148" s="131" t="str">
        <f t="shared" si="35"/>
        <v>Grain Drill 30'</v>
      </c>
      <c r="H148" s="247">
        <v>101500</v>
      </c>
      <c r="I148" s="170">
        <v>30</v>
      </c>
      <c r="J148" s="170">
        <v>6.25</v>
      </c>
      <c r="K148" s="170">
        <v>70</v>
      </c>
      <c r="L148" s="171">
        <f t="shared" si="36"/>
        <v>6.2857142857142861E-2</v>
      </c>
      <c r="M148" s="170">
        <v>45</v>
      </c>
      <c r="N148" s="170">
        <v>45</v>
      </c>
      <c r="O148" s="170">
        <v>8</v>
      </c>
      <c r="P148" s="170">
        <v>150</v>
      </c>
      <c r="Q148" s="17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8">
        <v>560</v>
      </c>
      <c r="B149" s="170" t="str">
        <f t="shared" si="34"/>
        <v>1.41, Grain Drill 35'</v>
      </c>
      <c r="C149" s="135">
        <v>1.41</v>
      </c>
      <c r="D149" s="131" t="s">
        <v>440</v>
      </c>
      <c r="E149" s="131" t="s">
        <v>276</v>
      </c>
      <c r="F149" s="131" t="s">
        <v>81</v>
      </c>
      <c r="G149" s="131" t="str">
        <f t="shared" si="35"/>
        <v>Grain Drill 35'</v>
      </c>
      <c r="H149" s="247">
        <v>117000</v>
      </c>
      <c r="I149" s="170">
        <v>35</v>
      </c>
      <c r="J149" s="170">
        <v>6.25</v>
      </c>
      <c r="K149" s="170">
        <v>70</v>
      </c>
      <c r="L149" s="171">
        <f t="shared" si="36"/>
        <v>5.3877551020408157E-2</v>
      </c>
      <c r="M149" s="170">
        <v>45</v>
      </c>
      <c r="N149" s="170">
        <v>45</v>
      </c>
      <c r="O149" s="170">
        <v>8</v>
      </c>
      <c r="P149" s="170">
        <v>150</v>
      </c>
      <c r="Q149" s="17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8">
        <v>557</v>
      </c>
      <c r="B150" s="170" t="str">
        <f t="shared" si="34"/>
        <v>1.42, Grain Drill &amp; Pre  8'</v>
      </c>
      <c r="C150" s="135">
        <v>1.42</v>
      </c>
      <c r="D150" s="131" t="s">
        <v>440</v>
      </c>
      <c r="E150" s="131" t="s">
        <v>277</v>
      </c>
      <c r="F150" s="131" t="s">
        <v>82</v>
      </c>
      <c r="G150" s="131" t="str">
        <f t="shared" si="35"/>
        <v>Grain Drill &amp; Pre  8'</v>
      </c>
      <c r="H150" s="246">
        <v>30000</v>
      </c>
      <c r="I150" s="170">
        <v>8</v>
      </c>
      <c r="J150" s="170">
        <v>6.25</v>
      </c>
      <c r="K150" s="170">
        <v>65</v>
      </c>
      <c r="L150" s="171">
        <f t="shared" si="36"/>
        <v>0.25384615384615383</v>
      </c>
      <c r="M150" s="170">
        <v>45</v>
      </c>
      <c r="N150" s="170">
        <v>45</v>
      </c>
      <c r="O150" s="170">
        <v>8</v>
      </c>
      <c r="P150" s="170">
        <v>150</v>
      </c>
      <c r="Q150" s="17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8">
        <v>559</v>
      </c>
      <c r="B151" s="170" t="str">
        <f t="shared" si="34"/>
        <v>1.43, Grain Drill &amp; Pre 10'</v>
      </c>
      <c r="C151" s="135">
        <v>1.43</v>
      </c>
      <c r="D151" s="131" t="s">
        <v>440</v>
      </c>
      <c r="E151" s="131" t="s">
        <v>277</v>
      </c>
      <c r="F151" s="131" t="s">
        <v>66</v>
      </c>
      <c r="G151" s="131" t="str">
        <f t="shared" si="35"/>
        <v>Grain Drill &amp; Pre 10'</v>
      </c>
      <c r="H151" s="244">
        <v>52200</v>
      </c>
      <c r="I151" s="170">
        <v>10</v>
      </c>
      <c r="J151" s="170">
        <v>6.25</v>
      </c>
      <c r="K151" s="170">
        <v>65</v>
      </c>
      <c r="L151" s="171">
        <f t="shared" si="36"/>
        <v>0.2030769230769231</v>
      </c>
      <c r="M151" s="170">
        <v>45</v>
      </c>
      <c r="N151" s="170">
        <v>45</v>
      </c>
      <c r="O151" s="170">
        <v>8</v>
      </c>
      <c r="P151" s="170">
        <v>150</v>
      </c>
      <c r="Q151" s="17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8">
        <v>396</v>
      </c>
      <c r="B152" s="170" t="str">
        <f t="shared" si="34"/>
        <v>1.44, Grain Drill &amp; Pre 12'</v>
      </c>
      <c r="C152" s="135">
        <v>1.44</v>
      </c>
      <c r="D152" s="131" t="s">
        <v>440</v>
      </c>
      <c r="E152" s="131" t="s">
        <v>277</v>
      </c>
      <c r="F152" s="131" t="s">
        <v>11</v>
      </c>
      <c r="G152" s="131" t="str">
        <f t="shared" si="35"/>
        <v>Grain Drill &amp; Pre 12'</v>
      </c>
      <c r="H152" s="244">
        <v>61200</v>
      </c>
      <c r="I152" s="170">
        <v>12</v>
      </c>
      <c r="J152" s="170">
        <v>6.25</v>
      </c>
      <c r="K152" s="170">
        <v>65</v>
      </c>
      <c r="L152" s="171">
        <f t="shared" si="36"/>
        <v>0.16923076923076924</v>
      </c>
      <c r="M152" s="170">
        <v>45</v>
      </c>
      <c r="N152" s="170">
        <v>45</v>
      </c>
      <c r="O152" s="170">
        <v>8</v>
      </c>
      <c r="P152" s="170">
        <v>150</v>
      </c>
      <c r="Q152" s="17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8">
        <v>397</v>
      </c>
      <c r="B153" s="170" t="str">
        <f t="shared" si="34"/>
        <v>1.45, Grain Drill &amp; Pre 15'</v>
      </c>
      <c r="C153" s="135">
        <v>1.45</v>
      </c>
      <c r="D153" s="131" t="s">
        <v>440</v>
      </c>
      <c r="E153" s="131" t="s">
        <v>277</v>
      </c>
      <c r="F153" s="131" t="s">
        <v>10</v>
      </c>
      <c r="G153" s="131" t="str">
        <f t="shared" si="35"/>
        <v>Grain Drill &amp; Pre 15'</v>
      </c>
      <c r="H153" s="244">
        <v>55700</v>
      </c>
      <c r="I153" s="170">
        <v>15</v>
      </c>
      <c r="J153" s="170">
        <v>6.25</v>
      </c>
      <c r="K153" s="170">
        <v>65</v>
      </c>
      <c r="L153" s="171">
        <f t="shared" si="36"/>
        <v>0.13538461538461538</v>
      </c>
      <c r="M153" s="170">
        <v>45</v>
      </c>
      <c r="N153" s="170">
        <v>45</v>
      </c>
      <c r="O153" s="170">
        <v>8</v>
      </c>
      <c r="P153" s="170">
        <v>150</v>
      </c>
      <c r="Q153" s="17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8">
        <v>398</v>
      </c>
      <c r="B154" s="170" t="str">
        <f t="shared" si="34"/>
        <v>1.46, Grain Drill &amp; Pre 20'</v>
      </c>
      <c r="C154" s="135">
        <v>1.46</v>
      </c>
      <c r="D154" s="131" t="s">
        <v>440</v>
      </c>
      <c r="E154" s="131" t="s">
        <v>277</v>
      </c>
      <c r="F154" s="131" t="s">
        <v>8</v>
      </c>
      <c r="G154" s="131" t="str">
        <f t="shared" si="35"/>
        <v>Grain Drill &amp; Pre 20'</v>
      </c>
      <c r="H154" s="244">
        <v>60900</v>
      </c>
      <c r="I154" s="170">
        <v>20</v>
      </c>
      <c r="J154" s="170">
        <v>6.25</v>
      </c>
      <c r="K154" s="170">
        <v>65</v>
      </c>
      <c r="L154" s="171">
        <f t="shared" si="36"/>
        <v>0.10153846153846155</v>
      </c>
      <c r="M154" s="170">
        <v>45</v>
      </c>
      <c r="N154" s="170">
        <v>45</v>
      </c>
      <c r="O154" s="170">
        <v>8</v>
      </c>
      <c r="P154" s="170">
        <v>150</v>
      </c>
      <c r="Q154" s="17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8">
        <v>399</v>
      </c>
      <c r="B155" s="170" t="str">
        <f t="shared" si="34"/>
        <v>1.47, Grain Drill &amp; Pre 24'</v>
      </c>
      <c r="C155" s="135">
        <v>1.47</v>
      </c>
      <c r="D155" s="131" t="s">
        <v>440</v>
      </c>
      <c r="E155" s="131" t="s">
        <v>277</v>
      </c>
      <c r="F155" s="131" t="s">
        <v>65</v>
      </c>
      <c r="G155" s="131" t="str">
        <f t="shared" si="35"/>
        <v>Grain Drill &amp; Pre 24'</v>
      </c>
      <c r="H155" s="244">
        <v>92300</v>
      </c>
      <c r="I155" s="170">
        <v>24</v>
      </c>
      <c r="J155" s="170">
        <v>6.25</v>
      </c>
      <c r="K155" s="170">
        <v>65</v>
      </c>
      <c r="L155" s="171">
        <f t="shared" si="36"/>
        <v>8.461538461538462E-2</v>
      </c>
      <c r="M155" s="170">
        <v>45</v>
      </c>
      <c r="N155" s="170">
        <v>45</v>
      </c>
      <c r="O155" s="170">
        <v>8</v>
      </c>
      <c r="P155" s="170">
        <v>150</v>
      </c>
      <c r="Q155" s="17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8">
        <v>400</v>
      </c>
      <c r="B156" s="170" t="str">
        <f t="shared" si="34"/>
        <v>1.48, Grain Drill &amp; Pre 30'</v>
      </c>
      <c r="C156" s="135">
        <v>1.48</v>
      </c>
      <c r="D156" s="131" t="s">
        <v>440</v>
      </c>
      <c r="E156" s="131" t="s">
        <v>277</v>
      </c>
      <c r="F156" s="131" t="s">
        <v>44</v>
      </c>
      <c r="G156" s="131" t="str">
        <f t="shared" si="35"/>
        <v>Grain Drill &amp; Pre 30'</v>
      </c>
      <c r="H156" s="244">
        <v>107000</v>
      </c>
      <c r="I156" s="170">
        <v>30</v>
      </c>
      <c r="J156" s="170">
        <v>6.25</v>
      </c>
      <c r="K156" s="170">
        <v>65</v>
      </c>
      <c r="L156" s="171">
        <f t="shared" si="36"/>
        <v>6.7692307692307691E-2</v>
      </c>
      <c r="M156" s="170">
        <v>45</v>
      </c>
      <c r="N156" s="170">
        <v>45</v>
      </c>
      <c r="O156" s="170">
        <v>8</v>
      </c>
      <c r="P156" s="170">
        <v>150</v>
      </c>
      <c r="Q156" s="17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8">
        <v>561</v>
      </c>
      <c r="B157" s="170" t="str">
        <f t="shared" si="34"/>
        <v>1.49, Grain Drill &amp; Pre 35'</v>
      </c>
      <c r="C157" s="135">
        <v>1.49</v>
      </c>
      <c r="D157" s="131" t="s">
        <v>440</v>
      </c>
      <c r="E157" s="131" t="s">
        <v>277</v>
      </c>
      <c r="F157" s="131" t="s">
        <v>81</v>
      </c>
      <c r="G157" s="131" t="str">
        <f t="shared" si="35"/>
        <v>Grain Drill &amp; Pre 35'</v>
      </c>
      <c r="H157" s="244">
        <v>123000</v>
      </c>
      <c r="I157" s="170">
        <v>35</v>
      </c>
      <c r="J157" s="170">
        <v>6.25</v>
      </c>
      <c r="K157" s="170">
        <v>65</v>
      </c>
      <c r="L157" s="171">
        <f t="shared" si="36"/>
        <v>5.8021978021978025E-2</v>
      </c>
      <c r="M157" s="170">
        <v>45</v>
      </c>
      <c r="N157" s="170">
        <v>45</v>
      </c>
      <c r="O157" s="170">
        <v>8</v>
      </c>
      <c r="P157" s="170">
        <v>150</v>
      </c>
      <c r="Q157" s="17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8">
        <v>711</v>
      </c>
      <c r="B158" s="170" t="str">
        <f t="shared" si="34"/>
        <v>1.5, Grain Drill &amp; Pre T 8R-36</v>
      </c>
      <c r="C158" s="135">
        <v>1.5</v>
      </c>
      <c r="D158" s="131" t="s">
        <v>440</v>
      </c>
      <c r="E158" s="131" t="s">
        <v>278</v>
      </c>
      <c r="F158" s="131" t="s">
        <v>199</v>
      </c>
      <c r="G158" s="131" t="str">
        <f t="shared" si="35"/>
        <v>Grain Drill &amp; Pre T 8R-36</v>
      </c>
      <c r="H158" s="244">
        <v>57000</v>
      </c>
      <c r="I158" s="170">
        <v>25</v>
      </c>
      <c r="J158" s="170">
        <v>6.25</v>
      </c>
      <c r="K158" s="170">
        <v>65</v>
      </c>
      <c r="L158" s="171">
        <f t="shared" si="36"/>
        <v>8.1230769230769231E-2</v>
      </c>
      <c r="M158" s="170">
        <v>45</v>
      </c>
      <c r="N158" s="170">
        <v>45</v>
      </c>
      <c r="O158" s="170">
        <v>8</v>
      </c>
      <c r="P158" s="170">
        <v>150</v>
      </c>
      <c r="Q158" s="17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8">
        <v>186</v>
      </c>
      <c r="B159" s="170" t="str">
        <f t="shared" si="34"/>
        <v>1.51, Harrow -  Rigid 21'</v>
      </c>
      <c r="C159" s="135">
        <v>1.51</v>
      </c>
      <c r="D159" s="131" t="s">
        <v>440</v>
      </c>
      <c r="E159" s="131" t="s">
        <v>279</v>
      </c>
      <c r="F159" s="131" t="s">
        <v>39</v>
      </c>
      <c r="G159" s="131" t="str">
        <f t="shared" si="35"/>
        <v>Harrow -  Rigid 21'</v>
      </c>
      <c r="H159" s="246">
        <v>10000</v>
      </c>
      <c r="I159" s="170">
        <v>21</v>
      </c>
      <c r="J159" s="170">
        <v>6.25</v>
      </c>
      <c r="K159" s="170">
        <v>85</v>
      </c>
      <c r="L159" s="171">
        <f t="shared" si="36"/>
        <v>7.3949579831932774E-2</v>
      </c>
      <c r="M159" s="170">
        <v>30</v>
      </c>
      <c r="N159" s="170">
        <v>70</v>
      </c>
      <c r="O159" s="170">
        <v>10</v>
      </c>
      <c r="P159" s="170">
        <v>200</v>
      </c>
      <c r="Q159" s="17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8">
        <v>739</v>
      </c>
      <c r="B160" s="170" t="str">
        <f t="shared" si="34"/>
        <v>1.52, Harrow - Folding 16'</v>
      </c>
      <c r="C160" s="135">
        <v>1.52</v>
      </c>
      <c r="D160" s="131" t="s">
        <v>440</v>
      </c>
      <c r="E160" s="131" t="s">
        <v>280</v>
      </c>
      <c r="F160" s="131" t="s">
        <v>80</v>
      </c>
      <c r="G160" s="131" t="str">
        <f t="shared" si="35"/>
        <v>Harrow - Folding 16'</v>
      </c>
      <c r="H160" s="246">
        <v>9500</v>
      </c>
      <c r="I160" s="170">
        <v>16</v>
      </c>
      <c r="J160" s="170">
        <v>6.25</v>
      </c>
      <c r="K160" s="170">
        <v>85</v>
      </c>
      <c r="L160" s="171">
        <f t="shared" si="36"/>
        <v>9.7058823529411767E-2</v>
      </c>
      <c r="M160" s="170">
        <v>30</v>
      </c>
      <c r="N160" s="170">
        <v>70</v>
      </c>
      <c r="O160" s="170">
        <v>10</v>
      </c>
      <c r="P160" s="170">
        <v>200</v>
      </c>
      <c r="Q160" s="17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8">
        <v>740</v>
      </c>
      <c r="B161" s="170" t="str">
        <f t="shared" si="34"/>
        <v>1.53, Harrow - Folding 24'</v>
      </c>
      <c r="C161" s="135">
        <v>1.53</v>
      </c>
      <c r="D161" s="131" t="s">
        <v>440</v>
      </c>
      <c r="E161" s="131" t="s">
        <v>280</v>
      </c>
      <c r="F161" s="131" t="s">
        <v>65</v>
      </c>
      <c r="G161" s="131" t="str">
        <f t="shared" si="35"/>
        <v>Harrow - Folding 24'</v>
      </c>
      <c r="H161" s="244">
        <v>13800</v>
      </c>
      <c r="I161" s="170">
        <v>24</v>
      </c>
      <c r="J161" s="170">
        <v>6.25</v>
      </c>
      <c r="K161" s="170">
        <v>85</v>
      </c>
      <c r="L161" s="171">
        <f t="shared" si="36"/>
        <v>6.4705882352941169E-2</v>
      </c>
      <c r="M161" s="170">
        <v>30</v>
      </c>
      <c r="N161" s="170">
        <v>70</v>
      </c>
      <c r="O161" s="170">
        <v>10</v>
      </c>
      <c r="P161" s="170">
        <v>200</v>
      </c>
      <c r="Q161" s="17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8">
        <v>566</v>
      </c>
      <c r="B162" s="170" t="str">
        <f t="shared" si="34"/>
        <v>1.54, Harrow - Folding 30'</v>
      </c>
      <c r="C162" s="135">
        <v>1.54</v>
      </c>
      <c r="D162" s="131" t="s">
        <v>440</v>
      </c>
      <c r="E162" s="131" t="s">
        <v>280</v>
      </c>
      <c r="F162" s="131" t="s">
        <v>44</v>
      </c>
      <c r="G162" s="131" t="str">
        <f t="shared" si="35"/>
        <v>Harrow - Folding 30'</v>
      </c>
      <c r="H162" s="244">
        <v>15300</v>
      </c>
      <c r="I162" s="170">
        <v>30</v>
      </c>
      <c r="J162" s="170">
        <v>6.25</v>
      </c>
      <c r="K162" s="170">
        <v>85</v>
      </c>
      <c r="L162" s="171">
        <f t="shared" si="36"/>
        <v>5.1764705882352949E-2</v>
      </c>
      <c r="M162" s="170">
        <v>30</v>
      </c>
      <c r="N162" s="170">
        <v>70</v>
      </c>
      <c r="O162" s="170">
        <v>10</v>
      </c>
      <c r="P162" s="170">
        <v>200</v>
      </c>
      <c r="Q162" s="17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8">
        <v>210</v>
      </c>
      <c r="B163" s="170" t="str">
        <f t="shared" si="34"/>
        <v>1.55, Harrow - Folding 40'</v>
      </c>
      <c r="C163" s="135">
        <v>1.55</v>
      </c>
      <c r="D163" s="131" t="s">
        <v>440</v>
      </c>
      <c r="E163" s="131" t="s">
        <v>280</v>
      </c>
      <c r="F163" s="131" t="s">
        <v>16</v>
      </c>
      <c r="G163" s="131" t="str">
        <f t="shared" si="35"/>
        <v>Harrow - Folding 40'</v>
      </c>
      <c r="H163" s="244">
        <v>21300</v>
      </c>
      <c r="I163" s="170">
        <v>40</v>
      </c>
      <c r="J163" s="170">
        <v>6.25</v>
      </c>
      <c r="K163" s="170">
        <v>85</v>
      </c>
      <c r="L163" s="171">
        <f t="shared" si="36"/>
        <v>3.8823529411764708E-2</v>
      </c>
      <c r="M163" s="170">
        <v>30</v>
      </c>
      <c r="N163" s="170">
        <v>70</v>
      </c>
      <c r="O163" s="170">
        <v>10</v>
      </c>
      <c r="P163" s="170">
        <v>200</v>
      </c>
      <c r="Q163" s="17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8">
        <v>741</v>
      </c>
      <c r="B164" s="170" t="str">
        <f t="shared" si="34"/>
        <v>1.56, Harrow - Folding 48'</v>
      </c>
      <c r="C164" s="135">
        <v>1.56</v>
      </c>
      <c r="D164" s="131" t="s">
        <v>440</v>
      </c>
      <c r="E164" s="131" t="s">
        <v>280</v>
      </c>
      <c r="F164" s="131" t="s">
        <v>79</v>
      </c>
      <c r="G164" s="131" t="str">
        <f t="shared" si="35"/>
        <v>Harrow - Folding 48'</v>
      </c>
      <c r="H164" s="244">
        <v>36000</v>
      </c>
      <c r="I164" s="170">
        <v>48</v>
      </c>
      <c r="J164" s="170">
        <v>6.25</v>
      </c>
      <c r="K164" s="170">
        <v>85</v>
      </c>
      <c r="L164" s="171">
        <f t="shared" si="36"/>
        <v>3.2352941176470584E-2</v>
      </c>
      <c r="M164" s="170">
        <v>30</v>
      </c>
      <c r="N164" s="170">
        <v>70</v>
      </c>
      <c r="O164" s="170">
        <v>10</v>
      </c>
      <c r="P164" s="170">
        <v>200</v>
      </c>
      <c r="Q164" s="17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8">
        <v>185</v>
      </c>
      <c r="B165" s="170" t="str">
        <f t="shared" si="34"/>
        <v>1.57, Harrow - Rigid 13'</v>
      </c>
      <c r="C165" s="135">
        <v>1.57</v>
      </c>
      <c r="D165" s="131" t="s">
        <v>440</v>
      </c>
      <c r="E165" s="131" t="s">
        <v>281</v>
      </c>
      <c r="F165" s="131" t="s">
        <v>40</v>
      </c>
      <c r="G165" s="131" t="str">
        <f t="shared" si="35"/>
        <v>Harrow - Rigid 13'</v>
      </c>
      <c r="H165" s="246">
        <v>8500</v>
      </c>
      <c r="I165" s="170">
        <v>13</v>
      </c>
      <c r="J165" s="170">
        <v>6.25</v>
      </c>
      <c r="K165" s="170">
        <v>85</v>
      </c>
      <c r="L165" s="171">
        <f t="shared" si="36"/>
        <v>0.11945701357466064</v>
      </c>
      <c r="M165" s="170">
        <v>30</v>
      </c>
      <c r="N165" s="170">
        <v>70</v>
      </c>
      <c r="O165" s="170">
        <v>10</v>
      </c>
      <c r="P165" s="170">
        <v>200</v>
      </c>
      <c r="Q165" s="17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8"/>
      <c r="B166" s="170" t="str">
        <f t="shared" si="34"/>
        <v>1.58, Heavy Disk 14'</v>
      </c>
      <c r="C166" s="135">
        <v>1.58</v>
      </c>
      <c r="D166" s="131" t="s">
        <v>440</v>
      </c>
      <c r="E166" s="131" t="s">
        <v>424</v>
      </c>
      <c r="F166" s="131" t="s">
        <v>12</v>
      </c>
      <c r="G166" s="131" t="str">
        <f t="shared" si="35"/>
        <v>Heavy Disk 14'</v>
      </c>
      <c r="H166" s="244">
        <v>36300</v>
      </c>
      <c r="I166" s="170">
        <v>14</v>
      </c>
      <c r="J166" s="170">
        <v>4.75</v>
      </c>
      <c r="K166" s="170">
        <v>85</v>
      </c>
      <c r="L166" s="171">
        <f t="shared" si="36"/>
        <v>0.145953118089341</v>
      </c>
      <c r="M166" s="170">
        <v>30</v>
      </c>
      <c r="N166" s="170">
        <v>50</v>
      </c>
      <c r="O166" s="170">
        <v>10</v>
      </c>
      <c r="P166" s="170">
        <v>180</v>
      </c>
      <c r="Q166" s="17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8"/>
      <c r="B167" s="170" t="str">
        <f t="shared" si="34"/>
        <v>1.59, Heavy Disk 21'</v>
      </c>
      <c r="C167" s="135">
        <v>1.59</v>
      </c>
      <c r="D167" s="131" t="s">
        <v>440</v>
      </c>
      <c r="E167" s="131" t="s">
        <v>424</v>
      </c>
      <c r="F167" s="131" t="s">
        <v>39</v>
      </c>
      <c r="G167" s="131" t="str">
        <f t="shared" si="35"/>
        <v>Heavy Disk 21'</v>
      </c>
      <c r="H167" s="244">
        <v>77500</v>
      </c>
      <c r="I167" s="170">
        <v>21</v>
      </c>
      <c r="J167" s="170">
        <v>4.75</v>
      </c>
      <c r="K167" s="170">
        <v>85</v>
      </c>
      <c r="L167" s="171">
        <f t="shared" si="36"/>
        <v>9.7302078726227342E-2</v>
      </c>
      <c r="M167" s="170">
        <v>30</v>
      </c>
      <c r="N167" s="170">
        <v>50</v>
      </c>
      <c r="O167" s="170">
        <v>10</v>
      </c>
      <c r="P167" s="170">
        <v>180</v>
      </c>
      <c r="Q167" s="17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8"/>
      <c r="B168" s="170" t="str">
        <f t="shared" si="34"/>
        <v>1.6, Heavy Disk 28'</v>
      </c>
      <c r="C168" s="135">
        <v>1.6</v>
      </c>
      <c r="D168" s="131" t="s">
        <v>440</v>
      </c>
      <c r="E168" s="131" t="s">
        <v>424</v>
      </c>
      <c r="F168" s="131" t="s">
        <v>87</v>
      </c>
      <c r="G168" s="131" t="str">
        <f t="shared" si="35"/>
        <v>Heavy Disk 28'</v>
      </c>
      <c r="H168" s="244">
        <v>76200</v>
      </c>
      <c r="I168" s="170">
        <v>27</v>
      </c>
      <c r="J168" s="170">
        <v>4.75</v>
      </c>
      <c r="K168" s="170">
        <v>85</v>
      </c>
      <c r="L168" s="171">
        <f t="shared" si="36"/>
        <v>7.5679394564843488E-2</v>
      </c>
      <c r="M168" s="170">
        <v>30</v>
      </c>
      <c r="N168" s="170">
        <v>50</v>
      </c>
      <c r="O168" s="170">
        <v>10</v>
      </c>
      <c r="P168" s="170">
        <v>180</v>
      </c>
      <c r="Q168" s="17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8">
        <v>113</v>
      </c>
      <c r="B169" s="170" t="str">
        <f t="shared" si="34"/>
        <v>1.61, Land Plane 50'x16'</v>
      </c>
      <c r="C169" s="135">
        <v>1.61</v>
      </c>
      <c r="D169" s="131" t="s">
        <v>440</v>
      </c>
      <c r="E169" s="131" t="s">
        <v>282</v>
      </c>
      <c r="F169" s="131" t="s">
        <v>76</v>
      </c>
      <c r="G169" s="131" t="str">
        <f t="shared" si="35"/>
        <v>Land Plane 50'x16'</v>
      </c>
      <c r="H169" s="244">
        <v>13500</v>
      </c>
      <c r="I169" s="170">
        <v>16</v>
      </c>
      <c r="J169" s="170">
        <v>4</v>
      </c>
      <c r="K169" s="170">
        <v>85</v>
      </c>
      <c r="L169" s="171">
        <f t="shared" si="36"/>
        <v>0.1516544117647059</v>
      </c>
      <c r="M169" s="170">
        <v>30</v>
      </c>
      <c r="N169" s="170">
        <v>40</v>
      </c>
      <c r="O169" s="170">
        <v>10</v>
      </c>
      <c r="P169" s="170">
        <v>200</v>
      </c>
      <c r="Q169" s="17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8">
        <v>720</v>
      </c>
      <c r="B170" s="170" t="str">
        <f t="shared" si="34"/>
        <v>1.62, Levee Pull &amp; Seed 8 Blade</v>
      </c>
      <c r="C170" s="135">
        <v>1.62</v>
      </c>
      <c r="D170" s="131" t="s">
        <v>440</v>
      </c>
      <c r="E170" s="131" t="s">
        <v>283</v>
      </c>
      <c r="F170" s="131" t="s">
        <v>75</v>
      </c>
      <c r="G170" s="131" t="str">
        <f t="shared" si="35"/>
        <v>Levee Pull &amp; Seed 8 Blade</v>
      </c>
      <c r="H170" s="244">
        <v>12300</v>
      </c>
      <c r="I170" s="170">
        <v>24</v>
      </c>
      <c r="J170" s="170">
        <v>4</v>
      </c>
      <c r="K170" s="170">
        <v>85</v>
      </c>
      <c r="L170" s="171">
        <f t="shared" si="36"/>
        <v>0.1011029411764706</v>
      </c>
      <c r="M170" s="170">
        <v>30</v>
      </c>
      <c r="N170" s="170">
        <v>20</v>
      </c>
      <c r="O170" s="170">
        <v>10</v>
      </c>
      <c r="P170" s="170">
        <v>100</v>
      </c>
      <c r="Q170" s="17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8">
        <v>528</v>
      </c>
      <c r="B171" s="170" t="str">
        <f t="shared" si="34"/>
        <v>1.63, Levee Pull (1m/80a) 8 blade</v>
      </c>
      <c r="C171" s="135">
        <v>1.63</v>
      </c>
      <c r="D171" s="131" t="s">
        <v>440</v>
      </c>
      <c r="E171" s="131" t="s">
        <v>284</v>
      </c>
      <c r="F171" s="131" t="s">
        <v>74</v>
      </c>
      <c r="G171" s="131" t="str">
        <f t="shared" si="35"/>
        <v>Levee Pull (1m/80a) 8 blade</v>
      </c>
      <c r="H171" s="244">
        <v>17600</v>
      </c>
      <c r="I171" s="170">
        <v>24</v>
      </c>
      <c r="J171" s="170">
        <v>4</v>
      </c>
      <c r="K171" s="170">
        <v>85</v>
      </c>
      <c r="L171" s="171">
        <f t="shared" si="36"/>
        <v>0.1011029411764706</v>
      </c>
      <c r="M171" s="170">
        <v>30</v>
      </c>
      <c r="N171" s="170">
        <v>20</v>
      </c>
      <c r="O171" s="170">
        <v>10</v>
      </c>
      <c r="P171" s="170">
        <v>100</v>
      </c>
      <c r="Q171" s="17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8">
        <v>117</v>
      </c>
      <c r="B172" s="170" t="str">
        <f t="shared" si="34"/>
        <v>1.64, Levee Splitter (1/80a) 8 blade</v>
      </c>
      <c r="C172" s="135">
        <v>1.64</v>
      </c>
      <c r="D172" s="131" t="s">
        <v>440</v>
      </c>
      <c r="E172" s="131" t="s">
        <v>285</v>
      </c>
      <c r="F172" s="131" t="s">
        <v>74</v>
      </c>
      <c r="G172" s="131" t="str">
        <f t="shared" si="35"/>
        <v>Levee Splitter (1/80a) 8 blade</v>
      </c>
      <c r="H172" s="244">
        <v>9220</v>
      </c>
      <c r="I172" s="170">
        <v>24</v>
      </c>
      <c r="J172" s="170">
        <v>4</v>
      </c>
      <c r="K172" s="170">
        <v>85</v>
      </c>
      <c r="L172" s="171">
        <f t="shared" si="36"/>
        <v>0.1011029411764706</v>
      </c>
      <c r="M172" s="170">
        <v>30</v>
      </c>
      <c r="N172" s="170">
        <v>20</v>
      </c>
      <c r="O172" s="170">
        <v>10</v>
      </c>
      <c r="P172" s="170">
        <v>100</v>
      </c>
      <c r="Q172" s="17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8">
        <v>723</v>
      </c>
      <c r="B173" s="170" t="str">
        <f t="shared" si="34"/>
        <v>1.65, NT Grain Drill  6'</v>
      </c>
      <c r="C173" s="135">
        <v>1.65</v>
      </c>
      <c r="D173" s="131" t="s">
        <v>440</v>
      </c>
      <c r="E173" s="131" t="s">
        <v>286</v>
      </c>
      <c r="F173" s="131" t="s">
        <v>67</v>
      </c>
      <c r="G173" s="131" t="str">
        <f t="shared" si="35"/>
        <v>NT Grain Drill  6'</v>
      </c>
      <c r="H173" s="246">
        <v>30000</v>
      </c>
      <c r="I173" s="170">
        <v>6</v>
      </c>
      <c r="J173" s="170">
        <v>6</v>
      </c>
      <c r="K173" s="170">
        <v>70</v>
      </c>
      <c r="L173" s="171">
        <f t="shared" si="36"/>
        <v>0.32738095238095238</v>
      </c>
      <c r="M173" s="170">
        <v>45</v>
      </c>
      <c r="N173" s="170">
        <v>45</v>
      </c>
      <c r="O173" s="170">
        <v>8</v>
      </c>
      <c r="P173" s="170">
        <v>150</v>
      </c>
      <c r="Q173" s="17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8">
        <v>554</v>
      </c>
      <c r="B174" s="170" t="str">
        <f t="shared" si="34"/>
        <v>1.66, NT Grain Drill 10'</v>
      </c>
      <c r="C174" s="135">
        <v>1.66</v>
      </c>
      <c r="D174" s="131" t="s">
        <v>440</v>
      </c>
      <c r="E174" s="131" t="s">
        <v>286</v>
      </c>
      <c r="F174" s="131" t="s">
        <v>66</v>
      </c>
      <c r="G174" s="131" t="str">
        <f t="shared" si="35"/>
        <v>NT Grain Drill 10'</v>
      </c>
      <c r="H174" s="244">
        <v>47600</v>
      </c>
      <c r="I174" s="170">
        <v>10</v>
      </c>
      <c r="J174" s="170">
        <v>6</v>
      </c>
      <c r="K174" s="170">
        <v>70</v>
      </c>
      <c r="L174" s="171">
        <f t="shared" si="36"/>
        <v>0.19642857142857142</v>
      </c>
      <c r="M174" s="170">
        <v>45</v>
      </c>
      <c r="N174" s="170">
        <v>45</v>
      </c>
      <c r="O174" s="170">
        <v>8</v>
      </c>
      <c r="P174" s="170">
        <v>150</v>
      </c>
      <c r="Q174" s="17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8">
        <v>127</v>
      </c>
      <c r="B175" s="170" t="str">
        <f t="shared" si="34"/>
        <v>1.67, NT Grain Drill 12'</v>
      </c>
      <c r="C175" s="135">
        <v>1.67</v>
      </c>
      <c r="D175" s="131" t="s">
        <v>440</v>
      </c>
      <c r="E175" s="131" t="s">
        <v>286</v>
      </c>
      <c r="F175" s="131" t="s">
        <v>11</v>
      </c>
      <c r="G175" s="131" t="str">
        <f t="shared" si="35"/>
        <v>NT Grain Drill 12'</v>
      </c>
      <c r="H175" s="244">
        <v>63700</v>
      </c>
      <c r="I175" s="170">
        <v>12</v>
      </c>
      <c r="J175" s="170">
        <v>6</v>
      </c>
      <c r="K175" s="170">
        <v>70</v>
      </c>
      <c r="L175" s="171">
        <f t="shared" si="36"/>
        <v>0.16369047619047619</v>
      </c>
      <c r="M175" s="170">
        <v>45</v>
      </c>
      <c r="N175" s="170">
        <v>45</v>
      </c>
      <c r="O175" s="170">
        <v>8</v>
      </c>
      <c r="P175" s="170">
        <v>150</v>
      </c>
      <c r="Q175" s="17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8">
        <v>328</v>
      </c>
      <c r="B176" s="170" t="str">
        <f t="shared" si="34"/>
        <v>1.68, NT Grain Drill 15'</v>
      </c>
      <c r="C176" s="135">
        <v>1.68</v>
      </c>
      <c r="D176" s="131" t="s">
        <v>440</v>
      </c>
      <c r="E176" s="131" t="s">
        <v>286</v>
      </c>
      <c r="F176" s="131" t="s">
        <v>10</v>
      </c>
      <c r="G176" s="131" t="str">
        <f t="shared" si="35"/>
        <v>NT Grain Drill 15'</v>
      </c>
      <c r="H176" s="244">
        <v>76100</v>
      </c>
      <c r="I176" s="170">
        <v>15</v>
      </c>
      <c r="J176" s="170">
        <v>6</v>
      </c>
      <c r="K176" s="170">
        <v>70</v>
      </c>
      <c r="L176" s="171">
        <f t="shared" si="36"/>
        <v>0.13095238095238096</v>
      </c>
      <c r="M176" s="170">
        <v>45</v>
      </c>
      <c r="N176" s="170">
        <v>45</v>
      </c>
      <c r="O176" s="170">
        <v>8</v>
      </c>
      <c r="P176" s="170">
        <v>150</v>
      </c>
      <c r="Q176" s="17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8">
        <v>128</v>
      </c>
      <c r="B177" s="170" t="str">
        <f t="shared" si="34"/>
        <v>1.69, NT Grain Drill 20'</v>
      </c>
      <c r="C177" s="135">
        <v>1.69</v>
      </c>
      <c r="D177" s="131" t="s">
        <v>440</v>
      </c>
      <c r="E177" s="131" t="s">
        <v>286</v>
      </c>
      <c r="F177" s="131" t="s">
        <v>8</v>
      </c>
      <c r="G177" s="131" t="str">
        <f t="shared" si="35"/>
        <v>NT Grain Drill 20'</v>
      </c>
      <c r="H177" s="244">
        <v>101000</v>
      </c>
      <c r="I177" s="170">
        <v>20</v>
      </c>
      <c r="J177" s="170">
        <v>6</v>
      </c>
      <c r="K177" s="170">
        <v>70</v>
      </c>
      <c r="L177" s="171">
        <f t="shared" si="36"/>
        <v>9.8214285714285712E-2</v>
      </c>
      <c r="M177" s="170">
        <v>45</v>
      </c>
      <c r="N177" s="170">
        <v>45</v>
      </c>
      <c r="O177" s="170">
        <v>8</v>
      </c>
      <c r="P177" s="170">
        <v>150</v>
      </c>
      <c r="Q177" s="17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8">
        <v>329</v>
      </c>
      <c r="B178" s="170" t="str">
        <f t="shared" si="34"/>
        <v>1.7, NT Grain Drill 24'</v>
      </c>
      <c r="C178" s="135">
        <v>1.7</v>
      </c>
      <c r="D178" s="131" t="s">
        <v>440</v>
      </c>
      <c r="E178" s="131" t="s">
        <v>286</v>
      </c>
      <c r="F178" s="131" t="s">
        <v>65</v>
      </c>
      <c r="G178" s="131" t="str">
        <f t="shared" si="35"/>
        <v>NT Grain Drill 24'</v>
      </c>
      <c r="H178" s="244">
        <v>111300</v>
      </c>
      <c r="I178" s="170">
        <v>24</v>
      </c>
      <c r="J178" s="170">
        <v>6</v>
      </c>
      <c r="K178" s="170">
        <v>70</v>
      </c>
      <c r="L178" s="171">
        <f t="shared" si="36"/>
        <v>8.1845238095238096E-2</v>
      </c>
      <c r="M178" s="170">
        <v>45</v>
      </c>
      <c r="N178" s="170">
        <v>45</v>
      </c>
      <c r="O178" s="170">
        <v>8</v>
      </c>
      <c r="P178" s="170">
        <v>150</v>
      </c>
      <c r="Q178" s="17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8">
        <v>129</v>
      </c>
      <c r="B179" s="170" t="str">
        <f t="shared" si="34"/>
        <v>1.71, NT Grain Drill 30'</v>
      </c>
      <c r="C179" s="135">
        <v>1.71</v>
      </c>
      <c r="D179" s="131" t="s">
        <v>440</v>
      </c>
      <c r="E179" s="131" t="s">
        <v>286</v>
      </c>
      <c r="F179" s="131" t="s">
        <v>44</v>
      </c>
      <c r="G179" s="131" t="str">
        <f t="shared" si="35"/>
        <v>NT Grain Drill 30'</v>
      </c>
      <c r="H179" s="244">
        <v>110200</v>
      </c>
      <c r="I179" s="170">
        <v>30</v>
      </c>
      <c r="J179" s="170">
        <v>6</v>
      </c>
      <c r="K179" s="170">
        <v>70</v>
      </c>
      <c r="L179" s="171">
        <f t="shared" si="36"/>
        <v>6.5476190476190479E-2</v>
      </c>
      <c r="M179" s="170">
        <v>45</v>
      </c>
      <c r="N179" s="170">
        <v>45</v>
      </c>
      <c r="O179" s="170">
        <v>8</v>
      </c>
      <c r="P179" s="170">
        <v>150</v>
      </c>
      <c r="Q179" s="17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8">
        <v>724</v>
      </c>
      <c r="B180" s="170" t="str">
        <f t="shared" si="34"/>
        <v>1.72, NT Grain Drill &amp; Pre  6'</v>
      </c>
      <c r="C180" s="135">
        <v>1.72</v>
      </c>
      <c r="D180" s="131" t="s">
        <v>440</v>
      </c>
      <c r="E180" s="131" t="s">
        <v>287</v>
      </c>
      <c r="F180" s="131" t="s">
        <v>67</v>
      </c>
      <c r="G180" s="131" t="str">
        <f t="shared" si="35"/>
        <v>NT Grain Drill &amp; Pre  6'</v>
      </c>
      <c r="H180" s="246">
        <v>36000</v>
      </c>
      <c r="I180" s="170">
        <v>6</v>
      </c>
      <c r="J180" s="170">
        <v>6</v>
      </c>
      <c r="K180" s="170">
        <v>65</v>
      </c>
      <c r="L180" s="171">
        <f t="shared" si="36"/>
        <v>0.35256410256410259</v>
      </c>
      <c r="M180" s="170">
        <v>45</v>
      </c>
      <c r="N180" s="170">
        <v>45</v>
      </c>
      <c r="O180" s="170">
        <v>8</v>
      </c>
      <c r="P180" s="170">
        <v>150</v>
      </c>
      <c r="Q180" s="17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8">
        <v>555</v>
      </c>
      <c r="B181" s="170" t="str">
        <f t="shared" si="34"/>
        <v>1.73, NT Grain Drill &amp; Pre 10'</v>
      </c>
      <c r="C181" s="135">
        <v>1.73</v>
      </c>
      <c r="D181" s="131" t="s">
        <v>440</v>
      </c>
      <c r="E181" s="131" t="s">
        <v>287</v>
      </c>
      <c r="F181" s="131" t="s">
        <v>66</v>
      </c>
      <c r="G181" s="131" t="str">
        <f t="shared" si="35"/>
        <v>NT Grain Drill &amp; Pre 10'</v>
      </c>
      <c r="H181" s="244">
        <v>53400</v>
      </c>
      <c r="I181" s="170">
        <v>10</v>
      </c>
      <c r="J181" s="170">
        <v>6</v>
      </c>
      <c r="K181" s="170">
        <v>65</v>
      </c>
      <c r="L181" s="171">
        <f t="shared" si="36"/>
        <v>0.21153846153846154</v>
      </c>
      <c r="M181" s="170">
        <v>45</v>
      </c>
      <c r="N181" s="170">
        <v>45</v>
      </c>
      <c r="O181" s="170">
        <v>8</v>
      </c>
      <c r="P181" s="170">
        <v>150</v>
      </c>
      <c r="Q181" s="17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8">
        <v>403</v>
      </c>
      <c r="B182" s="170" t="str">
        <f t="shared" si="34"/>
        <v>1.74, NT Grain Drill &amp; Pre 12'</v>
      </c>
      <c r="C182" s="135">
        <v>1.74</v>
      </c>
      <c r="D182" s="131" t="s">
        <v>440</v>
      </c>
      <c r="E182" s="131" t="s">
        <v>287</v>
      </c>
      <c r="F182" s="131" t="s">
        <v>11</v>
      </c>
      <c r="G182" s="131" t="str">
        <f t="shared" si="35"/>
        <v>NT Grain Drill &amp; Pre 12'</v>
      </c>
      <c r="H182" s="244">
        <v>69500</v>
      </c>
      <c r="I182" s="170">
        <v>12</v>
      </c>
      <c r="J182" s="170">
        <v>6</v>
      </c>
      <c r="K182" s="170">
        <v>65</v>
      </c>
      <c r="L182" s="171">
        <f t="shared" si="36"/>
        <v>0.17628205128205129</v>
      </c>
      <c r="M182" s="170">
        <v>45</v>
      </c>
      <c r="N182" s="170">
        <v>45</v>
      </c>
      <c r="O182" s="170">
        <v>8</v>
      </c>
      <c r="P182" s="170">
        <v>150</v>
      </c>
      <c r="Q182" s="17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8">
        <v>404</v>
      </c>
      <c r="B183" s="170" t="str">
        <f t="shared" si="34"/>
        <v>1.75, NT Grain Drill &amp; Pre 15'</v>
      </c>
      <c r="C183" s="135">
        <v>1.75</v>
      </c>
      <c r="D183" s="131" t="s">
        <v>440</v>
      </c>
      <c r="E183" s="131" t="s">
        <v>287</v>
      </c>
      <c r="F183" s="131" t="s">
        <v>10</v>
      </c>
      <c r="G183" s="131" t="str">
        <f t="shared" si="35"/>
        <v>NT Grain Drill &amp; Pre 15'</v>
      </c>
      <c r="H183" s="244">
        <v>81900</v>
      </c>
      <c r="I183" s="170">
        <v>15</v>
      </c>
      <c r="J183" s="170">
        <v>6</v>
      </c>
      <c r="K183" s="170">
        <v>65</v>
      </c>
      <c r="L183" s="171">
        <f t="shared" si="36"/>
        <v>0.14102564102564102</v>
      </c>
      <c r="M183" s="170">
        <v>45</v>
      </c>
      <c r="N183" s="170">
        <v>45</v>
      </c>
      <c r="O183" s="170">
        <v>8</v>
      </c>
      <c r="P183" s="170">
        <v>150</v>
      </c>
      <c r="Q183" s="17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8">
        <v>405</v>
      </c>
      <c r="B184" s="170" t="str">
        <f t="shared" si="34"/>
        <v>1.76, NT Grain Drill &amp; Pre 20'</v>
      </c>
      <c r="C184" s="135">
        <v>1.76</v>
      </c>
      <c r="D184" s="131" t="s">
        <v>440</v>
      </c>
      <c r="E184" s="131" t="s">
        <v>287</v>
      </c>
      <c r="F184" s="131" t="s">
        <v>8</v>
      </c>
      <c r="G184" s="131" t="str">
        <f t="shared" si="35"/>
        <v>NT Grain Drill &amp; Pre 20'</v>
      </c>
      <c r="H184" s="244">
        <v>107000</v>
      </c>
      <c r="I184" s="170">
        <v>20</v>
      </c>
      <c r="J184" s="170">
        <v>6</v>
      </c>
      <c r="K184" s="170">
        <v>65</v>
      </c>
      <c r="L184" s="171">
        <f t="shared" si="36"/>
        <v>0.10576923076923077</v>
      </c>
      <c r="M184" s="170">
        <v>45</v>
      </c>
      <c r="N184" s="170">
        <v>45</v>
      </c>
      <c r="O184" s="170">
        <v>8</v>
      </c>
      <c r="P184" s="170">
        <v>150</v>
      </c>
      <c r="Q184" s="17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8">
        <v>406</v>
      </c>
      <c r="B185" s="170" t="str">
        <f t="shared" si="34"/>
        <v>1.77, NT Grain Drill &amp; Pre 24'</v>
      </c>
      <c r="C185" s="135">
        <v>1.77</v>
      </c>
      <c r="D185" s="131" t="s">
        <v>440</v>
      </c>
      <c r="E185" s="131" t="s">
        <v>287</v>
      </c>
      <c r="F185" s="131" t="s">
        <v>65</v>
      </c>
      <c r="G185" s="131" t="str">
        <f t="shared" si="35"/>
        <v>NT Grain Drill &amp; Pre 24'</v>
      </c>
      <c r="H185" s="244">
        <v>117000</v>
      </c>
      <c r="I185" s="170">
        <v>24</v>
      </c>
      <c r="J185" s="170">
        <v>6</v>
      </c>
      <c r="K185" s="170">
        <v>65</v>
      </c>
      <c r="L185" s="171">
        <f t="shared" si="36"/>
        <v>8.8141025641025647E-2</v>
      </c>
      <c r="M185" s="170">
        <v>45</v>
      </c>
      <c r="N185" s="170">
        <v>45</v>
      </c>
      <c r="O185" s="170">
        <v>8</v>
      </c>
      <c r="P185" s="170">
        <v>150</v>
      </c>
      <c r="Q185" s="17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8">
        <v>407</v>
      </c>
      <c r="B186" s="170" t="str">
        <f t="shared" si="34"/>
        <v>1.78, NT Grain Drill &amp; Pre 30'</v>
      </c>
      <c r="C186" s="135">
        <v>1.78</v>
      </c>
      <c r="D186" s="131" t="s">
        <v>440</v>
      </c>
      <c r="E186" s="131" t="s">
        <v>287</v>
      </c>
      <c r="F186" s="131" t="s">
        <v>44</v>
      </c>
      <c r="G186" s="131" t="str">
        <f t="shared" si="35"/>
        <v>NT Grain Drill &amp; Pre 30'</v>
      </c>
      <c r="H186" s="244">
        <v>116000</v>
      </c>
      <c r="I186" s="170">
        <v>30</v>
      </c>
      <c r="J186" s="170">
        <v>6</v>
      </c>
      <c r="K186" s="170">
        <v>65</v>
      </c>
      <c r="L186" s="171">
        <f t="shared" si="36"/>
        <v>7.0512820512820512E-2</v>
      </c>
      <c r="M186" s="170">
        <v>45</v>
      </c>
      <c r="N186" s="170">
        <v>45</v>
      </c>
      <c r="O186" s="170">
        <v>8</v>
      </c>
      <c r="P186" s="170">
        <v>150</v>
      </c>
      <c r="Q186" s="17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8">
        <v>389</v>
      </c>
      <c r="B187" s="170" t="str">
        <f t="shared" si="34"/>
        <v>1.79, NT Plant &amp; Pre-Folding 12R-20</v>
      </c>
      <c r="C187" s="135">
        <v>1.79</v>
      </c>
      <c r="D187" s="131" t="s">
        <v>440</v>
      </c>
      <c r="E187" s="131" t="s">
        <v>288</v>
      </c>
      <c r="F187" s="131" t="s">
        <v>50</v>
      </c>
      <c r="G187" s="131" t="str">
        <f t="shared" si="35"/>
        <v>NT Plant &amp; Pre-Folding 12R-20</v>
      </c>
      <c r="H187" s="244">
        <v>82800</v>
      </c>
      <c r="I187" s="170">
        <v>20</v>
      </c>
      <c r="J187" s="170">
        <v>6</v>
      </c>
      <c r="K187" s="170">
        <v>65</v>
      </c>
      <c r="L187" s="171">
        <f t="shared" si="36"/>
        <v>0.10576923076923077</v>
      </c>
      <c r="M187" s="170">
        <v>45</v>
      </c>
      <c r="N187" s="170">
        <v>45</v>
      </c>
      <c r="O187" s="170">
        <v>8</v>
      </c>
      <c r="P187" s="170">
        <v>150</v>
      </c>
      <c r="Q187" s="17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8">
        <v>395</v>
      </c>
      <c r="B188" s="170" t="str">
        <f t="shared" si="34"/>
        <v>1.8, NT Plant &amp; Pre-Folding  8R-36</v>
      </c>
      <c r="C188" s="135">
        <v>1.8</v>
      </c>
      <c r="D188" s="131" t="s">
        <v>440</v>
      </c>
      <c r="E188" s="131" t="s">
        <v>288</v>
      </c>
      <c r="F188" s="131" t="s">
        <v>193</v>
      </c>
      <c r="G188" s="131" t="str">
        <f t="shared" si="35"/>
        <v>NT Plant &amp; Pre-Folding  8R-36</v>
      </c>
      <c r="H188" s="244">
        <v>86700</v>
      </c>
      <c r="I188" s="170">
        <v>24</v>
      </c>
      <c r="J188" s="170">
        <v>6</v>
      </c>
      <c r="K188" s="170">
        <v>65</v>
      </c>
      <c r="L188" s="171">
        <f t="shared" si="36"/>
        <v>8.8141025641025647E-2</v>
      </c>
      <c r="M188" s="170">
        <v>45</v>
      </c>
      <c r="N188" s="170">
        <v>45</v>
      </c>
      <c r="O188" s="170">
        <v>8</v>
      </c>
      <c r="P188" s="170">
        <v>150</v>
      </c>
      <c r="Q188" s="17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8">
        <v>392</v>
      </c>
      <c r="B189" s="170" t="str">
        <f t="shared" si="34"/>
        <v>1.81, NT Plant &amp; Pre-Folding 23R-15</v>
      </c>
      <c r="C189" s="135">
        <v>1.81</v>
      </c>
      <c r="D189" s="131" t="s">
        <v>440</v>
      </c>
      <c r="E189" s="131" t="s">
        <v>288</v>
      </c>
      <c r="F189" s="131" t="s">
        <v>62</v>
      </c>
      <c r="G189" s="131" t="str">
        <f t="shared" si="35"/>
        <v>NT Plant &amp; Pre-Folding 23R-15</v>
      </c>
      <c r="H189" s="244">
        <v>218000</v>
      </c>
      <c r="I189" s="170">
        <v>28.8</v>
      </c>
      <c r="J189" s="170">
        <v>6</v>
      </c>
      <c r="K189" s="170">
        <v>65</v>
      </c>
      <c r="L189" s="171">
        <f t="shared" si="36"/>
        <v>7.3450854700854704E-2</v>
      </c>
      <c r="M189" s="170">
        <v>45</v>
      </c>
      <c r="N189" s="170">
        <v>45</v>
      </c>
      <c r="O189" s="170">
        <v>8</v>
      </c>
      <c r="P189" s="170">
        <v>150</v>
      </c>
      <c r="Q189" s="17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8">
        <v>390</v>
      </c>
      <c r="B190" s="170" t="str">
        <f t="shared" si="34"/>
        <v>1.82, NT Plant &amp; Pre-Folding 12R-30</v>
      </c>
      <c r="C190" s="135">
        <v>1.82</v>
      </c>
      <c r="D190" s="131" t="s">
        <v>440</v>
      </c>
      <c r="E190" s="131" t="s">
        <v>288</v>
      </c>
      <c r="F190" s="131" t="s">
        <v>6</v>
      </c>
      <c r="G190" s="131" t="str">
        <f t="shared" si="35"/>
        <v>NT Plant &amp; Pre-Folding 12R-30</v>
      </c>
      <c r="H190" s="244">
        <v>110000</v>
      </c>
      <c r="I190" s="170">
        <v>30</v>
      </c>
      <c r="J190" s="170">
        <v>6</v>
      </c>
      <c r="K190" s="170">
        <v>65</v>
      </c>
      <c r="L190" s="171">
        <f t="shared" si="36"/>
        <v>7.0512820512820512E-2</v>
      </c>
      <c r="M190" s="170">
        <v>45</v>
      </c>
      <c r="N190" s="170">
        <v>45</v>
      </c>
      <c r="O190" s="170">
        <v>8</v>
      </c>
      <c r="P190" s="170">
        <v>150</v>
      </c>
      <c r="Q190" s="17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8">
        <v>549</v>
      </c>
      <c r="B191" s="170" t="str">
        <f t="shared" si="34"/>
        <v>1.83, NT Plant &amp; Pre-Folding 24R-15</v>
      </c>
      <c r="C191" s="135">
        <v>1.83</v>
      </c>
      <c r="D191" s="131" t="s">
        <v>440</v>
      </c>
      <c r="E191" s="131" t="s">
        <v>288</v>
      </c>
      <c r="F191" s="131" t="s">
        <v>61</v>
      </c>
      <c r="G191" s="131" t="str">
        <f t="shared" si="35"/>
        <v>NT Plant &amp; Pre-Folding 24R-15</v>
      </c>
      <c r="H191" s="246">
        <v>200000</v>
      </c>
      <c r="I191" s="170">
        <v>30</v>
      </c>
      <c r="J191" s="170">
        <v>6</v>
      </c>
      <c r="K191" s="170">
        <v>65</v>
      </c>
      <c r="L191" s="171">
        <f t="shared" si="36"/>
        <v>7.0512820512820512E-2</v>
      </c>
      <c r="M191" s="170">
        <v>45</v>
      </c>
      <c r="N191" s="170">
        <v>45</v>
      </c>
      <c r="O191" s="170">
        <v>8</v>
      </c>
      <c r="P191" s="170">
        <v>150</v>
      </c>
      <c r="Q191" s="17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8">
        <v>386</v>
      </c>
      <c r="B192" s="170" t="str">
        <f t="shared" si="34"/>
        <v>1.84, NT Plant &amp; Pre-Folding  8R-36 2x1</v>
      </c>
      <c r="C192" s="135">
        <v>1.84</v>
      </c>
      <c r="D192" s="131" t="s">
        <v>440</v>
      </c>
      <c r="E192" s="131" t="s">
        <v>288</v>
      </c>
      <c r="F192" s="131" t="s">
        <v>197</v>
      </c>
      <c r="G192" s="131" t="str">
        <f t="shared" si="35"/>
        <v>NT Plant &amp; Pre-Folding  8R-36 2x1</v>
      </c>
      <c r="H192" s="244">
        <v>123000</v>
      </c>
      <c r="I192" s="170">
        <v>36</v>
      </c>
      <c r="J192" s="170">
        <v>6</v>
      </c>
      <c r="K192" s="170">
        <v>65</v>
      </c>
      <c r="L192" s="171">
        <f t="shared" si="36"/>
        <v>5.8760683760683753E-2</v>
      </c>
      <c r="M192" s="170">
        <v>45</v>
      </c>
      <c r="N192" s="170">
        <v>45</v>
      </c>
      <c r="O192" s="170">
        <v>8</v>
      </c>
      <c r="P192" s="170">
        <v>150</v>
      </c>
      <c r="Q192" s="17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8">
        <v>257</v>
      </c>
      <c r="B193" s="170" t="str">
        <f t="shared" si="34"/>
        <v>1.85, NT Plant &amp; Pre-Folding 12R-36</v>
      </c>
      <c r="C193" s="135">
        <v>1.85</v>
      </c>
      <c r="D193" s="131" t="s">
        <v>440</v>
      </c>
      <c r="E193" s="131" t="s">
        <v>288</v>
      </c>
      <c r="F193" s="131" t="s">
        <v>194</v>
      </c>
      <c r="G193" s="131" t="str">
        <f t="shared" si="35"/>
        <v>NT Plant &amp; Pre-Folding 12R-36</v>
      </c>
      <c r="H193" s="244">
        <v>123000</v>
      </c>
      <c r="I193" s="170">
        <v>36</v>
      </c>
      <c r="J193" s="170">
        <v>6</v>
      </c>
      <c r="K193" s="170">
        <v>65</v>
      </c>
      <c r="L193" s="171">
        <f t="shared" si="36"/>
        <v>5.8760683760683753E-2</v>
      </c>
      <c r="M193" s="170">
        <v>45</v>
      </c>
      <c r="N193" s="170">
        <v>45</v>
      </c>
      <c r="O193" s="170">
        <v>8</v>
      </c>
      <c r="P193" s="170">
        <v>150</v>
      </c>
      <c r="Q193" s="17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8">
        <v>553</v>
      </c>
      <c r="B194" s="170" t="str">
        <f t="shared" si="34"/>
        <v>1.86, NT Plant &amp; Pre-Folding 31R-15</v>
      </c>
      <c r="C194" s="135">
        <v>1.86</v>
      </c>
      <c r="D194" s="131" t="s">
        <v>440</v>
      </c>
      <c r="E194" s="131" t="s">
        <v>288</v>
      </c>
      <c r="F194" s="131" t="s">
        <v>60</v>
      </c>
      <c r="G194" s="131" t="str">
        <f t="shared" si="35"/>
        <v>NT Plant &amp; Pre-Folding 31R-15</v>
      </c>
      <c r="H194" s="244">
        <v>267000</v>
      </c>
      <c r="I194" s="170">
        <v>38.700000000000003</v>
      </c>
      <c r="J194" s="170">
        <v>6</v>
      </c>
      <c r="K194" s="170">
        <v>65</v>
      </c>
      <c r="L194" s="171">
        <f t="shared" si="36"/>
        <v>5.4661101172729071E-2</v>
      </c>
      <c r="M194" s="170">
        <v>45</v>
      </c>
      <c r="N194" s="170">
        <v>45</v>
      </c>
      <c r="O194" s="170">
        <v>8</v>
      </c>
      <c r="P194" s="170">
        <v>150</v>
      </c>
      <c r="Q194" s="17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8">
        <v>391</v>
      </c>
      <c r="B195" s="170" t="str">
        <f t="shared" si="34"/>
        <v>1.87, NT Plant &amp; Pre-Folding 16R-30</v>
      </c>
      <c r="C195" s="135">
        <v>1.87</v>
      </c>
      <c r="D195" s="131" t="s">
        <v>440</v>
      </c>
      <c r="E195" s="131" t="s">
        <v>288</v>
      </c>
      <c r="F195" s="131" t="s">
        <v>59</v>
      </c>
      <c r="G195" s="131" t="str">
        <f t="shared" si="35"/>
        <v>NT Plant &amp; Pre-Folding 16R-30</v>
      </c>
      <c r="H195" s="244">
        <v>217000</v>
      </c>
      <c r="I195" s="170">
        <v>40</v>
      </c>
      <c r="J195" s="170">
        <v>6</v>
      </c>
      <c r="K195" s="170">
        <v>65</v>
      </c>
      <c r="L195" s="171">
        <f t="shared" si="36"/>
        <v>5.2884615384615384E-2</v>
      </c>
      <c r="M195" s="170">
        <v>45</v>
      </c>
      <c r="N195" s="170">
        <v>45</v>
      </c>
      <c r="O195" s="170">
        <v>8</v>
      </c>
      <c r="P195" s="170">
        <v>150</v>
      </c>
      <c r="Q195" s="17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8">
        <v>393</v>
      </c>
      <c r="B196" s="170" t="str">
        <f t="shared" si="34"/>
        <v>1.88, NT Plant &amp; Pre-Folding 24R-20</v>
      </c>
      <c r="C196" s="135">
        <v>1.88</v>
      </c>
      <c r="D196" s="131" t="s">
        <v>440</v>
      </c>
      <c r="E196" s="131" t="s">
        <v>288</v>
      </c>
      <c r="F196" s="131" t="s">
        <v>58</v>
      </c>
      <c r="G196" s="131" t="str">
        <f t="shared" si="35"/>
        <v>NT Plant &amp; Pre-Folding 24R-20</v>
      </c>
      <c r="H196" s="244">
        <v>268000</v>
      </c>
      <c r="I196" s="170">
        <v>40</v>
      </c>
      <c r="J196" s="170">
        <v>6</v>
      </c>
      <c r="K196" s="170">
        <v>65</v>
      </c>
      <c r="L196" s="171">
        <f t="shared" si="36"/>
        <v>5.2884615384615384E-2</v>
      </c>
      <c r="M196" s="170">
        <v>45</v>
      </c>
      <c r="N196" s="170">
        <v>45</v>
      </c>
      <c r="O196" s="170">
        <v>8</v>
      </c>
      <c r="P196" s="170">
        <v>150</v>
      </c>
      <c r="Q196" s="17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8">
        <v>597</v>
      </c>
      <c r="B197" s="170" t="str">
        <f t="shared" si="34"/>
        <v>1.89, NT Plant &amp; Pre-Folding 32R-15</v>
      </c>
      <c r="C197" s="135">
        <v>1.89</v>
      </c>
      <c r="D197" s="131" t="s">
        <v>440</v>
      </c>
      <c r="E197" s="131" t="s">
        <v>288</v>
      </c>
      <c r="F197" s="131" t="s">
        <v>57</v>
      </c>
      <c r="G197" s="131" t="str">
        <f t="shared" si="35"/>
        <v>NT Plant &amp; Pre-Folding 32R-15</v>
      </c>
      <c r="H197" s="244">
        <v>272000</v>
      </c>
      <c r="I197" s="170">
        <v>40</v>
      </c>
      <c r="J197" s="170">
        <v>6</v>
      </c>
      <c r="K197" s="170">
        <v>65</v>
      </c>
      <c r="L197" s="171">
        <f t="shared" si="36"/>
        <v>5.2884615384615384E-2</v>
      </c>
      <c r="M197" s="170">
        <v>45</v>
      </c>
      <c r="N197" s="170">
        <v>45</v>
      </c>
      <c r="O197" s="170">
        <v>8</v>
      </c>
      <c r="P197" s="170">
        <v>150</v>
      </c>
      <c r="Q197" s="17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8">
        <v>394</v>
      </c>
      <c r="B198" s="170" t="str">
        <f t="shared" si="34"/>
        <v>1.9, NT Plant &amp; Pre-Folding 24R-30</v>
      </c>
      <c r="C198" s="135">
        <v>1.9</v>
      </c>
      <c r="D198" s="131" t="s">
        <v>440</v>
      </c>
      <c r="E198" s="131" t="s">
        <v>288</v>
      </c>
      <c r="F198" s="131" t="s">
        <v>56</v>
      </c>
      <c r="G198" s="131" t="str">
        <f t="shared" si="35"/>
        <v>NT Plant &amp; Pre-Folding 24R-30</v>
      </c>
      <c r="H198" s="244">
        <v>227000</v>
      </c>
      <c r="I198" s="170">
        <v>60</v>
      </c>
      <c r="J198" s="170">
        <v>6</v>
      </c>
      <c r="K198" s="170">
        <v>65</v>
      </c>
      <c r="L198" s="171">
        <f t="shared" si="36"/>
        <v>3.5256410256410256E-2</v>
      </c>
      <c r="M198" s="170">
        <v>45</v>
      </c>
      <c r="N198" s="170">
        <v>45</v>
      </c>
      <c r="O198" s="170">
        <v>8</v>
      </c>
      <c r="P198" s="170">
        <v>150</v>
      </c>
      <c r="Q198" s="17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8">
        <v>629</v>
      </c>
      <c r="B199" s="170" t="str">
        <f t="shared" si="34"/>
        <v>1.91, NT Plant &amp; Pre-Folding 36R-20</v>
      </c>
      <c r="C199" s="135">
        <v>1.91</v>
      </c>
      <c r="D199" s="131" t="s">
        <v>440</v>
      </c>
      <c r="E199" s="131" t="s">
        <v>288</v>
      </c>
      <c r="F199" s="131" t="s">
        <v>55</v>
      </c>
      <c r="G199" s="131" t="str">
        <f t="shared" si="35"/>
        <v>NT Plant &amp; Pre-Folding 36R-20</v>
      </c>
      <c r="H199" s="246">
        <v>214000</v>
      </c>
      <c r="I199" s="170">
        <v>60</v>
      </c>
      <c r="J199" s="170">
        <v>6</v>
      </c>
      <c r="K199" s="170">
        <v>65</v>
      </c>
      <c r="L199" s="171">
        <f t="shared" si="36"/>
        <v>3.5256410256410256E-2</v>
      </c>
      <c r="M199" s="170">
        <v>45</v>
      </c>
      <c r="N199" s="170">
        <v>45</v>
      </c>
      <c r="O199" s="170">
        <v>8</v>
      </c>
      <c r="P199" s="170">
        <v>150</v>
      </c>
      <c r="Q199" s="17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8">
        <v>381</v>
      </c>
      <c r="B200" s="170" t="str">
        <f t="shared" si="34"/>
        <v>1.92, NT Plant &amp; Pre-Rigid  4R-30</v>
      </c>
      <c r="C200" s="135">
        <v>1.92</v>
      </c>
      <c r="D200" s="131" t="s">
        <v>440</v>
      </c>
      <c r="E200" s="131" t="s">
        <v>289</v>
      </c>
      <c r="F200" s="131" t="s">
        <v>48</v>
      </c>
      <c r="G200" s="131" t="str">
        <f t="shared" si="35"/>
        <v>NT Plant &amp; Pre-Rigid  4R-30</v>
      </c>
      <c r="H200" s="244">
        <v>43200</v>
      </c>
      <c r="I200" s="170">
        <v>10</v>
      </c>
      <c r="J200" s="170">
        <v>6</v>
      </c>
      <c r="K200" s="170">
        <v>65</v>
      </c>
      <c r="L200" s="171">
        <f t="shared" si="36"/>
        <v>0.21153846153846154</v>
      </c>
      <c r="M200" s="170">
        <v>45</v>
      </c>
      <c r="N200" s="170">
        <v>45</v>
      </c>
      <c r="O200" s="170">
        <v>8</v>
      </c>
      <c r="P200" s="170">
        <v>150</v>
      </c>
      <c r="Q200" s="17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8">
        <v>136</v>
      </c>
      <c r="B201" s="170" t="str">
        <f t="shared" ref="B201:B265" si="49">CONCATENATE(C201,D201,E201,F201)</f>
        <v>1.93, NT Plant &amp; Pre-Rigid  4R-36</v>
      </c>
      <c r="C201" s="135">
        <v>1.93</v>
      </c>
      <c r="D201" s="131" t="s">
        <v>440</v>
      </c>
      <c r="E201" s="131" t="s">
        <v>289</v>
      </c>
      <c r="F201" s="131" t="s">
        <v>195</v>
      </c>
      <c r="G201" s="131" t="str">
        <f t="shared" ref="G201:G265" si="50">CONCATENATE(E201,F201)</f>
        <v>NT Plant &amp; Pre-Rigid  4R-36</v>
      </c>
      <c r="H201" s="244">
        <v>38100</v>
      </c>
      <c r="I201" s="170">
        <v>12</v>
      </c>
      <c r="J201" s="170">
        <v>6</v>
      </c>
      <c r="K201" s="170">
        <v>65</v>
      </c>
      <c r="L201" s="171">
        <f t="shared" ref="L201:L265" si="51">1/((I201*J201*K201/100*5280)/43560)</f>
        <v>0.17628205128205129</v>
      </c>
      <c r="M201" s="170">
        <v>45</v>
      </c>
      <c r="N201" s="170">
        <v>45</v>
      </c>
      <c r="O201" s="170">
        <v>8</v>
      </c>
      <c r="P201" s="170">
        <v>150</v>
      </c>
      <c r="Q201" s="17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8">
        <v>533</v>
      </c>
      <c r="B202" s="170" t="str">
        <f t="shared" si="49"/>
        <v>1.94, NT Plant &amp; Pre-Rigid 11R-15</v>
      </c>
      <c r="C202" s="135">
        <v>1.94</v>
      </c>
      <c r="D202" s="131" t="s">
        <v>440</v>
      </c>
      <c r="E202" s="131" t="s">
        <v>289</v>
      </c>
      <c r="F202" s="131" t="s">
        <v>54</v>
      </c>
      <c r="G202" s="131" t="str">
        <f t="shared" si="50"/>
        <v>NT Plant &amp; Pre-Rigid 11R-15</v>
      </c>
      <c r="H202" s="244">
        <v>70800</v>
      </c>
      <c r="I202" s="170">
        <v>14.7</v>
      </c>
      <c r="J202" s="170">
        <v>6</v>
      </c>
      <c r="K202" s="170">
        <v>65</v>
      </c>
      <c r="L202" s="171">
        <f t="shared" si="51"/>
        <v>0.14390371533228677</v>
      </c>
      <c r="M202" s="170">
        <v>45</v>
      </c>
      <c r="N202" s="170">
        <v>45</v>
      </c>
      <c r="O202" s="170">
        <v>8</v>
      </c>
      <c r="P202" s="170">
        <v>150</v>
      </c>
      <c r="Q202" s="17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8">
        <v>137</v>
      </c>
      <c r="B203" s="170" t="str">
        <f t="shared" si="49"/>
        <v>1.95, NT Plant &amp; Pre-Rigid  6R-30</v>
      </c>
      <c r="C203" s="135">
        <v>1.95</v>
      </c>
      <c r="D203" s="131" t="s">
        <v>440</v>
      </c>
      <c r="E203" s="131" t="s">
        <v>289</v>
      </c>
      <c r="F203" s="131" t="s">
        <v>53</v>
      </c>
      <c r="G203" s="131" t="str">
        <f t="shared" si="50"/>
        <v>NT Plant &amp; Pre-Rigid  6R-30</v>
      </c>
      <c r="H203" s="244">
        <v>52300</v>
      </c>
      <c r="I203" s="170">
        <v>15</v>
      </c>
      <c r="J203" s="170">
        <v>6</v>
      </c>
      <c r="K203" s="170">
        <v>65</v>
      </c>
      <c r="L203" s="171">
        <f t="shared" si="51"/>
        <v>0.14102564102564102</v>
      </c>
      <c r="M203" s="170">
        <v>45</v>
      </c>
      <c r="N203" s="170">
        <v>45</v>
      </c>
      <c r="O203" s="170">
        <v>8</v>
      </c>
      <c r="P203" s="170">
        <v>150</v>
      </c>
      <c r="Q203" s="17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8">
        <v>138</v>
      </c>
      <c r="B204" s="170" t="str">
        <f t="shared" si="49"/>
        <v>1.96, NT Plant &amp; Pre-Rigid  6R-36</v>
      </c>
      <c r="C204" s="135">
        <v>1.96</v>
      </c>
      <c r="D204" s="131" t="s">
        <v>440</v>
      </c>
      <c r="E204" s="131" t="s">
        <v>289</v>
      </c>
      <c r="F204" s="131" t="s">
        <v>196</v>
      </c>
      <c r="G204" s="131" t="str">
        <f t="shared" si="50"/>
        <v>NT Plant &amp; Pre-Rigid  6R-36</v>
      </c>
      <c r="H204" s="244">
        <v>47900</v>
      </c>
      <c r="I204" s="170">
        <v>18</v>
      </c>
      <c r="J204" s="170">
        <v>6</v>
      </c>
      <c r="K204" s="170">
        <v>65</v>
      </c>
      <c r="L204" s="171">
        <f t="shared" si="51"/>
        <v>0.11752136752136751</v>
      </c>
      <c r="M204" s="170">
        <v>45</v>
      </c>
      <c r="N204" s="170">
        <v>45</v>
      </c>
      <c r="O204" s="170">
        <v>8</v>
      </c>
      <c r="P204" s="170">
        <v>150</v>
      </c>
      <c r="Q204" s="17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8">
        <v>537</v>
      </c>
      <c r="B205" s="170" t="str">
        <f t="shared" si="49"/>
        <v>1.97, NT Plant &amp; Pre-Rigid 11R-20</v>
      </c>
      <c r="C205" s="135">
        <v>1.97</v>
      </c>
      <c r="D205" s="131" t="s">
        <v>440</v>
      </c>
      <c r="E205" s="131" t="s">
        <v>289</v>
      </c>
      <c r="F205" s="131" t="s">
        <v>52</v>
      </c>
      <c r="G205" s="131" t="str">
        <f t="shared" si="50"/>
        <v>NT Plant &amp; Pre-Rigid 11R-20</v>
      </c>
      <c r="H205" s="244">
        <v>75500</v>
      </c>
      <c r="I205" s="170">
        <v>18.3</v>
      </c>
      <c r="J205" s="170">
        <v>6</v>
      </c>
      <c r="K205" s="170">
        <v>65</v>
      </c>
      <c r="L205" s="171">
        <f t="shared" si="51"/>
        <v>0.11559478772593525</v>
      </c>
      <c r="M205" s="170">
        <v>45</v>
      </c>
      <c r="N205" s="170">
        <v>45</v>
      </c>
      <c r="O205" s="170">
        <v>8</v>
      </c>
      <c r="P205" s="170">
        <v>150</v>
      </c>
      <c r="Q205" s="17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8">
        <v>598</v>
      </c>
      <c r="B206" s="170" t="str">
        <f t="shared" si="49"/>
        <v>1.98, NT Plant &amp; Pre-Rigid 15R-15</v>
      </c>
      <c r="C206" s="135">
        <v>1.98</v>
      </c>
      <c r="D206" s="131" t="s">
        <v>440</v>
      </c>
      <c r="E206" s="131" t="s">
        <v>289</v>
      </c>
      <c r="F206" s="131" t="s">
        <v>51</v>
      </c>
      <c r="G206" s="131" t="str">
        <f t="shared" si="50"/>
        <v>NT Plant &amp; Pre-Rigid 15R-15</v>
      </c>
      <c r="H206" s="244">
        <v>98900</v>
      </c>
      <c r="I206" s="170">
        <v>18.7</v>
      </c>
      <c r="J206" s="170">
        <v>6</v>
      </c>
      <c r="K206" s="170">
        <v>65</v>
      </c>
      <c r="L206" s="171">
        <f t="shared" si="51"/>
        <v>0.11312217194570136</v>
      </c>
      <c r="M206" s="170">
        <v>45</v>
      </c>
      <c r="N206" s="170">
        <v>45</v>
      </c>
      <c r="O206" s="170">
        <v>8</v>
      </c>
      <c r="P206" s="170">
        <v>150</v>
      </c>
      <c r="Q206" s="17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8">
        <v>139</v>
      </c>
      <c r="B207" s="170" t="str">
        <f t="shared" si="49"/>
        <v>1.99, NT Plant &amp; Pre-Rigid  8R-30</v>
      </c>
      <c r="C207" s="135">
        <v>1.99</v>
      </c>
      <c r="D207" s="131" t="s">
        <v>440</v>
      </c>
      <c r="E207" s="131" t="s">
        <v>289</v>
      </c>
      <c r="F207" s="131" t="s">
        <v>25</v>
      </c>
      <c r="G207" s="131" t="str">
        <f t="shared" si="50"/>
        <v>NT Plant &amp; Pre-Rigid  8R-30</v>
      </c>
      <c r="H207" s="244">
        <v>67600</v>
      </c>
      <c r="I207" s="170">
        <v>20</v>
      </c>
      <c r="J207" s="170">
        <v>6</v>
      </c>
      <c r="K207" s="170">
        <v>65</v>
      </c>
      <c r="L207" s="171">
        <f t="shared" si="51"/>
        <v>0.10576923076923077</v>
      </c>
      <c r="M207" s="170">
        <v>45</v>
      </c>
      <c r="N207" s="170">
        <v>45</v>
      </c>
      <c r="O207" s="170">
        <v>8</v>
      </c>
      <c r="P207" s="170">
        <v>150</v>
      </c>
      <c r="Q207" s="17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8">
        <v>384</v>
      </c>
      <c r="B208" s="170" t="str">
        <f t="shared" si="49"/>
        <v>2, NT Plant &amp; Pre-Rigid 12R-20</v>
      </c>
      <c r="C208" s="135">
        <v>2</v>
      </c>
      <c r="D208" s="131" t="s">
        <v>440</v>
      </c>
      <c r="E208" s="131" t="s">
        <v>289</v>
      </c>
      <c r="F208" s="131" t="s">
        <v>50</v>
      </c>
      <c r="G208" s="131" t="str">
        <f t="shared" si="50"/>
        <v>NT Plant &amp; Pre-Rigid 12R-20</v>
      </c>
      <c r="H208" s="244">
        <v>80500</v>
      </c>
      <c r="I208" s="170">
        <v>20</v>
      </c>
      <c r="J208" s="170">
        <v>6</v>
      </c>
      <c r="K208" s="170">
        <v>65</v>
      </c>
      <c r="L208" s="171">
        <f t="shared" si="51"/>
        <v>0.10576923076923077</v>
      </c>
      <c r="M208" s="170">
        <v>45</v>
      </c>
      <c r="N208" s="170">
        <v>45</v>
      </c>
      <c r="O208" s="170">
        <v>8</v>
      </c>
      <c r="P208" s="170">
        <v>150</v>
      </c>
      <c r="Q208" s="17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8">
        <v>631</v>
      </c>
      <c r="B209" s="170" t="str">
        <f t="shared" si="49"/>
        <v>2.01, NT Plant &amp; Pre-Rigid 13R-18/20</v>
      </c>
      <c r="C209" s="135">
        <v>2.0099999999999998</v>
      </c>
      <c r="D209" s="131" t="s">
        <v>440</v>
      </c>
      <c r="E209" s="131" t="s">
        <v>289</v>
      </c>
      <c r="F209" s="131" t="s">
        <v>49</v>
      </c>
      <c r="G209" s="131" t="str">
        <f t="shared" si="50"/>
        <v>NT Plant &amp; Pre-Rigid 13R-18/20</v>
      </c>
      <c r="H209" s="246">
        <v>67000</v>
      </c>
      <c r="I209" s="170">
        <v>21.7</v>
      </c>
      <c r="J209" s="170">
        <v>6</v>
      </c>
      <c r="K209" s="170">
        <v>65</v>
      </c>
      <c r="L209" s="171">
        <f t="shared" si="51"/>
        <v>9.7483161999291038E-2</v>
      </c>
      <c r="M209" s="170">
        <v>45</v>
      </c>
      <c r="N209" s="170">
        <v>45</v>
      </c>
      <c r="O209" s="170">
        <v>8</v>
      </c>
      <c r="P209" s="170">
        <v>150</v>
      </c>
      <c r="Q209" s="17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8">
        <v>140</v>
      </c>
      <c r="B210" s="170" t="str">
        <f t="shared" si="49"/>
        <v>2.02, NT Plant &amp; Pre-Rigid  8R-36</v>
      </c>
      <c r="C210" s="135">
        <v>2.02</v>
      </c>
      <c r="D210" s="131" t="s">
        <v>440</v>
      </c>
      <c r="E210" s="131" t="s">
        <v>289</v>
      </c>
      <c r="F210" s="131" t="s">
        <v>193</v>
      </c>
      <c r="G210" s="131" t="str">
        <f t="shared" si="50"/>
        <v>NT Plant &amp; Pre-Rigid  8R-36</v>
      </c>
      <c r="H210" s="244">
        <v>64100</v>
      </c>
      <c r="I210" s="170">
        <v>24</v>
      </c>
      <c r="J210" s="170">
        <v>6</v>
      </c>
      <c r="K210" s="170">
        <v>65</v>
      </c>
      <c r="L210" s="171">
        <f t="shared" si="51"/>
        <v>8.8141025641025647E-2</v>
      </c>
      <c r="M210" s="170">
        <v>45</v>
      </c>
      <c r="N210" s="170">
        <v>45</v>
      </c>
      <c r="O210" s="170">
        <v>8</v>
      </c>
      <c r="P210" s="170">
        <v>150</v>
      </c>
      <c r="Q210" s="17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8">
        <v>141</v>
      </c>
      <c r="B211" s="170" t="str">
        <f t="shared" si="49"/>
        <v>2.03, NT Plant &amp; Pre-Rigid 10R-30</v>
      </c>
      <c r="C211" s="135">
        <v>2.0299999999999998</v>
      </c>
      <c r="D211" s="131" t="s">
        <v>440</v>
      </c>
      <c r="E211" s="131" t="s">
        <v>289</v>
      </c>
      <c r="F211" s="131" t="s">
        <v>24</v>
      </c>
      <c r="G211" s="131" t="str">
        <f t="shared" si="50"/>
        <v>NT Plant &amp; Pre-Rigid 10R-30</v>
      </c>
      <c r="H211" s="246">
        <v>55000</v>
      </c>
      <c r="I211" s="170">
        <v>25</v>
      </c>
      <c r="J211" s="170">
        <v>6</v>
      </c>
      <c r="K211" s="170">
        <v>65</v>
      </c>
      <c r="L211" s="171">
        <f t="shared" si="51"/>
        <v>8.461538461538462E-2</v>
      </c>
      <c r="M211" s="170">
        <v>45</v>
      </c>
      <c r="N211" s="170">
        <v>45</v>
      </c>
      <c r="O211" s="170">
        <v>8</v>
      </c>
      <c r="P211" s="170">
        <v>150</v>
      </c>
      <c r="Q211" s="17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8">
        <v>385</v>
      </c>
      <c r="B212" s="170" t="str">
        <f t="shared" si="49"/>
        <v>2.04, NT Plant &amp; Pre-Rigid 12R-30</v>
      </c>
      <c r="C212" s="135">
        <v>2.04</v>
      </c>
      <c r="D212" s="131" t="s">
        <v>440</v>
      </c>
      <c r="E212" s="131" t="s">
        <v>289</v>
      </c>
      <c r="F212" s="131" t="s">
        <v>6</v>
      </c>
      <c r="G212" s="131" t="str">
        <f t="shared" si="50"/>
        <v>NT Plant &amp; Pre-Rigid 12R-30</v>
      </c>
      <c r="H212" s="244">
        <v>100400</v>
      </c>
      <c r="I212" s="170">
        <v>30</v>
      </c>
      <c r="J212" s="170">
        <v>6</v>
      </c>
      <c r="K212" s="170">
        <v>65</v>
      </c>
      <c r="L212" s="171">
        <f t="shared" si="51"/>
        <v>7.0512820512820512E-2</v>
      </c>
      <c r="M212" s="170">
        <v>45</v>
      </c>
      <c r="N212" s="170">
        <v>45</v>
      </c>
      <c r="O212" s="170">
        <v>8</v>
      </c>
      <c r="P212" s="170">
        <v>150</v>
      </c>
      <c r="Q212" s="17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8">
        <v>632</v>
      </c>
      <c r="B213" s="170" t="str">
        <f t="shared" si="49"/>
        <v>2.05, NT Plant &amp; Pre-Twin Row 8R-36</v>
      </c>
      <c r="C213" s="135">
        <v>2.0499999999999998</v>
      </c>
      <c r="D213" s="131" t="s">
        <v>440</v>
      </c>
      <c r="E213" s="131" t="s">
        <v>290</v>
      </c>
      <c r="F213" s="131" t="s">
        <v>199</v>
      </c>
      <c r="G213" s="131" t="str">
        <f t="shared" si="50"/>
        <v>NT Plant &amp; Pre-Twin Row 8R-36</v>
      </c>
      <c r="H213" s="244">
        <v>135300</v>
      </c>
      <c r="I213" s="170">
        <v>24</v>
      </c>
      <c r="J213" s="170">
        <v>6</v>
      </c>
      <c r="K213" s="170">
        <v>65</v>
      </c>
      <c r="L213" s="171">
        <f t="shared" si="51"/>
        <v>8.8141025641025647E-2</v>
      </c>
      <c r="M213" s="170">
        <v>45</v>
      </c>
      <c r="N213" s="170">
        <v>45</v>
      </c>
      <c r="O213" s="170">
        <v>8</v>
      </c>
      <c r="P213" s="170">
        <v>150</v>
      </c>
      <c r="Q213" s="17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8">
        <v>628</v>
      </c>
      <c r="B214" s="170" t="str">
        <f t="shared" si="49"/>
        <v>2.06, NT Plant &amp; Pre-Twin Row 12R-36</v>
      </c>
      <c r="C214" s="135">
        <v>2.06</v>
      </c>
      <c r="D214" s="131" t="s">
        <v>440</v>
      </c>
      <c r="E214" s="131" t="s">
        <v>290</v>
      </c>
      <c r="F214" s="131" t="s">
        <v>194</v>
      </c>
      <c r="G214" s="131" t="str">
        <f t="shared" si="50"/>
        <v>NT Plant &amp; Pre-Twin Row 12R-36</v>
      </c>
      <c r="H214" s="244">
        <v>173000</v>
      </c>
      <c r="I214" s="170">
        <v>36</v>
      </c>
      <c r="J214" s="170">
        <v>6</v>
      </c>
      <c r="K214" s="170">
        <v>65</v>
      </c>
      <c r="L214" s="171">
        <f t="shared" si="51"/>
        <v>5.8760683760683753E-2</v>
      </c>
      <c r="M214" s="170">
        <v>45</v>
      </c>
      <c r="N214" s="170">
        <v>45</v>
      </c>
      <c r="O214" s="170">
        <v>8</v>
      </c>
      <c r="P214" s="170">
        <v>150</v>
      </c>
      <c r="Q214" s="17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8">
        <v>374</v>
      </c>
      <c r="B215" s="170" t="str">
        <f t="shared" si="49"/>
        <v>2.07, NT Plant-Folding 12R-20</v>
      </c>
      <c r="C215" s="135">
        <v>2.0699999999999998</v>
      </c>
      <c r="D215" s="131" t="s">
        <v>440</v>
      </c>
      <c r="E215" s="131" t="s">
        <v>291</v>
      </c>
      <c r="F215" s="131" t="s">
        <v>50</v>
      </c>
      <c r="G215" s="131" t="str">
        <f t="shared" si="50"/>
        <v>NT Plant-Folding 12R-20</v>
      </c>
      <c r="H215" s="244">
        <v>77500</v>
      </c>
      <c r="I215" s="170">
        <v>20</v>
      </c>
      <c r="J215" s="170">
        <v>6</v>
      </c>
      <c r="K215" s="170">
        <v>70</v>
      </c>
      <c r="L215" s="171">
        <f t="shared" si="51"/>
        <v>9.8214285714285712E-2</v>
      </c>
      <c r="M215" s="170">
        <v>45</v>
      </c>
      <c r="N215" s="170">
        <v>45</v>
      </c>
      <c r="O215" s="170">
        <v>8</v>
      </c>
      <c r="P215" s="170">
        <v>150</v>
      </c>
      <c r="Q215" s="17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8">
        <v>370</v>
      </c>
      <c r="B216" s="170" t="str">
        <f t="shared" si="49"/>
        <v>2.08, NT Plant-Folding  8R-36</v>
      </c>
      <c r="C216" s="135">
        <v>2.08</v>
      </c>
      <c r="D216" s="131" t="s">
        <v>440</v>
      </c>
      <c r="E216" s="131" t="s">
        <v>291</v>
      </c>
      <c r="F216" s="131" t="s">
        <v>193</v>
      </c>
      <c r="G216" s="131" t="str">
        <f t="shared" si="50"/>
        <v>NT Plant-Folding  8R-36</v>
      </c>
      <c r="H216" s="244">
        <v>80900</v>
      </c>
      <c r="I216" s="170">
        <v>24</v>
      </c>
      <c r="J216" s="170">
        <v>6</v>
      </c>
      <c r="K216" s="170">
        <v>70</v>
      </c>
      <c r="L216" s="171">
        <f t="shared" si="51"/>
        <v>8.1845238095238096E-2</v>
      </c>
      <c r="M216" s="170">
        <v>45</v>
      </c>
      <c r="N216" s="170">
        <v>45</v>
      </c>
      <c r="O216" s="170">
        <v>8</v>
      </c>
      <c r="P216" s="170">
        <v>150</v>
      </c>
      <c r="Q216" s="17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8">
        <v>378</v>
      </c>
      <c r="B217" s="170" t="str">
        <f t="shared" si="49"/>
        <v>2.09, NT Plant-Folding 23R-15</v>
      </c>
      <c r="C217" s="135">
        <v>2.09</v>
      </c>
      <c r="D217" s="131" t="s">
        <v>440</v>
      </c>
      <c r="E217" s="131" t="s">
        <v>291</v>
      </c>
      <c r="F217" s="131" t="s">
        <v>62</v>
      </c>
      <c r="G217" s="131" t="str">
        <f t="shared" si="50"/>
        <v>NT Plant-Folding 23R-15</v>
      </c>
      <c r="H217" s="244">
        <v>207000</v>
      </c>
      <c r="I217" s="170">
        <v>28.8</v>
      </c>
      <c r="J217" s="170">
        <v>6</v>
      </c>
      <c r="K217" s="170">
        <v>70</v>
      </c>
      <c r="L217" s="171">
        <f t="shared" si="51"/>
        <v>6.8204365079365087E-2</v>
      </c>
      <c r="M217" s="170">
        <v>45</v>
      </c>
      <c r="N217" s="170">
        <v>45</v>
      </c>
      <c r="O217" s="170">
        <v>8</v>
      </c>
      <c r="P217" s="170">
        <v>150</v>
      </c>
      <c r="Q217" s="17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8">
        <v>375</v>
      </c>
      <c r="B218" s="170" t="str">
        <f t="shared" si="49"/>
        <v>2.1, NT Plant-Folding 12R-30</v>
      </c>
      <c r="C218" s="135">
        <v>2.1</v>
      </c>
      <c r="D218" s="131" t="s">
        <v>440</v>
      </c>
      <c r="E218" s="131" t="s">
        <v>291</v>
      </c>
      <c r="F218" s="131" t="s">
        <v>6</v>
      </c>
      <c r="G218" s="131" t="str">
        <f t="shared" si="50"/>
        <v>NT Plant-Folding 12R-30</v>
      </c>
      <c r="H218" s="244">
        <v>99800</v>
      </c>
      <c r="I218" s="170">
        <v>30</v>
      </c>
      <c r="J218" s="170">
        <v>6</v>
      </c>
      <c r="K218" s="170">
        <v>70</v>
      </c>
      <c r="L218" s="171">
        <f t="shared" si="51"/>
        <v>6.5476190476190479E-2</v>
      </c>
      <c r="M218" s="170">
        <v>45</v>
      </c>
      <c r="N218" s="170">
        <v>45</v>
      </c>
      <c r="O218" s="170">
        <v>8</v>
      </c>
      <c r="P218" s="170">
        <v>150</v>
      </c>
      <c r="Q218" s="17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8">
        <v>548</v>
      </c>
      <c r="B219" s="170" t="str">
        <f t="shared" si="49"/>
        <v>2.11, NT Plant-Folding 24R-15</v>
      </c>
      <c r="C219" s="135">
        <v>2.11</v>
      </c>
      <c r="D219" s="131" t="s">
        <v>440</v>
      </c>
      <c r="E219" s="131" t="s">
        <v>291</v>
      </c>
      <c r="F219" s="131" t="s">
        <v>61</v>
      </c>
      <c r="G219" s="131" t="str">
        <f t="shared" si="50"/>
        <v>NT Plant-Folding 24R-15</v>
      </c>
      <c r="H219" s="246">
        <v>146000</v>
      </c>
      <c r="I219" s="170">
        <v>30</v>
      </c>
      <c r="J219" s="170">
        <v>6</v>
      </c>
      <c r="K219" s="170">
        <v>70</v>
      </c>
      <c r="L219" s="171">
        <f t="shared" si="51"/>
        <v>6.5476190476190479E-2</v>
      </c>
      <c r="M219" s="170">
        <v>45</v>
      </c>
      <c r="N219" s="170">
        <v>45</v>
      </c>
      <c r="O219" s="170">
        <v>8</v>
      </c>
      <c r="P219" s="170">
        <v>150</v>
      </c>
      <c r="Q219" s="17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8">
        <v>371</v>
      </c>
      <c r="B220" s="170" t="str">
        <f t="shared" si="49"/>
        <v>2.12, NT Plant-Folding  8R-36 2x1</v>
      </c>
      <c r="C220" s="135">
        <v>2.12</v>
      </c>
      <c r="D220" s="131" t="s">
        <v>440</v>
      </c>
      <c r="E220" s="131" t="s">
        <v>291</v>
      </c>
      <c r="F220" s="131" t="s">
        <v>197</v>
      </c>
      <c r="G220" s="131" t="str">
        <f t="shared" si="50"/>
        <v>NT Plant-Folding  8R-36 2x1</v>
      </c>
      <c r="H220" s="248">
        <v>113000</v>
      </c>
      <c r="I220" s="170">
        <v>36</v>
      </c>
      <c r="J220" s="170">
        <v>6</v>
      </c>
      <c r="K220" s="170">
        <v>70</v>
      </c>
      <c r="L220" s="171">
        <f t="shared" si="51"/>
        <v>5.4563492063492071E-2</v>
      </c>
      <c r="M220" s="170">
        <v>45</v>
      </c>
      <c r="N220" s="170">
        <v>45</v>
      </c>
      <c r="O220" s="170">
        <v>8</v>
      </c>
      <c r="P220" s="170">
        <v>150</v>
      </c>
      <c r="Q220" s="17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8">
        <v>255</v>
      </c>
      <c r="B221" s="170" t="str">
        <f t="shared" si="49"/>
        <v>2.13, NT Plant-Folding 12R-36</v>
      </c>
      <c r="C221" s="135">
        <v>2.13</v>
      </c>
      <c r="D221" s="131" t="s">
        <v>440</v>
      </c>
      <c r="E221" s="131" t="s">
        <v>291</v>
      </c>
      <c r="F221" s="131" t="s">
        <v>194</v>
      </c>
      <c r="G221" s="131" t="str">
        <f t="shared" si="50"/>
        <v>NT Plant-Folding 12R-36</v>
      </c>
      <c r="H221" s="248">
        <v>113000</v>
      </c>
      <c r="I221" s="170">
        <v>36</v>
      </c>
      <c r="J221" s="170">
        <v>6</v>
      </c>
      <c r="K221" s="170">
        <v>70</v>
      </c>
      <c r="L221" s="171">
        <f t="shared" si="51"/>
        <v>5.4563492063492071E-2</v>
      </c>
      <c r="M221" s="170">
        <v>45</v>
      </c>
      <c r="N221" s="170">
        <v>45</v>
      </c>
      <c r="O221" s="170">
        <v>8</v>
      </c>
      <c r="P221" s="170">
        <v>150</v>
      </c>
      <c r="Q221" s="17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8">
        <v>552</v>
      </c>
      <c r="B222" s="170" t="str">
        <f t="shared" si="49"/>
        <v>2.14, NT Plant-Folding 31R-15</v>
      </c>
      <c r="C222" s="135">
        <v>2.14</v>
      </c>
      <c r="D222" s="131" t="s">
        <v>440</v>
      </c>
      <c r="E222" s="131" t="s">
        <v>291</v>
      </c>
      <c r="F222" s="131" t="s">
        <v>60</v>
      </c>
      <c r="G222" s="131" t="str">
        <f t="shared" si="50"/>
        <v>NT Plant-Folding 31R-15</v>
      </c>
      <c r="H222" s="244">
        <v>256000</v>
      </c>
      <c r="I222" s="170">
        <v>38.700000000000003</v>
      </c>
      <c r="J222" s="170">
        <v>6</v>
      </c>
      <c r="K222" s="170">
        <v>70</v>
      </c>
      <c r="L222" s="171">
        <f t="shared" si="51"/>
        <v>5.075673680324843E-2</v>
      </c>
      <c r="M222" s="170">
        <v>45</v>
      </c>
      <c r="N222" s="170">
        <v>45</v>
      </c>
      <c r="O222" s="170">
        <v>8</v>
      </c>
      <c r="P222" s="170">
        <v>150</v>
      </c>
      <c r="Q222" s="17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8">
        <v>377</v>
      </c>
      <c r="B223" s="170" t="str">
        <f t="shared" si="49"/>
        <v>2.15, NT Plant-Folding 16R-30</v>
      </c>
      <c r="C223" s="135">
        <v>2.15</v>
      </c>
      <c r="D223" s="131" t="s">
        <v>440</v>
      </c>
      <c r="E223" s="131" t="s">
        <v>291</v>
      </c>
      <c r="F223" s="131" t="s">
        <v>59</v>
      </c>
      <c r="G223" s="131" t="str">
        <f t="shared" si="50"/>
        <v>NT Plant-Folding 16R-30</v>
      </c>
      <c r="H223" s="244">
        <v>206000</v>
      </c>
      <c r="I223" s="170">
        <v>40</v>
      </c>
      <c r="J223" s="170">
        <v>6</v>
      </c>
      <c r="K223" s="170">
        <v>70</v>
      </c>
      <c r="L223" s="171">
        <f t="shared" si="51"/>
        <v>4.9107142857142856E-2</v>
      </c>
      <c r="M223" s="170">
        <v>45</v>
      </c>
      <c r="N223" s="170">
        <v>45</v>
      </c>
      <c r="O223" s="170">
        <v>8</v>
      </c>
      <c r="P223" s="170">
        <v>150</v>
      </c>
      <c r="Q223" s="17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8">
        <v>379</v>
      </c>
      <c r="B224" s="170" t="str">
        <f t="shared" si="49"/>
        <v>2.16, NT Plant-Folding 24R-20</v>
      </c>
      <c r="C224" s="135">
        <v>2.16</v>
      </c>
      <c r="D224" s="131" t="s">
        <v>440</v>
      </c>
      <c r="E224" s="131" t="s">
        <v>291</v>
      </c>
      <c r="F224" s="131" t="s">
        <v>58</v>
      </c>
      <c r="G224" s="131" t="str">
        <f t="shared" si="50"/>
        <v>NT Plant-Folding 24R-20</v>
      </c>
      <c r="H224" s="244">
        <v>258000</v>
      </c>
      <c r="I224" s="170">
        <v>40</v>
      </c>
      <c r="J224" s="170">
        <v>6</v>
      </c>
      <c r="K224" s="170">
        <v>70</v>
      </c>
      <c r="L224" s="171">
        <f t="shared" si="51"/>
        <v>4.9107142857142856E-2</v>
      </c>
      <c r="M224" s="170">
        <v>45</v>
      </c>
      <c r="N224" s="170">
        <v>45</v>
      </c>
      <c r="O224" s="170">
        <v>8</v>
      </c>
      <c r="P224" s="170">
        <v>150</v>
      </c>
      <c r="Q224" s="17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8">
        <v>599</v>
      </c>
      <c r="B225" s="170" t="str">
        <f t="shared" si="49"/>
        <v>2.17, NT Plant-Folding 32R-15</v>
      </c>
      <c r="C225" s="135">
        <v>2.17</v>
      </c>
      <c r="D225" s="131" t="s">
        <v>440</v>
      </c>
      <c r="E225" s="131" t="s">
        <v>291</v>
      </c>
      <c r="F225" s="131" t="s">
        <v>57</v>
      </c>
      <c r="G225" s="131" t="str">
        <f t="shared" si="50"/>
        <v>NT Plant-Folding 32R-15</v>
      </c>
      <c r="H225" s="244">
        <v>261000</v>
      </c>
      <c r="I225" s="170">
        <v>40</v>
      </c>
      <c r="J225" s="170">
        <v>6</v>
      </c>
      <c r="K225" s="170">
        <v>70</v>
      </c>
      <c r="L225" s="171">
        <f t="shared" si="51"/>
        <v>4.9107142857142856E-2</v>
      </c>
      <c r="M225" s="170">
        <v>45</v>
      </c>
      <c r="N225" s="170">
        <v>45</v>
      </c>
      <c r="O225" s="170">
        <v>8</v>
      </c>
      <c r="P225" s="170">
        <v>150</v>
      </c>
      <c r="Q225" s="17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8">
        <v>380</v>
      </c>
      <c r="B226" s="170" t="str">
        <f t="shared" si="49"/>
        <v>2.18, NT Plant-Folding 24R-30</v>
      </c>
      <c r="C226" s="135">
        <v>2.1800000000000002</v>
      </c>
      <c r="D226" s="131" t="s">
        <v>440</v>
      </c>
      <c r="E226" s="131" t="s">
        <v>291</v>
      </c>
      <c r="F226" s="131" t="s">
        <v>56</v>
      </c>
      <c r="G226" s="131" t="str">
        <f t="shared" si="50"/>
        <v>NT Plant-Folding 24R-30</v>
      </c>
      <c r="H226" s="244">
        <v>208000</v>
      </c>
      <c r="I226" s="170">
        <v>60</v>
      </c>
      <c r="J226" s="170">
        <v>6</v>
      </c>
      <c r="K226" s="170">
        <v>70</v>
      </c>
      <c r="L226" s="171">
        <f t="shared" si="51"/>
        <v>3.273809523809524E-2</v>
      </c>
      <c r="M226" s="170">
        <v>45</v>
      </c>
      <c r="N226" s="170">
        <v>45</v>
      </c>
      <c r="O226" s="170">
        <v>8</v>
      </c>
      <c r="P226" s="170">
        <v>150</v>
      </c>
      <c r="Q226" s="17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8">
        <v>637</v>
      </c>
      <c r="B227" s="170" t="str">
        <f t="shared" si="49"/>
        <v>2.19, NT Plant-Folding 36R-20</v>
      </c>
      <c r="C227" s="135">
        <v>2.19</v>
      </c>
      <c r="D227" s="131" t="s">
        <v>440</v>
      </c>
      <c r="E227" s="131" t="s">
        <v>291</v>
      </c>
      <c r="F227" s="131" t="s">
        <v>55</v>
      </c>
      <c r="G227" s="131" t="str">
        <f t="shared" si="50"/>
        <v>NT Plant-Folding 36R-20</v>
      </c>
      <c r="H227" s="246">
        <v>210000</v>
      </c>
      <c r="I227" s="170">
        <v>60</v>
      </c>
      <c r="J227" s="170">
        <v>6</v>
      </c>
      <c r="K227" s="170">
        <v>70</v>
      </c>
      <c r="L227" s="171">
        <f t="shared" si="51"/>
        <v>3.273809523809524E-2</v>
      </c>
      <c r="M227" s="170">
        <v>45</v>
      </c>
      <c r="N227" s="170">
        <v>45</v>
      </c>
      <c r="O227" s="170">
        <v>8</v>
      </c>
      <c r="P227" s="170">
        <v>150</v>
      </c>
      <c r="Q227" s="17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8">
        <v>365</v>
      </c>
      <c r="B228" s="170" t="str">
        <f t="shared" si="49"/>
        <v>2.2, NT Plant-Rigid  4R-30</v>
      </c>
      <c r="C228" s="135">
        <v>2.2000000000000002</v>
      </c>
      <c r="D228" s="131" t="s">
        <v>440</v>
      </c>
      <c r="E228" s="131" t="s">
        <v>292</v>
      </c>
      <c r="F228" s="131" t="s">
        <v>48</v>
      </c>
      <c r="G228" s="131" t="str">
        <f t="shared" si="50"/>
        <v>NT Plant-Rigid  4R-30</v>
      </c>
      <c r="H228" s="244">
        <v>37400</v>
      </c>
      <c r="I228" s="170">
        <v>10</v>
      </c>
      <c r="J228" s="170">
        <v>6</v>
      </c>
      <c r="K228" s="170">
        <v>70</v>
      </c>
      <c r="L228" s="171">
        <f t="shared" si="51"/>
        <v>0.19642857142857142</v>
      </c>
      <c r="M228" s="170">
        <v>45</v>
      </c>
      <c r="N228" s="170">
        <v>45</v>
      </c>
      <c r="O228" s="170">
        <v>8</v>
      </c>
      <c r="P228" s="170">
        <v>150</v>
      </c>
      <c r="Q228" s="17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8">
        <v>130</v>
      </c>
      <c r="B229" s="170" t="str">
        <f t="shared" si="49"/>
        <v>2.21, NT Plant-Rigid  4R-36</v>
      </c>
      <c r="C229" s="135">
        <v>2.21</v>
      </c>
      <c r="D229" s="131" t="s">
        <v>440</v>
      </c>
      <c r="E229" s="131" t="s">
        <v>292</v>
      </c>
      <c r="F229" s="131" t="s">
        <v>195</v>
      </c>
      <c r="G229" s="131" t="str">
        <f t="shared" si="50"/>
        <v>NT Plant-Rigid  4R-36</v>
      </c>
      <c r="H229" s="244">
        <v>32300</v>
      </c>
      <c r="I229" s="170">
        <v>12</v>
      </c>
      <c r="J229" s="170">
        <v>6</v>
      </c>
      <c r="K229" s="170">
        <v>70</v>
      </c>
      <c r="L229" s="171">
        <f t="shared" si="51"/>
        <v>0.16369047619047619</v>
      </c>
      <c r="M229" s="170">
        <v>45</v>
      </c>
      <c r="N229" s="170">
        <v>45</v>
      </c>
      <c r="O229" s="170">
        <v>8</v>
      </c>
      <c r="P229" s="170">
        <v>150</v>
      </c>
      <c r="Q229" s="17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8">
        <v>532</v>
      </c>
      <c r="B230" s="170" t="str">
        <f t="shared" si="49"/>
        <v>2.22, NT Plant-Rigid 11R-15</v>
      </c>
      <c r="C230" s="135">
        <v>2.2200000000000002</v>
      </c>
      <c r="D230" s="131" t="s">
        <v>440</v>
      </c>
      <c r="E230" s="131" t="s">
        <v>292</v>
      </c>
      <c r="F230" s="131" t="s">
        <v>54</v>
      </c>
      <c r="G230" s="131" t="str">
        <f t="shared" si="50"/>
        <v>NT Plant-Rigid 11R-15</v>
      </c>
      <c r="H230" s="244">
        <v>65000</v>
      </c>
      <c r="I230" s="170">
        <v>14.7</v>
      </c>
      <c r="J230" s="170">
        <v>6</v>
      </c>
      <c r="K230" s="170">
        <v>70</v>
      </c>
      <c r="L230" s="171">
        <f t="shared" si="51"/>
        <v>0.13362487852283772</v>
      </c>
      <c r="M230" s="170">
        <v>45</v>
      </c>
      <c r="N230" s="170">
        <v>45</v>
      </c>
      <c r="O230" s="170">
        <v>8</v>
      </c>
      <c r="P230" s="170">
        <v>150</v>
      </c>
      <c r="Q230" s="17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8">
        <v>131</v>
      </c>
      <c r="B231" s="170" t="str">
        <f t="shared" si="49"/>
        <v>2.23, NT Plant-Rigid  6R-30</v>
      </c>
      <c r="C231" s="135">
        <v>2.23</v>
      </c>
      <c r="D231" s="131" t="s">
        <v>440</v>
      </c>
      <c r="E231" s="131" t="s">
        <v>292</v>
      </c>
      <c r="F231" s="131" t="s">
        <v>53</v>
      </c>
      <c r="G231" s="131" t="str">
        <f t="shared" si="50"/>
        <v>NT Plant-Rigid  6R-30</v>
      </c>
      <c r="H231" s="244">
        <v>46500</v>
      </c>
      <c r="I231" s="170">
        <v>15</v>
      </c>
      <c r="J231" s="170">
        <v>6</v>
      </c>
      <c r="K231" s="170">
        <v>70</v>
      </c>
      <c r="L231" s="171">
        <f t="shared" si="51"/>
        <v>0.13095238095238096</v>
      </c>
      <c r="M231" s="170">
        <v>45</v>
      </c>
      <c r="N231" s="170">
        <v>45</v>
      </c>
      <c r="O231" s="170">
        <v>8</v>
      </c>
      <c r="P231" s="170">
        <v>150</v>
      </c>
      <c r="Q231" s="17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8">
        <v>132</v>
      </c>
      <c r="B232" s="170" t="str">
        <f t="shared" si="49"/>
        <v>2.24, NT Plant-Rigid  6R-36</v>
      </c>
      <c r="C232" s="135">
        <v>2.2400000000000002</v>
      </c>
      <c r="D232" s="131" t="s">
        <v>440</v>
      </c>
      <c r="E232" s="131" t="s">
        <v>292</v>
      </c>
      <c r="F232" s="131" t="s">
        <v>196</v>
      </c>
      <c r="G232" s="131" t="str">
        <f t="shared" si="50"/>
        <v>NT Plant-Rigid  6R-36</v>
      </c>
      <c r="H232" s="244">
        <v>42100</v>
      </c>
      <c r="I232" s="170">
        <v>18</v>
      </c>
      <c r="J232" s="170">
        <v>6</v>
      </c>
      <c r="K232" s="170">
        <v>70</v>
      </c>
      <c r="L232" s="171">
        <f t="shared" si="51"/>
        <v>0.10912698412698414</v>
      </c>
      <c r="M232" s="170">
        <v>45</v>
      </c>
      <c r="N232" s="170">
        <v>45</v>
      </c>
      <c r="O232" s="170">
        <v>8</v>
      </c>
      <c r="P232" s="170">
        <v>150</v>
      </c>
      <c r="Q232" s="17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8">
        <v>536</v>
      </c>
      <c r="B233" s="170" t="str">
        <f t="shared" si="49"/>
        <v>2.25, NT Plant-Rigid 11R-20</v>
      </c>
      <c r="C233" s="135">
        <v>2.25</v>
      </c>
      <c r="D233" s="131" t="s">
        <v>440</v>
      </c>
      <c r="E233" s="131" t="s">
        <v>292</v>
      </c>
      <c r="F233" s="131" t="s">
        <v>52</v>
      </c>
      <c r="G233" s="131" t="str">
        <f t="shared" si="50"/>
        <v>NT Plant-Rigid 11R-20</v>
      </c>
      <c r="H233" s="244">
        <v>69700</v>
      </c>
      <c r="I233" s="170">
        <v>18.3</v>
      </c>
      <c r="J233" s="170">
        <v>6</v>
      </c>
      <c r="K233" s="170">
        <v>70</v>
      </c>
      <c r="L233" s="171">
        <f t="shared" si="51"/>
        <v>0.10733801717408273</v>
      </c>
      <c r="M233" s="170">
        <v>45</v>
      </c>
      <c r="N233" s="170">
        <v>45</v>
      </c>
      <c r="O233" s="170">
        <v>8</v>
      </c>
      <c r="P233" s="170">
        <v>150</v>
      </c>
      <c r="Q233" s="17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8">
        <v>600</v>
      </c>
      <c r="B234" s="170" t="str">
        <f t="shared" si="49"/>
        <v>2.26, NT Plant-Rigid 15R-15</v>
      </c>
      <c r="C234" s="135">
        <v>2.2599999999999998</v>
      </c>
      <c r="D234" s="131" t="s">
        <v>440</v>
      </c>
      <c r="E234" s="131" t="s">
        <v>292</v>
      </c>
      <c r="F234" s="131" t="s">
        <v>51</v>
      </c>
      <c r="G234" s="131" t="str">
        <f t="shared" si="50"/>
        <v>NT Plant-Rigid 15R-15</v>
      </c>
      <c r="H234" s="244">
        <v>88600</v>
      </c>
      <c r="I234" s="170">
        <v>18.7</v>
      </c>
      <c r="J234" s="170">
        <v>6</v>
      </c>
      <c r="K234" s="170">
        <v>70</v>
      </c>
      <c r="L234" s="171">
        <f t="shared" si="51"/>
        <v>0.10504201680672269</v>
      </c>
      <c r="M234" s="170">
        <v>45</v>
      </c>
      <c r="N234" s="170">
        <v>45</v>
      </c>
      <c r="O234" s="170">
        <v>8</v>
      </c>
      <c r="P234" s="170">
        <v>150</v>
      </c>
      <c r="Q234" s="17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8">
        <v>133</v>
      </c>
      <c r="B235" s="170" t="str">
        <f t="shared" si="49"/>
        <v>2.27, NT Plant-Rigid  8R-30</v>
      </c>
      <c r="C235" s="135">
        <v>2.27</v>
      </c>
      <c r="D235" s="131" t="s">
        <v>440</v>
      </c>
      <c r="E235" s="131" t="s">
        <v>292</v>
      </c>
      <c r="F235" s="131" t="s">
        <v>25</v>
      </c>
      <c r="G235" s="131" t="str">
        <f t="shared" si="50"/>
        <v>NT Plant-Rigid  8R-30</v>
      </c>
      <c r="H235" s="244">
        <v>61800</v>
      </c>
      <c r="I235" s="170">
        <v>20</v>
      </c>
      <c r="J235" s="170">
        <v>6</v>
      </c>
      <c r="K235" s="170">
        <v>70</v>
      </c>
      <c r="L235" s="171">
        <f t="shared" si="51"/>
        <v>9.8214285714285712E-2</v>
      </c>
      <c r="M235" s="170">
        <v>45</v>
      </c>
      <c r="N235" s="170">
        <v>45</v>
      </c>
      <c r="O235" s="170">
        <v>8</v>
      </c>
      <c r="P235" s="170">
        <v>150</v>
      </c>
      <c r="Q235" s="17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8">
        <v>368</v>
      </c>
      <c r="B236" s="170" t="str">
        <f t="shared" si="49"/>
        <v>2.28, NT Plant-Rigid 12R-20</v>
      </c>
      <c r="C236" s="135">
        <v>2.2799999999999998</v>
      </c>
      <c r="D236" s="131" t="s">
        <v>440</v>
      </c>
      <c r="E236" s="131" t="s">
        <v>292</v>
      </c>
      <c r="F236" s="131" t="s">
        <v>50</v>
      </c>
      <c r="G236" s="131" t="str">
        <f t="shared" si="50"/>
        <v>NT Plant-Rigid 12R-20</v>
      </c>
      <c r="H236" s="244">
        <v>74700</v>
      </c>
      <c r="I236" s="170">
        <v>20</v>
      </c>
      <c r="J236" s="170">
        <v>6</v>
      </c>
      <c r="K236" s="170">
        <v>70</v>
      </c>
      <c r="L236" s="171">
        <f t="shared" si="51"/>
        <v>9.8214285714285712E-2</v>
      </c>
      <c r="M236" s="170">
        <v>45</v>
      </c>
      <c r="N236" s="170">
        <v>45</v>
      </c>
      <c r="O236" s="170">
        <v>8</v>
      </c>
      <c r="P236" s="170">
        <v>150</v>
      </c>
      <c r="Q236" s="17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8">
        <v>639</v>
      </c>
      <c r="B237" s="170" t="str">
        <f t="shared" si="49"/>
        <v>2.29, NT Plant-Rigid 13R-18/20</v>
      </c>
      <c r="C237" s="135">
        <v>2.29</v>
      </c>
      <c r="D237" s="131" t="s">
        <v>440</v>
      </c>
      <c r="E237" s="131" t="s">
        <v>292</v>
      </c>
      <c r="F237" s="131" t="s">
        <v>49</v>
      </c>
      <c r="G237" s="131" t="str">
        <f t="shared" si="50"/>
        <v>NT Plant-Rigid 13R-18/20</v>
      </c>
      <c r="H237" s="246">
        <v>59000</v>
      </c>
      <c r="I237" s="170">
        <v>21.6</v>
      </c>
      <c r="J237" s="170">
        <v>6</v>
      </c>
      <c r="K237" s="170">
        <v>70</v>
      </c>
      <c r="L237" s="171">
        <f t="shared" si="51"/>
        <v>9.0939153439153431E-2</v>
      </c>
      <c r="M237" s="170">
        <v>45</v>
      </c>
      <c r="N237" s="170">
        <v>45</v>
      </c>
      <c r="O237" s="170">
        <v>8</v>
      </c>
      <c r="P237" s="170">
        <v>150</v>
      </c>
      <c r="Q237" s="17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8">
        <v>134</v>
      </c>
      <c r="B238" s="170" t="str">
        <f t="shared" si="49"/>
        <v>2.3, NT Plant-Rigid  8R-36</v>
      </c>
      <c r="C238" s="135">
        <v>2.2999999999999998</v>
      </c>
      <c r="D238" s="131" t="s">
        <v>440</v>
      </c>
      <c r="E238" s="131" t="s">
        <v>292</v>
      </c>
      <c r="F238" s="131" t="s">
        <v>193</v>
      </c>
      <c r="G238" s="131" t="str">
        <f t="shared" si="50"/>
        <v>NT Plant-Rigid  8R-36</v>
      </c>
      <c r="H238" s="244">
        <v>58300</v>
      </c>
      <c r="I238" s="170">
        <v>24</v>
      </c>
      <c r="J238" s="170">
        <v>6</v>
      </c>
      <c r="K238" s="170">
        <v>70</v>
      </c>
      <c r="L238" s="171">
        <f t="shared" si="51"/>
        <v>8.1845238095238096E-2</v>
      </c>
      <c r="M238" s="170">
        <v>45</v>
      </c>
      <c r="N238" s="170">
        <v>45</v>
      </c>
      <c r="O238" s="170">
        <v>8</v>
      </c>
      <c r="P238" s="170">
        <v>150</v>
      </c>
      <c r="Q238" s="17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8">
        <v>135</v>
      </c>
      <c r="B239" s="170" t="str">
        <f t="shared" si="49"/>
        <v>2.31, NT Plant-Rigid 10R-30</v>
      </c>
      <c r="C239" s="135">
        <v>2.31</v>
      </c>
      <c r="D239" s="131" t="s">
        <v>440</v>
      </c>
      <c r="E239" s="131" t="s">
        <v>292</v>
      </c>
      <c r="F239" s="131" t="s">
        <v>24</v>
      </c>
      <c r="G239" s="131" t="str">
        <f t="shared" si="50"/>
        <v>NT Plant-Rigid 10R-30</v>
      </c>
      <c r="H239" s="246">
        <v>60000</v>
      </c>
      <c r="I239" s="170">
        <v>25</v>
      </c>
      <c r="J239" s="170">
        <v>6</v>
      </c>
      <c r="K239" s="170">
        <v>70</v>
      </c>
      <c r="L239" s="171">
        <f t="shared" si="51"/>
        <v>7.857142857142857E-2</v>
      </c>
      <c r="M239" s="170">
        <v>45</v>
      </c>
      <c r="N239" s="170">
        <v>45</v>
      </c>
      <c r="O239" s="170">
        <v>8</v>
      </c>
      <c r="P239" s="170">
        <v>150</v>
      </c>
      <c r="Q239" s="17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8">
        <v>369</v>
      </c>
      <c r="B240" s="170" t="str">
        <f t="shared" si="49"/>
        <v>2.32, NT Plant-Rigid 12R-30</v>
      </c>
      <c r="C240" s="135">
        <v>2.3199999999999998</v>
      </c>
      <c r="D240" s="131" t="s">
        <v>440</v>
      </c>
      <c r="E240" s="131" t="s">
        <v>292</v>
      </c>
      <c r="F240" s="131" t="s">
        <v>6</v>
      </c>
      <c r="G240" s="131" t="str">
        <f t="shared" si="50"/>
        <v>NT Plant-Rigid 12R-30</v>
      </c>
      <c r="H240" s="244">
        <v>90000</v>
      </c>
      <c r="I240" s="170">
        <v>30</v>
      </c>
      <c r="J240" s="170">
        <v>6</v>
      </c>
      <c r="K240" s="170">
        <v>70</v>
      </c>
      <c r="L240" s="171">
        <f t="shared" si="51"/>
        <v>6.5476190476190479E-2</v>
      </c>
      <c r="M240" s="170">
        <v>45</v>
      </c>
      <c r="N240" s="170">
        <v>45</v>
      </c>
      <c r="O240" s="170">
        <v>8</v>
      </c>
      <c r="P240" s="170">
        <v>150</v>
      </c>
      <c r="Q240" s="17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8">
        <v>640</v>
      </c>
      <c r="B241" s="170" t="str">
        <f t="shared" si="49"/>
        <v>2.33, NT Plant-Twin Row 8R-36</v>
      </c>
      <c r="C241" s="135">
        <v>2.33</v>
      </c>
      <c r="D241" s="131" t="s">
        <v>440</v>
      </c>
      <c r="E241" s="131" t="s">
        <v>293</v>
      </c>
      <c r="F241" s="131" t="s">
        <v>199</v>
      </c>
      <c r="G241" s="131" t="str">
        <f t="shared" si="50"/>
        <v>NT Plant-Twin Row 8R-36</v>
      </c>
      <c r="H241" s="244">
        <v>130000</v>
      </c>
      <c r="I241" s="170">
        <v>24</v>
      </c>
      <c r="J241" s="170">
        <v>6</v>
      </c>
      <c r="K241" s="170">
        <v>70</v>
      </c>
      <c r="L241" s="171">
        <f t="shared" si="51"/>
        <v>8.1845238095238096E-2</v>
      </c>
      <c r="M241" s="170">
        <v>45</v>
      </c>
      <c r="N241" s="170">
        <v>45</v>
      </c>
      <c r="O241" s="170">
        <v>8</v>
      </c>
      <c r="P241" s="170">
        <v>150</v>
      </c>
      <c r="Q241" s="17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8">
        <v>635</v>
      </c>
      <c r="B242" s="170" t="str">
        <f t="shared" si="49"/>
        <v>2.34, NT Plant-Twin Row 12R-36</v>
      </c>
      <c r="C242" s="135">
        <v>2.34</v>
      </c>
      <c r="D242" s="131" t="s">
        <v>440</v>
      </c>
      <c r="E242" s="131" t="s">
        <v>293</v>
      </c>
      <c r="F242" s="131" t="s">
        <v>194</v>
      </c>
      <c r="G242" s="131" t="str">
        <f t="shared" si="50"/>
        <v>NT Plant-Twin Row 12R-36</v>
      </c>
      <c r="H242" s="244">
        <v>163000</v>
      </c>
      <c r="I242" s="170">
        <v>36</v>
      </c>
      <c r="J242" s="170">
        <v>6</v>
      </c>
      <c r="K242" s="170">
        <v>70</v>
      </c>
      <c r="L242" s="171">
        <f t="shared" si="51"/>
        <v>5.4563492063492071E-2</v>
      </c>
      <c r="M242" s="170">
        <v>45</v>
      </c>
      <c r="N242" s="170">
        <v>45</v>
      </c>
      <c r="O242" s="170">
        <v>8</v>
      </c>
      <c r="P242" s="170">
        <v>150</v>
      </c>
      <c r="Q242" s="17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8">
        <v>694</v>
      </c>
      <c r="B243" s="170" t="str">
        <f t="shared" si="49"/>
        <v>2.35, One Trip Plow 4R-36</v>
      </c>
      <c r="C243" s="135">
        <v>2.35</v>
      </c>
      <c r="D243" s="131" t="s">
        <v>440</v>
      </c>
      <c r="E243" s="131" t="s">
        <v>294</v>
      </c>
      <c r="F243" s="131" t="s">
        <v>73</v>
      </c>
      <c r="G243" s="131" t="str">
        <f t="shared" si="50"/>
        <v>One Trip Plow 4R-36</v>
      </c>
      <c r="H243" s="246">
        <v>25000</v>
      </c>
      <c r="I243" s="170">
        <v>12.6</v>
      </c>
      <c r="J243" s="170">
        <v>5.25</v>
      </c>
      <c r="K243" s="170">
        <v>85</v>
      </c>
      <c r="L243" s="171">
        <f t="shared" si="51"/>
        <v>0.14672535680939044</v>
      </c>
      <c r="M243" s="170">
        <v>30</v>
      </c>
      <c r="N243" s="170">
        <v>70</v>
      </c>
      <c r="O243" s="170">
        <v>10</v>
      </c>
      <c r="P243" s="170">
        <v>150</v>
      </c>
      <c r="Q243" s="17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8">
        <v>695</v>
      </c>
      <c r="B244" s="170" t="str">
        <f t="shared" si="49"/>
        <v>2.36, One Trip Plow 6R-36</v>
      </c>
      <c r="C244" s="135">
        <v>2.36</v>
      </c>
      <c r="D244" s="131" t="s">
        <v>440</v>
      </c>
      <c r="E244" s="131" t="s">
        <v>294</v>
      </c>
      <c r="F244" s="131" t="s">
        <v>200</v>
      </c>
      <c r="G244" s="131" t="str">
        <f t="shared" si="50"/>
        <v>One Trip Plow 6R-36</v>
      </c>
      <c r="H244" s="246">
        <v>30000</v>
      </c>
      <c r="I244" s="170">
        <v>18</v>
      </c>
      <c r="J244" s="170">
        <v>5.25</v>
      </c>
      <c r="K244" s="170">
        <v>85</v>
      </c>
      <c r="L244" s="171">
        <f t="shared" si="51"/>
        <v>0.10270774976657329</v>
      </c>
      <c r="M244" s="170">
        <v>30</v>
      </c>
      <c r="N244" s="170">
        <v>70</v>
      </c>
      <c r="O244" s="170">
        <v>10</v>
      </c>
      <c r="P244" s="170">
        <v>150</v>
      </c>
      <c r="Q244" s="17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8">
        <v>696</v>
      </c>
      <c r="B245" s="170" t="str">
        <f t="shared" si="49"/>
        <v>2.37, One Trip Plow 8R-36</v>
      </c>
      <c r="C245" s="135">
        <v>2.37</v>
      </c>
      <c r="D245" s="131" t="s">
        <v>440</v>
      </c>
      <c r="E245" s="131" t="s">
        <v>294</v>
      </c>
      <c r="F245" s="131" t="s">
        <v>199</v>
      </c>
      <c r="G245" s="131" t="str">
        <f t="shared" si="50"/>
        <v>One Trip Plow 8R-36</v>
      </c>
      <c r="H245" s="246">
        <v>36000</v>
      </c>
      <c r="I245" s="170">
        <v>25</v>
      </c>
      <c r="J245" s="170">
        <v>5.25</v>
      </c>
      <c r="K245" s="170">
        <v>85</v>
      </c>
      <c r="L245" s="171">
        <f t="shared" si="51"/>
        <v>7.3949579831932774E-2</v>
      </c>
      <c r="M245" s="170">
        <v>30</v>
      </c>
      <c r="N245" s="170">
        <v>70</v>
      </c>
      <c r="O245" s="170">
        <v>10</v>
      </c>
      <c r="P245" s="170">
        <v>150</v>
      </c>
      <c r="Q245" s="17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8">
        <v>567</v>
      </c>
      <c r="B246" s="170" t="str">
        <f t="shared" si="49"/>
        <v>2.38, Peanut Plant &amp; Pre Fold. 12R-36</v>
      </c>
      <c r="C246" s="135">
        <v>2.38</v>
      </c>
      <c r="D246" s="131" t="s">
        <v>440</v>
      </c>
      <c r="E246" s="131" t="s">
        <v>295</v>
      </c>
      <c r="F246" s="131" t="s">
        <v>194</v>
      </c>
      <c r="G246" s="131" t="str">
        <f t="shared" si="50"/>
        <v>Peanut Plant &amp; Pre Fold. 12R-36</v>
      </c>
      <c r="H246" s="244">
        <v>111000</v>
      </c>
      <c r="I246" s="170">
        <v>36</v>
      </c>
      <c r="J246" s="170">
        <v>4.5</v>
      </c>
      <c r="K246" s="170">
        <v>60</v>
      </c>
      <c r="L246" s="171">
        <f t="shared" si="51"/>
        <v>8.4876543209876545E-2</v>
      </c>
      <c r="M246" s="170">
        <v>45</v>
      </c>
      <c r="N246" s="170">
        <v>45</v>
      </c>
      <c r="O246" s="170">
        <v>8</v>
      </c>
      <c r="P246" s="170">
        <v>150</v>
      </c>
      <c r="Q246" s="17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8">
        <v>568</v>
      </c>
      <c r="B247" s="170" t="str">
        <f t="shared" si="49"/>
        <v>2.39, Peanut Plant &amp; Pre Rigid  8R-30</v>
      </c>
      <c r="C247" s="135">
        <v>2.39</v>
      </c>
      <c r="D247" s="131" t="s">
        <v>440</v>
      </c>
      <c r="E247" s="131" t="s">
        <v>296</v>
      </c>
      <c r="F247" s="131" t="s">
        <v>25</v>
      </c>
      <c r="G247" s="131" t="str">
        <f t="shared" si="50"/>
        <v>Peanut Plant &amp; Pre Rigid  8R-30</v>
      </c>
      <c r="H247" s="244">
        <v>59400</v>
      </c>
      <c r="I247" s="170">
        <v>20</v>
      </c>
      <c r="J247" s="170">
        <v>4.5</v>
      </c>
      <c r="K247" s="170">
        <v>60</v>
      </c>
      <c r="L247" s="171">
        <f t="shared" si="51"/>
        <v>0.15277777777777776</v>
      </c>
      <c r="M247" s="170">
        <v>45</v>
      </c>
      <c r="N247" s="170">
        <v>45</v>
      </c>
      <c r="O247" s="170">
        <v>8</v>
      </c>
      <c r="P247" s="170">
        <v>150</v>
      </c>
      <c r="Q247" s="17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8">
        <v>569</v>
      </c>
      <c r="B248" s="170" t="str">
        <f t="shared" si="49"/>
        <v>2.4, Peanut Plant &amp; Pre Rigid  8R-36</v>
      </c>
      <c r="C248" s="135">
        <v>2.4</v>
      </c>
      <c r="D248" s="131" t="s">
        <v>440</v>
      </c>
      <c r="E248" s="131" t="s">
        <v>296</v>
      </c>
      <c r="F248" s="131" t="s">
        <v>193</v>
      </c>
      <c r="G248" s="131" t="str">
        <f t="shared" si="50"/>
        <v>Peanut Plant &amp; Pre Rigid  8R-36</v>
      </c>
      <c r="H248" s="244">
        <v>56000</v>
      </c>
      <c r="I248" s="170">
        <v>24</v>
      </c>
      <c r="J248" s="170">
        <v>4.5</v>
      </c>
      <c r="K248" s="170">
        <v>60</v>
      </c>
      <c r="L248" s="171">
        <f t="shared" si="51"/>
        <v>0.12731481481481483</v>
      </c>
      <c r="M248" s="170">
        <v>45</v>
      </c>
      <c r="N248" s="170">
        <v>45</v>
      </c>
      <c r="O248" s="170">
        <v>8</v>
      </c>
      <c r="P248" s="170">
        <v>150</v>
      </c>
      <c r="Q248" s="17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8"/>
      <c r="B249" s="170" t="str">
        <f t="shared" si="49"/>
        <v>2.405, Peanut Plant &amp; Pre Twin 8R-36</v>
      </c>
      <c r="C249" s="135">
        <v>2.4049999999999998</v>
      </c>
      <c r="D249" s="131" t="s">
        <v>440</v>
      </c>
      <c r="E249" s="131" t="s">
        <v>527</v>
      </c>
      <c r="F249" s="131" t="s">
        <v>199</v>
      </c>
      <c r="G249" s="131" t="str">
        <f t="shared" si="50"/>
        <v>Peanut Plant &amp; Pre Twin 8R-36</v>
      </c>
      <c r="H249" s="244">
        <v>127000</v>
      </c>
      <c r="I249" s="170">
        <v>24</v>
      </c>
      <c r="J249" s="170">
        <v>4.5</v>
      </c>
      <c r="K249" s="170">
        <v>60</v>
      </c>
      <c r="L249" s="171">
        <f t="shared" si="51"/>
        <v>0.12731481481481483</v>
      </c>
      <c r="M249" s="170">
        <v>45</v>
      </c>
      <c r="N249" s="170">
        <v>45</v>
      </c>
      <c r="O249" s="170">
        <v>8</v>
      </c>
      <c r="P249" s="170">
        <v>150</v>
      </c>
      <c r="Q249" s="17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8">
        <v>165</v>
      </c>
      <c r="B250" s="170" t="str">
        <f t="shared" si="49"/>
        <v>2.41, Pipe Spool 160 ac 1/4m roll</v>
      </c>
      <c r="C250" s="135">
        <v>2.41</v>
      </c>
      <c r="D250" s="131" t="s">
        <v>440</v>
      </c>
      <c r="E250" s="131" t="s">
        <v>297</v>
      </c>
      <c r="F250" s="131" t="s">
        <v>64</v>
      </c>
      <c r="G250" s="131" t="str">
        <f t="shared" si="50"/>
        <v>Pipe Spool 160 ac 1/4m roll</v>
      </c>
      <c r="H250" s="244">
        <v>6480</v>
      </c>
      <c r="I250" s="170">
        <v>30</v>
      </c>
      <c r="J250" s="170">
        <v>4.5</v>
      </c>
      <c r="K250" s="170">
        <v>60</v>
      </c>
      <c r="L250" s="171">
        <f t="shared" si="51"/>
        <v>0.10185185185185185</v>
      </c>
      <c r="M250" s="170">
        <v>30</v>
      </c>
      <c r="N250" s="170">
        <v>10</v>
      </c>
      <c r="O250" s="170">
        <v>12</v>
      </c>
      <c r="P250" s="170">
        <v>15</v>
      </c>
      <c r="Q250" s="17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8">
        <v>144</v>
      </c>
      <c r="B251" s="170" t="str">
        <f t="shared" si="49"/>
        <v>2.42, Pipe Trailer 1m/160a 30'</v>
      </c>
      <c r="C251" s="135">
        <v>2.42</v>
      </c>
      <c r="D251" s="131" t="s">
        <v>440</v>
      </c>
      <c r="E251" s="131" t="s">
        <v>298</v>
      </c>
      <c r="F251" s="131" t="s">
        <v>44</v>
      </c>
      <c r="G251" s="131" t="str">
        <f t="shared" si="50"/>
        <v>Pipe Trailer 1m/160a 30'</v>
      </c>
      <c r="H251" s="244">
        <v>2200</v>
      </c>
      <c r="I251" s="170">
        <v>30</v>
      </c>
      <c r="J251" s="170">
        <v>4.5</v>
      </c>
      <c r="K251" s="170">
        <v>60</v>
      </c>
      <c r="L251" s="171">
        <f t="shared" si="51"/>
        <v>0.10185185185185185</v>
      </c>
      <c r="M251" s="170">
        <v>25</v>
      </c>
      <c r="N251" s="170">
        <v>30</v>
      </c>
      <c r="O251" s="170">
        <v>15</v>
      </c>
      <c r="P251" s="170">
        <v>100</v>
      </c>
      <c r="Q251" s="17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8">
        <v>332</v>
      </c>
      <c r="B252" s="170" t="str">
        <f t="shared" si="49"/>
        <v>2.43, Plant - Folding 12R-20</v>
      </c>
      <c r="C252" s="135">
        <v>2.4300000000000002</v>
      </c>
      <c r="D252" s="131" t="s">
        <v>440</v>
      </c>
      <c r="E252" s="131" t="s">
        <v>299</v>
      </c>
      <c r="F252" s="131" t="s">
        <v>50</v>
      </c>
      <c r="G252" s="131" t="str">
        <f t="shared" si="50"/>
        <v>Plant - Folding 12R-20</v>
      </c>
      <c r="H252" s="244">
        <v>65200</v>
      </c>
      <c r="I252" s="170">
        <v>20</v>
      </c>
      <c r="J252" s="170">
        <v>6.25</v>
      </c>
      <c r="K252" s="170">
        <v>70</v>
      </c>
      <c r="L252" s="171">
        <f t="shared" si="51"/>
        <v>9.4285714285714292E-2</v>
      </c>
      <c r="M252" s="170">
        <v>45</v>
      </c>
      <c r="N252" s="170">
        <v>45</v>
      </c>
      <c r="O252" s="170">
        <v>8</v>
      </c>
      <c r="P252" s="170">
        <v>150</v>
      </c>
      <c r="Q252" s="17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8">
        <v>334</v>
      </c>
      <c r="B253" s="170" t="str">
        <f t="shared" si="49"/>
        <v>2.44, Plant - Folding  8R-36</v>
      </c>
      <c r="C253" s="135">
        <v>2.44</v>
      </c>
      <c r="D253" s="131" t="s">
        <v>440</v>
      </c>
      <c r="E253" s="131" t="s">
        <v>299</v>
      </c>
      <c r="F253" s="131" t="s">
        <v>193</v>
      </c>
      <c r="G253" s="131" t="str">
        <f t="shared" si="50"/>
        <v>Plant - Folding  8R-36</v>
      </c>
      <c r="H253" s="244">
        <v>72800</v>
      </c>
      <c r="I253" s="170">
        <v>24</v>
      </c>
      <c r="J253" s="170">
        <v>6.25</v>
      </c>
      <c r="K253" s="170">
        <v>70</v>
      </c>
      <c r="L253" s="171">
        <f t="shared" si="51"/>
        <v>7.857142857142857E-2</v>
      </c>
      <c r="M253" s="170">
        <v>45</v>
      </c>
      <c r="N253" s="170">
        <v>45</v>
      </c>
      <c r="O253" s="170">
        <v>8</v>
      </c>
      <c r="P253" s="170">
        <v>150</v>
      </c>
      <c r="Q253" s="17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8">
        <v>353</v>
      </c>
      <c r="B254" s="170" t="str">
        <f t="shared" si="49"/>
        <v>2.45, Plant - Folding 23R-15</v>
      </c>
      <c r="C254" s="135">
        <v>2.4500000000000002</v>
      </c>
      <c r="D254" s="131" t="s">
        <v>440</v>
      </c>
      <c r="E254" s="131" t="s">
        <v>299</v>
      </c>
      <c r="F254" s="131" t="s">
        <v>62</v>
      </c>
      <c r="G254" s="131" t="str">
        <f t="shared" si="50"/>
        <v>Plant - Folding 23R-15</v>
      </c>
      <c r="H254" s="244">
        <v>184000</v>
      </c>
      <c r="I254" s="170">
        <v>28.8</v>
      </c>
      <c r="J254" s="170">
        <v>6.25</v>
      </c>
      <c r="K254" s="170">
        <v>70</v>
      </c>
      <c r="L254" s="171">
        <f t="shared" si="51"/>
        <v>6.5476190476190479E-2</v>
      </c>
      <c r="M254" s="170">
        <v>45</v>
      </c>
      <c r="N254" s="170">
        <v>45</v>
      </c>
      <c r="O254" s="170">
        <v>8</v>
      </c>
      <c r="P254" s="170">
        <v>150</v>
      </c>
      <c r="Q254" s="17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8">
        <v>337</v>
      </c>
      <c r="B255" s="170" t="str">
        <f t="shared" si="49"/>
        <v>2.46, Plant - Folding 12R-30</v>
      </c>
      <c r="C255" s="135">
        <v>2.46</v>
      </c>
      <c r="D255" s="131" t="s">
        <v>440</v>
      </c>
      <c r="E255" s="131" t="s">
        <v>299</v>
      </c>
      <c r="F255" s="131" t="s">
        <v>6</v>
      </c>
      <c r="G255" s="131" t="str">
        <f t="shared" si="50"/>
        <v>Plant - Folding 12R-30</v>
      </c>
      <c r="H255" s="244">
        <v>87500</v>
      </c>
      <c r="I255" s="170">
        <v>30</v>
      </c>
      <c r="J255" s="170">
        <v>6.25</v>
      </c>
      <c r="K255" s="170">
        <v>70</v>
      </c>
      <c r="L255" s="171">
        <f t="shared" si="51"/>
        <v>6.2857142857142861E-2</v>
      </c>
      <c r="M255" s="170">
        <v>45</v>
      </c>
      <c r="N255" s="170">
        <v>45</v>
      </c>
      <c r="O255" s="170">
        <v>8</v>
      </c>
      <c r="P255" s="170">
        <v>150</v>
      </c>
      <c r="Q255" s="17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8">
        <v>546</v>
      </c>
      <c r="B256" s="170" t="str">
        <f t="shared" si="49"/>
        <v>2.47, Plant - Folding 24R-15</v>
      </c>
      <c r="C256" s="135">
        <v>2.4700000000000002</v>
      </c>
      <c r="D256" s="131" t="s">
        <v>440</v>
      </c>
      <c r="E256" s="131" t="s">
        <v>299</v>
      </c>
      <c r="F256" s="131" t="s">
        <v>61</v>
      </c>
      <c r="G256" s="131" t="str">
        <f t="shared" si="50"/>
        <v>Plant - Folding 24R-15</v>
      </c>
      <c r="H256" s="246">
        <v>158000</v>
      </c>
      <c r="I256" s="170">
        <v>30</v>
      </c>
      <c r="J256" s="170">
        <v>6.25</v>
      </c>
      <c r="K256" s="170">
        <v>70</v>
      </c>
      <c r="L256" s="171">
        <f t="shared" si="51"/>
        <v>6.2857142857142861E-2</v>
      </c>
      <c r="M256" s="170">
        <v>45</v>
      </c>
      <c r="N256" s="170">
        <v>45</v>
      </c>
      <c r="O256" s="170">
        <v>8</v>
      </c>
      <c r="P256" s="170">
        <v>150</v>
      </c>
      <c r="Q256" s="17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8">
        <v>333</v>
      </c>
      <c r="B257" s="170" t="str">
        <f t="shared" si="49"/>
        <v>2.48, Plant - Folding  8R-36 2x1</v>
      </c>
      <c r="C257" s="135">
        <v>2.48</v>
      </c>
      <c r="D257" s="131" t="s">
        <v>440</v>
      </c>
      <c r="E257" s="131" t="s">
        <v>299</v>
      </c>
      <c r="F257" s="131" t="s">
        <v>197</v>
      </c>
      <c r="G257" s="131" t="str">
        <f t="shared" si="50"/>
        <v>Plant - Folding  8R-36 2x1</v>
      </c>
      <c r="H257" s="247">
        <v>100000</v>
      </c>
      <c r="I257" s="170">
        <v>36</v>
      </c>
      <c r="J257" s="170">
        <v>6.25</v>
      </c>
      <c r="K257" s="170">
        <v>70</v>
      </c>
      <c r="L257" s="171">
        <f t="shared" si="51"/>
        <v>5.2380952380952382E-2</v>
      </c>
      <c r="M257" s="170">
        <v>45</v>
      </c>
      <c r="N257" s="170">
        <v>45</v>
      </c>
      <c r="O257" s="170">
        <v>8</v>
      </c>
      <c r="P257" s="170">
        <v>150</v>
      </c>
      <c r="Q257" s="17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8">
        <v>260</v>
      </c>
      <c r="B258" s="170" t="str">
        <f t="shared" si="49"/>
        <v>2.49, Plant - Folding 12R-36</v>
      </c>
      <c r="C258" s="135">
        <v>2.4900000000000002</v>
      </c>
      <c r="D258" s="131" t="s">
        <v>440</v>
      </c>
      <c r="E258" s="131" t="s">
        <v>299</v>
      </c>
      <c r="F258" s="131" t="s">
        <v>194</v>
      </c>
      <c r="G258" s="131" t="str">
        <f t="shared" si="50"/>
        <v>Plant - Folding 12R-36</v>
      </c>
      <c r="H258" s="247">
        <v>100000</v>
      </c>
      <c r="I258" s="170">
        <v>36</v>
      </c>
      <c r="J258" s="170">
        <v>6.25</v>
      </c>
      <c r="K258" s="170">
        <v>70</v>
      </c>
      <c r="L258" s="171">
        <f t="shared" si="51"/>
        <v>5.2380952380952382E-2</v>
      </c>
      <c r="M258" s="170">
        <v>45</v>
      </c>
      <c r="N258" s="170">
        <v>45</v>
      </c>
      <c r="O258" s="170">
        <v>8</v>
      </c>
      <c r="P258" s="170">
        <v>150</v>
      </c>
      <c r="Q258" s="17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8">
        <v>550</v>
      </c>
      <c r="B259" s="170" t="str">
        <f t="shared" si="49"/>
        <v>2.5, Plant - Folding 31R-15</v>
      </c>
      <c r="C259" s="135">
        <v>2.5</v>
      </c>
      <c r="D259" s="131" t="s">
        <v>440</v>
      </c>
      <c r="E259" s="131" t="s">
        <v>299</v>
      </c>
      <c r="F259" s="131" t="s">
        <v>60</v>
      </c>
      <c r="G259" s="131" t="str">
        <f t="shared" si="50"/>
        <v>Plant - Folding 31R-15</v>
      </c>
      <c r="H259" s="244">
        <v>225000</v>
      </c>
      <c r="I259" s="170">
        <v>38.700000000000003</v>
      </c>
      <c r="J259" s="170">
        <v>6.25</v>
      </c>
      <c r="K259" s="170">
        <v>70</v>
      </c>
      <c r="L259" s="171">
        <f t="shared" si="51"/>
        <v>4.8726467331118482E-2</v>
      </c>
      <c r="M259" s="170">
        <v>45</v>
      </c>
      <c r="N259" s="170">
        <v>45</v>
      </c>
      <c r="O259" s="170">
        <v>8</v>
      </c>
      <c r="P259" s="170">
        <v>150</v>
      </c>
      <c r="Q259" s="17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8">
        <v>338</v>
      </c>
      <c r="B260" s="170" t="str">
        <f t="shared" si="49"/>
        <v>2.51, Plant - Folding 16R-30</v>
      </c>
      <c r="C260" s="135">
        <v>2.5099999999999998</v>
      </c>
      <c r="D260" s="131" t="s">
        <v>440</v>
      </c>
      <c r="E260" s="131" t="s">
        <v>299</v>
      </c>
      <c r="F260" s="131" t="s">
        <v>59</v>
      </c>
      <c r="G260" s="131" t="str">
        <f t="shared" si="50"/>
        <v>Plant - Folding 16R-30</v>
      </c>
      <c r="H260" s="244">
        <v>190000</v>
      </c>
      <c r="I260" s="170">
        <v>40</v>
      </c>
      <c r="J260" s="170">
        <v>6.25</v>
      </c>
      <c r="K260" s="170">
        <v>70</v>
      </c>
      <c r="L260" s="171">
        <f t="shared" si="51"/>
        <v>4.7142857142857146E-2</v>
      </c>
      <c r="M260" s="170">
        <v>45</v>
      </c>
      <c r="N260" s="170">
        <v>45</v>
      </c>
      <c r="O260" s="170">
        <v>8</v>
      </c>
      <c r="P260" s="170">
        <v>150</v>
      </c>
      <c r="Q260" s="17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8">
        <v>339</v>
      </c>
      <c r="B261" s="170" t="str">
        <f t="shared" si="49"/>
        <v>2.52, Plant - Folding 24R-20</v>
      </c>
      <c r="C261" s="135">
        <v>2.52</v>
      </c>
      <c r="D261" s="131" t="s">
        <v>440</v>
      </c>
      <c r="E261" s="131" t="s">
        <v>299</v>
      </c>
      <c r="F261" s="131" t="s">
        <v>58</v>
      </c>
      <c r="G261" s="131" t="str">
        <f t="shared" si="50"/>
        <v>Plant - Folding 24R-20</v>
      </c>
      <c r="H261" s="244">
        <v>234000</v>
      </c>
      <c r="I261" s="170">
        <v>40</v>
      </c>
      <c r="J261" s="170">
        <v>6.25</v>
      </c>
      <c r="K261" s="170">
        <v>70</v>
      </c>
      <c r="L261" s="171">
        <f t="shared" si="51"/>
        <v>4.7142857142857146E-2</v>
      </c>
      <c r="M261" s="170">
        <v>45</v>
      </c>
      <c r="N261" s="170">
        <v>45</v>
      </c>
      <c r="O261" s="170">
        <v>8</v>
      </c>
      <c r="P261" s="170">
        <v>150</v>
      </c>
      <c r="Q261" s="17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8">
        <v>606</v>
      </c>
      <c r="B262" s="170" t="str">
        <f t="shared" si="49"/>
        <v>2.53, Plant - Folding 32R-15</v>
      </c>
      <c r="C262" s="135">
        <v>2.5299999999999998</v>
      </c>
      <c r="D262" s="131" t="s">
        <v>440</v>
      </c>
      <c r="E262" s="131" t="s">
        <v>299</v>
      </c>
      <c r="F262" s="131" t="s">
        <v>57</v>
      </c>
      <c r="G262" s="131" t="str">
        <f t="shared" si="50"/>
        <v>Plant - Folding 32R-15</v>
      </c>
      <c r="H262" s="244">
        <v>229000</v>
      </c>
      <c r="I262" s="170">
        <v>40</v>
      </c>
      <c r="J262" s="170">
        <v>6.25</v>
      </c>
      <c r="K262" s="170">
        <v>70</v>
      </c>
      <c r="L262" s="171">
        <f t="shared" si="51"/>
        <v>4.7142857142857146E-2</v>
      </c>
      <c r="M262" s="170">
        <v>45</v>
      </c>
      <c r="N262" s="170">
        <v>45</v>
      </c>
      <c r="O262" s="170">
        <v>8</v>
      </c>
      <c r="P262" s="170">
        <v>150</v>
      </c>
      <c r="Q262" s="17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8">
        <v>340</v>
      </c>
      <c r="B263" s="170" t="str">
        <f t="shared" si="49"/>
        <v>2.54, Plant - Folding 24R-30</v>
      </c>
      <c r="C263" s="135">
        <v>2.54</v>
      </c>
      <c r="D263" s="131" t="s">
        <v>440</v>
      </c>
      <c r="E263" s="131" t="s">
        <v>299</v>
      </c>
      <c r="F263" s="131" t="s">
        <v>56</v>
      </c>
      <c r="G263" s="131" t="str">
        <f t="shared" si="50"/>
        <v>Plant - Folding 24R-30</v>
      </c>
      <c r="H263" s="244">
        <v>184000</v>
      </c>
      <c r="I263" s="170">
        <v>60</v>
      </c>
      <c r="J263" s="170">
        <v>6.25</v>
      </c>
      <c r="K263" s="170">
        <v>70</v>
      </c>
      <c r="L263" s="171">
        <f t="shared" si="51"/>
        <v>3.1428571428571431E-2</v>
      </c>
      <c r="M263" s="170">
        <v>45</v>
      </c>
      <c r="N263" s="170">
        <v>45</v>
      </c>
      <c r="O263" s="170">
        <v>8</v>
      </c>
      <c r="P263" s="170">
        <v>150</v>
      </c>
      <c r="Q263" s="17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8">
        <v>647</v>
      </c>
      <c r="B264" s="170" t="str">
        <f t="shared" si="49"/>
        <v>2.55, Plant - Folding 36R-20</v>
      </c>
      <c r="C264" s="135">
        <v>2.5499999999999998</v>
      </c>
      <c r="D264" s="131" t="s">
        <v>440</v>
      </c>
      <c r="E264" s="131" t="s">
        <v>299</v>
      </c>
      <c r="F264" s="131" t="s">
        <v>55</v>
      </c>
      <c r="G264" s="131" t="str">
        <f t="shared" si="50"/>
        <v>Plant - Folding 36R-20</v>
      </c>
      <c r="H264" s="246">
        <v>202000</v>
      </c>
      <c r="I264" s="170">
        <v>60</v>
      </c>
      <c r="J264" s="170">
        <v>6.25</v>
      </c>
      <c r="K264" s="170">
        <v>70</v>
      </c>
      <c r="L264" s="171">
        <f t="shared" si="51"/>
        <v>3.1428571428571431E-2</v>
      </c>
      <c r="M264" s="170">
        <v>45</v>
      </c>
      <c r="N264" s="170">
        <v>45</v>
      </c>
      <c r="O264" s="170">
        <v>8</v>
      </c>
      <c r="P264" s="170">
        <v>150</v>
      </c>
      <c r="Q264" s="17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8">
        <v>330</v>
      </c>
      <c r="B265" s="170" t="str">
        <f t="shared" si="49"/>
        <v>2.56, Plant - Rigid  4R-30</v>
      </c>
      <c r="C265" s="135">
        <v>2.56</v>
      </c>
      <c r="D265" s="131" t="s">
        <v>440</v>
      </c>
      <c r="E265" s="131" t="s">
        <v>300</v>
      </c>
      <c r="F265" s="131" t="s">
        <v>48</v>
      </c>
      <c r="G265" s="131" t="str">
        <f t="shared" si="50"/>
        <v>Plant - Rigid  4R-30</v>
      </c>
      <c r="H265" s="244">
        <v>33400</v>
      </c>
      <c r="I265" s="170">
        <v>10</v>
      </c>
      <c r="J265" s="170">
        <v>6.25</v>
      </c>
      <c r="K265" s="170">
        <v>70</v>
      </c>
      <c r="L265" s="171">
        <f t="shared" si="51"/>
        <v>0.18857142857142858</v>
      </c>
      <c r="M265" s="170">
        <v>45</v>
      </c>
      <c r="N265" s="170">
        <v>45</v>
      </c>
      <c r="O265" s="170">
        <v>8</v>
      </c>
      <c r="P265" s="170">
        <v>150</v>
      </c>
      <c r="Q265" s="17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8">
        <v>145</v>
      </c>
      <c r="B266" s="170" t="str">
        <f t="shared" ref="B266:B329" si="66">CONCATENATE(C266,D266,E266,F266)</f>
        <v>2.57, Plant - Rigid  4R-36</v>
      </c>
      <c r="C266" s="135">
        <v>2.57</v>
      </c>
      <c r="D266" s="131" t="s">
        <v>440</v>
      </c>
      <c r="E266" s="131" t="s">
        <v>300</v>
      </c>
      <c r="F266" s="131" t="s">
        <v>195</v>
      </c>
      <c r="G266" s="131" t="str">
        <f t="shared" ref="G266:G329" si="67">CONCATENATE(E266,F266)</f>
        <v>Plant - Rigid  4R-36</v>
      </c>
      <c r="H266" s="244">
        <v>28200</v>
      </c>
      <c r="I266" s="170">
        <v>12</v>
      </c>
      <c r="J266" s="170">
        <v>6.25</v>
      </c>
      <c r="K266" s="170">
        <v>70</v>
      </c>
      <c r="L266" s="171">
        <f t="shared" ref="L266:L329" si="68">1/((I266*J266*K266/100*5280)/43560)</f>
        <v>0.15714285714285714</v>
      </c>
      <c r="M266" s="170">
        <v>45</v>
      </c>
      <c r="N266" s="170">
        <v>45</v>
      </c>
      <c r="O266" s="170">
        <v>8</v>
      </c>
      <c r="P266" s="170">
        <v>150</v>
      </c>
      <c r="Q266" s="17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8">
        <v>529</v>
      </c>
      <c r="B267" s="170" t="str">
        <f t="shared" si="66"/>
        <v>2.58, Plant - Rigid 11R-15</v>
      </c>
      <c r="C267" s="135">
        <v>2.58</v>
      </c>
      <c r="D267" s="131" t="s">
        <v>440</v>
      </c>
      <c r="E267" s="131" t="s">
        <v>300</v>
      </c>
      <c r="F267" s="131" t="s">
        <v>54</v>
      </c>
      <c r="G267" s="131" t="str">
        <f t="shared" si="67"/>
        <v>Plant - Rigid 11R-15</v>
      </c>
      <c r="H267" s="244">
        <v>53800</v>
      </c>
      <c r="I267" s="170">
        <v>13.7</v>
      </c>
      <c r="J267" s="170">
        <v>6.25</v>
      </c>
      <c r="K267" s="170">
        <v>70</v>
      </c>
      <c r="L267" s="171">
        <f t="shared" si="68"/>
        <v>0.13764337851929093</v>
      </c>
      <c r="M267" s="170">
        <v>45</v>
      </c>
      <c r="N267" s="170">
        <v>45</v>
      </c>
      <c r="O267" s="170">
        <v>8</v>
      </c>
      <c r="P267" s="170">
        <v>150</v>
      </c>
      <c r="Q267" s="17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8">
        <v>146</v>
      </c>
      <c r="B268" s="170" t="str">
        <f t="shared" si="66"/>
        <v>2.59, Plant - Rigid  6R-30</v>
      </c>
      <c r="C268" s="135">
        <v>2.59</v>
      </c>
      <c r="D268" s="131" t="s">
        <v>440</v>
      </c>
      <c r="E268" s="131" t="s">
        <v>300</v>
      </c>
      <c r="F268" s="131" t="s">
        <v>53</v>
      </c>
      <c r="G268" s="131" t="str">
        <f t="shared" si="67"/>
        <v>Plant - Rigid  6R-30</v>
      </c>
      <c r="H268" s="244">
        <v>40400</v>
      </c>
      <c r="I268" s="170">
        <v>15</v>
      </c>
      <c r="J268" s="170">
        <v>6.25</v>
      </c>
      <c r="K268" s="170">
        <v>70</v>
      </c>
      <c r="L268" s="171">
        <f t="shared" si="68"/>
        <v>0.12571428571428572</v>
      </c>
      <c r="M268" s="170">
        <v>45</v>
      </c>
      <c r="N268" s="170">
        <v>45</v>
      </c>
      <c r="O268" s="170">
        <v>8</v>
      </c>
      <c r="P268" s="170">
        <v>150</v>
      </c>
      <c r="Q268" s="17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8">
        <v>147</v>
      </c>
      <c r="B269" s="170" t="str">
        <f t="shared" si="66"/>
        <v>2.6, Plant - Rigid  6R-36</v>
      </c>
      <c r="C269" s="135">
        <v>2.6</v>
      </c>
      <c r="D269" s="131" t="s">
        <v>440</v>
      </c>
      <c r="E269" s="131" t="s">
        <v>300</v>
      </c>
      <c r="F269" s="131" t="s">
        <v>196</v>
      </c>
      <c r="G269" s="131" t="str">
        <f t="shared" si="67"/>
        <v>Plant - Rigid  6R-36</v>
      </c>
      <c r="H269" s="244">
        <v>35900</v>
      </c>
      <c r="I269" s="170">
        <v>18</v>
      </c>
      <c r="J269" s="170">
        <v>6.25</v>
      </c>
      <c r="K269" s="170">
        <v>70</v>
      </c>
      <c r="L269" s="171">
        <f t="shared" si="68"/>
        <v>0.10476190476190476</v>
      </c>
      <c r="M269" s="170">
        <v>45</v>
      </c>
      <c r="N269" s="170">
        <v>45</v>
      </c>
      <c r="O269" s="170">
        <v>8</v>
      </c>
      <c r="P269" s="170">
        <v>150</v>
      </c>
      <c r="Q269" s="17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8">
        <v>534</v>
      </c>
      <c r="B270" s="170" t="str">
        <f t="shared" si="66"/>
        <v>2.61, Plant - Rigid 11R-20</v>
      </c>
      <c r="C270" s="135">
        <v>2.61</v>
      </c>
      <c r="D270" s="131" t="s">
        <v>440</v>
      </c>
      <c r="E270" s="131" t="s">
        <v>300</v>
      </c>
      <c r="F270" s="131" t="s">
        <v>52</v>
      </c>
      <c r="G270" s="131" t="str">
        <f t="shared" si="67"/>
        <v>Plant - Rigid 11R-20</v>
      </c>
      <c r="H270" s="244">
        <v>58500</v>
      </c>
      <c r="I270" s="170">
        <v>18.3</v>
      </c>
      <c r="J270" s="170">
        <v>6.25</v>
      </c>
      <c r="K270" s="170">
        <v>70</v>
      </c>
      <c r="L270" s="171">
        <f t="shared" si="68"/>
        <v>0.10304449648711943</v>
      </c>
      <c r="M270" s="170">
        <v>45</v>
      </c>
      <c r="N270" s="170">
        <v>45</v>
      </c>
      <c r="O270" s="170">
        <v>8</v>
      </c>
      <c r="P270" s="170">
        <v>150</v>
      </c>
      <c r="Q270" s="17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8">
        <v>149</v>
      </c>
      <c r="B271" s="170" t="str">
        <f t="shared" si="66"/>
        <v>2.62, Plant - Rigid  8R-30</v>
      </c>
      <c r="C271" s="135">
        <v>2.62</v>
      </c>
      <c r="D271" s="131" t="s">
        <v>440</v>
      </c>
      <c r="E271" s="131" t="s">
        <v>300</v>
      </c>
      <c r="F271" s="131" t="s">
        <v>25</v>
      </c>
      <c r="G271" s="131" t="str">
        <f t="shared" si="67"/>
        <v>Plant - Rigid  8R-30</v>
      </c>
      <c r="H271" s="244">
        <v>53600</v>
      </c>
      <c r="I271" s="170">
        <v>20</v>
      </c>
      <c r="J271" s="170">
        <v>6.25</v>
      </c>
      <c r="K271" s="170">
        <v>70</v>
      </c>
      <c r="L271" s="171">
        <f t="shared" si="68"/>
        <v>9.4285714285714292E-2</v>
      </c>
      <c r="M271" s="170">
        <v>45</v>
      </c>
      <c r="N271" s="170">
        <v>45</v>
      </c>
      <c r="O271" s="170">
        <v>8</v>
      </c>
      <c r="P271" s="170">
        <v>150</v>
      </c>
      <c r="Q271" s="17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8">
        <v>153</v>
      </c>
      <c r="B272" s="170" t="str">
        <f t="shared" si="66"/>
        <v>2.63, Plant - Rigid 12R-20</v>
      </c>
      <c r="C272" s="135">
        <v>2.63</v>
      </c>
      <c r="D272" s="131" t="s">
        <v>440</v>
      </c>
      <c r="E272" s="131" t="s">
        <v>300</v>
      </c>
      <c r="F272" s="131" t="s">
        <v>50</v>
      </c>
      <c r="G272" s="131" t="str">
        <f t="shared" si="67"/>
        <v>Plant - Rigid 12R-20</v>
      </c>
      <c r="H272" s="244">
        <v>62500</v>
      </c>
      <c r="I272" s="170">
        <v>20</v>
      </c>
      <c r="J272" s="170">
        <v>6.25</v>
      </c>
      <c r="K272" s="170">
        <v>70</v>
      </c>
      <c r="L272" s="171">
        <f t="shared" si="68"/>
        <v>9.4285714285714292E-2</v>
      </c>
      <c r="M272" s="170">
        <v>45</v>
      </c>
      <c r="N272" s="170">
        <v>45</v>
      </c>
      <c r="O272" s="170">
        <v>8</v>
      </c>
      <c r="P272" s="170">
        <v>150</v>
      </c>
      <c r="Q272" s="17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8">
        <v>507</v>
      </c>
      <c r="B273" s="170" t="str">
        <f t="shared" si="66"/>
        <v>2.64, Plant - Rigid 15R-15</v>
      </c>
      <c r="C273" s="135">
        <v>2.64</v>
      </c>
      <c r="D273" s="131" t="s">
        <v>440</v>
      </c>
      <c r="E273" s="131" t="s">
        <v>300</v>
      </c>
      <c r="F273" s="131" t="s">
        <v>51</v>
      </c>
      <c r="G273" s="131" t="str">
        <f t="shared" si="67"/>
        <v>Plant - Rigid 15R-15</v>
      </c>
      <c r="H273" s="244">
        <v>73300</v>
      </c>
      <c r="I273" s="170">
        <v>20</v>
      </c>
      <c r="J273" s="170">
        <v>6.25</v>
      </c>
      <c r="K273" s="170">
        <v>70</v>
      </c>
      <c r="L273" s="171">
        <f t="shared" si="68"/>
        <v>9.4285714285714292E-2</v>
      </c>
      <c r="M273" s="170">
        <v>45</v>
      </c>
      <c r="N273" s="170">
        <v>45</v>
      </c>
      <c r="O273" s="170">
        <v>8</v>
      </c>
      <c r="P273" s="170">
        <v>150</v>
      </c>
      <c r="Q273" s="17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8">
        <v>649</v>
      </c>
      <c r="B274" s="170" t="str">
        <f t="shared" si="66"/>
        <v>2.65, Plant - Rigid 13R-18/20</v>
      </c>
      <c r="C274" s="135">
        <v>2.65</v>
      </c>
      <c r="D274" s="131" t="s">
        <v>440</v>
      </c>
      <c r="E274" s="131" t="s">
        <v>300</v>
      </c>
      <c r="F274" s="131" t="s">
        <v>49</v>
      </c>
      <c r="G274" s="131" t="str">
        <f t="shared" si="67"/>
        <v>Plant - Rigid 13R-18/20</v>
      </c>
      <c r="H274" s="246">
        <v>50000</v>
      </c>
      <c r="I274" s="170">
        <v>21.7</v>
      </c>
      <c r="J274" s="170">
        <v>6.25</v>
      </c>
      <c r="K274" s="170">
        <v>70</v>
      </c>
      <c r="L274" s="171">
        <f t="shared" si="68"/>
        <v>8.6899275839368004E-2</v>
      </c>
      <c r="M274" s="170">
        <v>45</v>
      </c>
      <c r="N274" s="170">
        <v>45</v>
      </c>
      <c r="O274" s="170">
        <v>8</v>
      </c>
      <c r="P274" s="170">
        <v>150</v>
      </c>
      <c r="Q274" s="17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8">
        <v>150</v>
      </c>
      <c r="B275" s="170" t="str">
        <f t="shared" si="66"/>
        <v>2.66, Plant - Rigid  8R-36</v>
      </c>
      <c r="C275" s="135">
        <v>2.66</v>
      </c>
      <c r="D275" s="131" t="s">
        <v>440</v>
      </c>
      <c r="E275" s="131" t="s">
        <v>300</v>
      </c>
      <c r="F275" s="131" t="s">
        <v>193</v>
      </c>
      <c r="G275" s="131" t="str">
        <f t="shared" si="67"/>
        <v>Plant - Rigid  8R-36</v>
      </c>
      <c r="H275" s="244">
        <v>50200</v>
      </c>
      <c r="I275" s="170">
        <v>24</v>
      </c>
      <c r="J275" s="170">
        <v>6.25</v>
      </c>
      <c r="K275" s="170">
        <v>70</v>
      </c>
      <c r="L275" s="171">
        <f t="shared" si="68"/>
        <v>7.857142857142857E-2</v>
      </c>
      <c r="M275" s="170">
        <v>45</v>
      </c>
      <c r="N275" s="170">
        <v>45</v>
      </c>
      <c r="O275" s="170">
        <v>8</v>
      </c>
      <c r="P275" s="170">
        <v>150</v>
      </c>
      <c r="Q275" s="17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8">
        <v>151</v>
      </c>
      <c r="B276" s="170" t="str">
        <f t="shared" si="66"/>
        <v>2.67, Plant - Rigid 10R-30</v>
      </c>
      <c r="C276" s="135">
        <v>2.67</v>
      </c>
      <c r="D276" s="131" t="s">
        <v>440</v>
      </c>
      <c r="E276" s="131" t="s">
        <v>300</v>
      </c>
      <c r="F276" s="131" t="s">
        <v>24</v>
      </c>
      <c r="G276" s="131" t="str">
        <f t="shared" si="67"/>
        <v>Plant - Rigid 10R-30</v>
      </c>
      <c r="H276" s="246">
        <v>47800</v>
      </c>
      <c r="I276" s="170">
        <v>25</v>
      </c>
      <c r="J276" s="170">
        <v>6.25</v>
      </c>
      <c r="K276" s="170">
        <v>70</v>
      </c>
      <c r="L276" s="171">
        <f t="shared" si="68"/>
        <v>7.5428571428571428E-2</v>
      </c>
      <c r="M276" s="170">
        <v>45</v>
      </c>
      <c r="N276" s="170">
        <v>45</v>
      </c>
      <c r="O276" s="170">
        <v>8</v>
      </c>
      <c r="P276" s="170">
        <v>150</v>
      </c>
      <c r="Q276" s="17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8">
        <v>336</v>
      </c>
      <c r="B277" s="170" t="str">
        <f t="shared" si="66"/>
        <v>2.68, Plant - Rigid 12R-30</v>
      </c>
      <c r="C277" s="135">
        <v>2.68</v>
      </c>
      <c r="D277" s="131" t="s">
        <v>440</v>
      </c>
      <c r="E277" s="131" t="s">
        <v>300</v>
      </c>
      <c r="F277" s="131" t="s">
        <v>6</v>
      </c>
      <c r="G277" s="131" t="str">
        <f t="shared" si="67"/>
        <v>Plant - Rigid 12R-30</v>
      </c>
      <c r="H277" s="244">
        <v>77800</v>
      </c>
      <c r="I277" s="170">
        <v>30</v>
      </c>
      <c r="J277" s="170">
        <v>6.25</v>
      </c>
      <c r="K277" s="170">
        <v>70</v>
      </c>
      <c r="L277" s="171">
        <f t="shared" si="68"/>
        <v>6.2857142857142861E-2</v>
      </c>
      <c r="M277" s="170">
        <v>45</v>
      </c>
      <c r="N277" s="170">
        <v>45</v>
      </c>
      <c r="O277" s="170">
        <v>8</v>
      </c>
      <c r="P277" s="170">
        <v>150</v>
      </c>
      <c r="Q277" s="17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8">
        <v>650</v>
      </c>
      <c r="B278" s="170" t="str">
        <f t="shared" si="66"/>
        <v>2.69, Plant - Twin Row 8R-36</v>
      </c>
      <c r="C278" s="135">
        <v>2.69</v>
      </c>
      <c r="D278" s="131" t="s">
        <v>440</v>
      </c>
      <c r="E278" s="131" t="s">
        <v>301</v>
      </c>
      <c r="F278" s="131" t="s">
        <v>199</v>
      </c>
      <c r="G278" s="131" t="str">
        <f t="shared" si="67"/>
        <v>Plant - Twin Row 8R-36</v>
      </c>
      <c r="H278" s="244">
        <v>121000</v>
      </c>
      <c r="I278" s="170">
        <v>24</v>
      </c>
      <c r="J278" s="170">
        <v>6.25</v>
      </c>
      <c r="K278" s="170">
        <v>70</v>
      </c>
      <c r="L278" s="171">
        <f t="shared" si="68"/>
        <v>7.857142857142857E-2</v>
      </c>
      <c r="M278" s="170">
        <v>45</v>
      </c>
      <c r="N278" s="170">
        <v>45</v>
      </c>
      <c r="O278" s="170">
        <v>8</v>
      </c>
      <c r="P278" s="170">
        <v>150</v>
      </c>
      <c r="Q278" s="17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8">
        <v>605</v>
      </c>
      <c r="B279" s="170" t="str">
        <f t="shared" si="66"/>
        <v>2.7, Plant - Twin Row 12R-36</v>
      </c>
      <c r="C279" s="135">
        <v>2.7</v>
      </c>
      <c r="D279" s="131" t="s">
        <v>440</v>
      </c>
      <c r="E279" s="131" t="s">
        <v>301</v>
      </c>
      <c r="F279" s="131" t="s">
        <v>194</v>
      </c>
      <c r="G279" s="131" t="str">
        <f t="shared" si="67"/>
        <v>Plant - Twin Row 12R-36</v>
      </c>
      <c r="H279" s="244">
        <v>150000</v>
      </c>
      <c r="I279" s="170">
        <v>36</v>
      </c>
      <c r="J279" s="170">
        <v>6.25</v>
      </c>
      <c r="K279" s="170">
        <v>70</v>
      </c>
      <c r="L279" s="171">
        <f t="shared" si="68"/>
        <v>5.2380952380952382E-2</v>
      </c>
      <c r="M279" s="170">
        <v>45</v>
      </c>
      <c r="N279" s="170">
        <v>45</v>
      </c>
      <c r="O279" s="170">
        <v>8</v>
      </c>
      <c r="P279" s="170">
        <v>150</v>
      </c>
      <c r="Q279" s="17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8">
        <v>346</v>
      </c>
      <c r="B280" s="170" t="str">
        <f t="shared" si="66"/>
        <v>2.71, Plant &amp; Pre-Folding 12R-20</v>
      </c>
      <c r="C280" s="135">
        <v>2.71</v>
      </c>
      <c r="D280" s="131" t="s">
        <v>440</v>
      </c>
      <c r="E280" s="131" t="s">
        <v>302</v>
      </c>
      <c r="F280" s="131" t="s">
        <v>50</v>
      </c>
      <c r="G280" s="131" t="str">
        <f t="shared" si="67"/>
        <v>Plant &amp; Pre-Folding 12R-20</v>
      </c>
      <c r="H280" s="244">
        <v>70600</v>
      </c>
      <c r="I280" s="170">
        <v>20</v>
      </c>
      <c r="J280" s="170">
        <v>6.25</v>
      </c>
      <c r="K280" s="170">
        <v>65</v>
      </c>
      <c r="L280" s="171">
        <f t="shared" si="68"/>
        <v>0.10153846153846155</v>
      </c>
      <c r="M280" s="170">
        <v>45</v>
      </c>
      <c r="N280" s="170">
        <v>45</v>
      </c>
      <c r="O280" s="170">
        <v>8</v>
      </c>
      <c r="P280" s="170">
        <v>150</v>
      </c>
      <c r="Q280" s="17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8">
        <v>343</v>
      </c>
      <c r="B281" s="170" t="str">
        <f t="shared" si="66"/>
        <v>2.72, Plant &amp; Pre-Folding  8R-36</v>
      </c>
      <c r="C281" s="135">
        <v>2.72</v>
      </c>
      <c r="D281" s="131" t="s">
        <v>440</v>
      </c>
      <c r="E281" s="131" t="s">
        <v>302</v>
      </c>
      <c r="F281" s="131" t="s">
        <v>193</v>
      </c>
      <c r="G281" s="131" t="str">
        <f t="shared" si="67"/>
        <v>Plant &amp; Pre-Folding  8R-36</v>
      </c>
      <c r="H281" s="244">
        <v>78600</v>
      </c>
      <c r="I281" s="170">
        <v>24</v>
      </c>
      <c r="J281" s="170">
        <v>6.25</v>
      </c>
      <c r="K281" s="170">
        <v>65</v>
      </c>
      <c r="L281" s="171">
        <f t="shared" si="68"/>
        <v>8.461538461538462E-2</v>
      </c>
      <c r="M281" s="170">
        <v>45</v>
      </c>
      <c r="N281" s="170">
        <v>45</v>
      </c>
      <c r="O281" s="170">
        <v>8</v>
      </c>
      <c r="P281" s="170">
        <v>150</v>
      </c>
      <c r="Q281" s="17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8">
        <v>350</v>
      </c>
      <c r="B282" s="170" t="str">
        <f t="shared" si="66"/>
        <v>2.73, Plant &amp; Pre-Folding 23R-15</v>
      </c>
      <c r="C282" s="135">
        <v>2.73</v>
      </c>
      <c r="D282" s="131" t="s">
        <v>440</v>
      </c>
      <c r="E282" s="131" t="s">
        <v>302</v>
      </c>
      <c r="F282" s="131" t="s">
        <v>62</v>
      </c>
      <c r="G282" s="131" t="str">
        <f t="shared" si="67"/>
        <v>Plant &amp; Pre-Folding 23R-15</v>
      </c>
      <c r="H282" s="244">
        <v>194000</v>
      </c>
      <c r="I282" s="170">
        <v>28.8</v>
      </c>
      <c r="J282" s="170">
        <v>6.25</v>
      </c>
      <c r="K282" s="170">
        <v>65</v>
      </c>
      <c r="L282" s="171">
        <f t="shared" si="68"/>
        <v>7.0512820512820512E-2</v>
      </c>
      <c r="M282" s="170">
        <v>45</v>
      </c>
      <c r="N282" s="170">
        <v>45</v>
      </c>
      <c r="O282" s="170">
        <v>8</v>
      </c>
      <c r="P282" s="170">
        <v>150</v>
      </c>
      <c r="Q282" s="17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8">
        <v>348</v>
      </c>
      <c r="B283" s="170" t="str">
        <f t="shared" si="66"/>
        <v>2.74, Plant &amp; Pre-Folding 12R-30</v>
      </c>
      <c r="C283" s="135">
        <v>2.74</v>
      </c>
      <c r="D283" s="131" t="s">
        <v>440</v>
      </c>
      <c r="E283" s="131" t="s">
        <v>302</v>
      </c>
      <c r="F283" s="131" t="s">
        <v>6</v>
      </c>
      <c r="G283" s="131" t="str">
        <f t="shared" si="67"/>
        <v>Plant &amp; Pre-Folding 12R-30</v>
      </c>
      <c r="H283" s="244">
        <v>97900</v>
      </c>
      <c r="I283" s="170">
        <v>30</v>
      </c>
      <c r="J283" s="170">
        <v>6.25</v>
      </c>
      <c r="K283" s="170">
        <v>65</v>
      </c>
      <c r="L283" s="171">
        <f t="shared" si="68"/>
        <v>6.7692307692307691E-2</v>
      </c>
      <c r="M283" s="170">
        <v>45</v>
      </c>
      <c r="N283" s="170">
        <v>45</v>
      </c>
      <c r="O283" s="170">
        <v>8</v>
      </c>
      <c r="P283" s="170">
        <v>150</v>
      </c>
      <c r="Q283" s="17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8">
        <v>547</v>
      </c>
      <c r="B284" s="170" t="str">
        <f t="shared" si="66"/>
        <v>2.75, Plant &amp; Pre-Folding 24R-15</v>
      </c>
      <c r="C284" s="135">
        <v>2.75</v>
      </c>
      <c r="D284" s="131" t="s">
        <v>440</v>
      </c>
      <c r="E284" s="131" t="s">
        <v>302</v>
      </c>
      <c r="F284" s="131" t="s">
        <v>61</v>
      </c>
      <c r="G284" s="131" t="str">
        <f t="shared" si="67"/>
        <v>Plant &amp; Pre-Folding 24R-15</v>
      </c>
      <c r="H284" s="246">
        <v>190000</v>
      </c>
      <c r="I284" s="170">
        <v>30</v>
      </c>
      <c r="J284" s="170">
        <v>6.25</v>
      </c>
      <c r="K284" s="170">
        <v>65</v>
      </c>
      <c r="L284" s="171">
        <f t="shared" si="68"/>
        <v>6.7692307692307691E-2</v>
      </c>
      <c r="M284" s="170">
        <v>45</v>
      </c>
      <c r="N284" s="170">
        <v>45</v>
      </c>
      <c r="O284" s="170">
        <v>8</v>
      </c>
      <c r="P284" s="170">
        <v>150</v>
      </c>
      <c r="Q284" s="17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8">
        <v>344</v>
      </c>
      <c r="B285" s="170" t="str">
        <f t="shared" si="66"/>
        <v>2.76, Plant &amp; Pre-Folding  8R-36 2x1</v>
      </c>
      <c r="C285" s="135">
        <v>2.76</v>
      </c>
      <c r="D285" s="131" t="s">
        <v>440</v>
      </c>
      <c r="E285" s="131" t="s">
        <v>302</v>
      </c>
      <c r="F285" s="131" t="s">
        <v>197</v>
      </c>
      <c r="G285" s="131" t="str">
        <f t="shared" si="67"/>
        <v>Plant &amp; Pre-Folding  8R-36 2x1</v>
      </c>
      <c r="H285" s="244">
        <v>111000</v>
      </c>
      <c r="I285" s="170">
        <v>36</v>
      </c>
      <c r="J285" s="170">
        <v>6.25</v>
      </c>
      <c r="K285" s="170">
        <v>65</v>
      </c>
      <c r="L285" s="171">
        <f t="shared" si="68"/>
        <v>5.6410256410256411E-2</v>
      </c>
      <c r="M285" s="170">
        <v>45</v>
      </c>
      <c r="N285" s="170">
        <v>45</v>
      </c>
      <c r="O285" s="170">
        <v>8</v>
      </c>
      <c r="P285" s="170">
        <v>150</v>
      </c>
      <c r="Q285" s="17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8">
        <v>262</v>
      </c>
      <c r="B286" s="170" t="str">
        <f t="shared" si="66"/>
        <v>2.77, Plant &amp; Pre-Folding 12R-36</v>
      </c>
      <c r="C286" s="135">
        <v>2.77</v>
      </c>
      <c r="D286" s="131" t="s">
        <v>440</v>
      </c>
      <c r="E286" s="131" t="s">
        <v>302</v>
      </c>
      <c r="F286" s="131" t="s">
        <v>194</v>
      </c>
      <c r="G286" s="131" t="str">
        <f t="shared" si="67"/>
        <v>Plant &amp; Pre-Folding 12R-36</v>
      </c>
      <c r="H286" s="244">
        <v>111000</v>
      </c>
      <c r="I286" s="170">
        <v>36</v>
      </c>
      <c r="J286" s="170">
        <v>6.25</v>
      </c>
      <c r="K286" s="170">
        <v>65</v>
      </c>
      <c r="L286" s="171">
        <f t="shared" si="68"/>
        <v>5.6410256410256411E-2</v>
      </c>
      <c r="M286" s="170">
        <v>45</v>
      </c>
      <c r="N286" s="170">
        <v>45</v>
      </c>
      <c r="O286" s="170">
        <v>8</v>
      </c>
      <c r="P286" s="170">
        <v>150</v>
      </c>
      <c r="Q286" s="17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8">
        <v>551</v>
      </c>
      <c r="B287" s="170" t="str">
        <f t="shared" si="66"/>
        <v>2.78, Plant &amp; Pre-Folding 31R-15</v>
      </c>
      <c r="C287" s="135">
        <v>2.78</v>
      </c>
      <c r="D287" s="131" t="s">
        <v>440</v>
      </c>
      <c r="E287" s="131" t="s">
        <v>302</v>
      </c>
      <c r="F287" s="131" t="s">
        <v>60</v>
      </c>
      <c r="G287" s="131" t="str">
        <f t="shared" si="67"/>
        <v>Plant &amp; Pre-Folding 31R-15</v>
      </c>
      <c r="H287" s="244">
        <v>235000</v>
      </c>
      <c r="I287" s="170">
        <v>38.700000000000003</v>
      </c>
      <c r="J287" s="170">
        <v>6.25</v>
      </c>
      <c r="K287" s="170">
        <v>65</v>
      </c>
      <c r="L287" s="171">
        <f t="shared" si="68"/>
        <v>5.2474657125819911E-2</v>
      </c>
      <c r="M287" s="170">
        <v>45</v>
      </c>
      <c r="N287" s="170">
        <v>45</v>
      </c>
      <c r="O287" s="170">
        <v>8</v>
      </c>
      <c r="P287" s="170">
        <v>150</v>
      </c>
      <c r="Q287" s="17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8">
        <v>349</v>
      </c>
      <c r="B288" s="170" t="str">
        <f t="shared" si="66"/>
        <v>2.79, Plant &amp; Pre-Folding 16R-30</v>
      </c>
      <c r="C288" s="135">
        <v>2.79</v>
      </c>
      <c r="D288" s="131" t="s">
        <v>440</v>
      </c>
      <c r="E288" s="131" t="s">
        <v>302</v>
      </c>
      <c r="F288" s="131" t="s">
        <v>59</v>
      </c>
      <c r="G288" s="131" t="str">
        <f t="shared" si="67"/>
        <v>Plant &amp; Pre-Folding 16R-30</v>
      </c>
      <c r="H288" s="244">
        <v>200000</v>
      </c>
      <c r="I288" s="170">
        <v>40</v>
      </c>
      <c r="J288" s="170">
        <v>6.25</v>
      </c>
      <c r="K288" s="170">
        <v>65</v>
      </c>
      <c r="L288" s="171">
        <f t="shared" si="68"/>
        <v>5.0769230769230775E-2</v>
      </c>
      <c r="M288" s="170">
        <v>45</v>
      </c>
      <c r="N288" s="170">
        <v>45</v>
      </c>
      <c r="O288" s="170">
        <v>8</v>
      </c>
      <c r="P288" s="170">
        <v>150</v>
      </c>
      <c r="Q288" s="17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8">
        <v>351</v>
      </c>
      <c r="B289" s="170" t="str">
        <f t="shared" si="66"/>
        <v>2.8, Plant &amp; Pre-Folding 24R-20</v>
      </c>
      <c r="C289" s="135">
        <v>2.8</v>
      </c>
      <c r="D289" s="131" t="s">
        <v>440</v>
      </c>
      <c r="E289" s="131" t="s">
        <v>302</v>
      </c>
      <c r="F289" s="131" t="s">
        <v>58</v>
      </c>
      <c r="G289" s="131" t="str">
        <f t="shared" si="67"/>
        <v>Plant &amp; Pre-Folding 24R-20</v>
      </c>
      <c r="H289" s="244">
        <v>244000</v>
      </c>
      <c r="I289" s="170">
        <v>40</v>
      </c>
      <c r="J289" s="170">
        <v>6.25</v>
      </c>
      <c r="K289" s="170">
        <v>65</v>
      </c>
      <c r="L289" s="171">
        <f t="shared" si="68"/>
        <v>5.0769230769230775E-2</v>
      </c>
      <c r="M289" s="170">
        <v>45</v>
      </c>
      <c r="N289" s="170">
        <v>45</v>
      </c>
      <c r="O289" s="170">
        <v>8</v>
      </c>
      <c r="P289" s="170">
        <v>150</v>
      </c>
      <c r="Q289" s="17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8">
        <v>603</v>
      </c>
      <c r="B290" s="170" t="str">
        <f t="shared" si="66"/>
        <v>2.81, Plant &amp; Pre-Folding 32R-15</v>
      </c>
      <c r="C290" s="135">
        <v>2.81</v>
      </c>
      <c r="D290" s="131" t="s">
        <v>440</v>
      </c>
      <c r="E290" s="131" t="s">
        <v>302</v>
      </c>
      <c r="F290" s="131" t="s">
        <v>57</v>
      </c>
      <c r="G290" s="131" t="str">
        <f t="shared" si="67"/>
        <v>Plant &amp; Pre-Folding 32R-15</v>
      </c>
      <c r="H290" s="244">
        <v>239000</v>
      </c>
      <c r="I290" s="170">
        <v>40</v>
      </c>
      <c r="J290" s="170">
        <v>6.25</v>
      </c>
      <c r="K290" s="170">
        <v>65</v>
      </c>
      <c r="L290" s="171">
        <f t="shared" si="68"/>
        <v>5.0769230769230775E-2</v>
      </c>
      <c r="M290" s="170">
        <v>45</v>
      </c>
      <c r="N290" s="170">
        <v>45</v>
      </c>
      <c r="O290" s="170">
        <v>8</v>
      </c>
      <c r="P290" s="170">
        <v>150</v>
      </c>
      <c r="Q290" s="17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8">
        <v>352</v>
      </c>
      <c r="B291" s="170" t="str">
        <f t="shared" si="66"/>
        <v>2.82, Plant &amp; Pre-Folding 24R-30</v>
      </c>
      <c r="C291" s="135">
        <v>2.82</v>
      </c>
      <c r="D291" s="131" t="s">
        <v>440</v>
      </c>
      <c r="E291" s="131" t="s">
        <v>302</v>
      </c>
      <c r="F291" s="131" t="s">
        <v>56</v>
      </c>
      <c r="G291" s="131" t="str">
        <f t="shared" si="67"/>
        <v>Plant &amp; Pre-Folding 24R-30</v>
      </c>
      <c r="H291" s="244">
        <v>202000</v>
      </c>
      <c r="I291" s="170">
        <v>60</v>
      </c>
      <c r="J291" s="170">
        <v>6.25</v>
      </c>
      <c r="K291" s="170">
        <v>65</v>
      </c>
      <c r="L291" s="171">
        <f t="shared" si="68"/>
        <v>3.3846153846153845E-2</v>
      </c>
      <c r="M291" s="170">
        <v>45</v>
      </c>
      <c r="N291" s="170">
        <v>45</v>
      </c>
      <c r="O291" s="170">
        <v>8</v>
      </c>
      <c r="P291" s="170">
        <v>150</v>
      </c>
      <c r="Q291" s="17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8">
        <v>642</v>
      </c>
      <c r="B292" s="170" t="str">
        <f t="shared" si="66"/>
        <v>2.83, Plant &amp; Pre-Folding 36R-20</v>
      </c>
      <c r="C292" s="135">
        <v>2.83</v>
      </c>
      <c r="D292" s="131" t="s">
        <v>440</v>
      </c>
      <c r="E292" s="131" t="s">
        <v>302</v>
      </c>
      <c r="F292" s="131" t="s">
        <v>55</v>
      </c>
      <c r="G292" s="131" t="str">
        <f t="shared" si="67"/>
        <v>Plant &amp; Pre-Folding 36R-20</v>
      </c>
      <c r="H292" s="246">
        <v>200000</v>
      </c>
      <c r="I292" s="170">
        <v>60</v>
      </c>
      <c r="J292" s="170">
        <v>6.25</v>
      </c>
      <c r="K292" s="170">
        <v>65</v>
      </c>
      <c r="L292" s="171">
        <f t="shared" si="68"/>
        <v>3.3846153846153845E-2</v>
      </c>
      <c r="M292" s="170">
        <v>45</v>
      </c>
      <c r="N292" s="170">
        <v>45</v>
      </c>
      <c r="O292" s="170">
        <v>8</v>
      </c>
      <c r="P292" s="170">
        <v>150</v>
      </c>
      <c r="Q292" s="17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8">
        <v>341</v>
      </c>
      <c r="B293" s="170" t="str">
        <f t="shared" si="66"/>
        <v>2.84, Plant &amp; Pre-Rigid  4R-30</v>
      </c>
      <c r="C293" s="135">
        <v>2.84</v>
      </c>
      <c r="D293" s="131" t="s">
        <v>440</v>
      </c>
      <c r="E293" s="131" t="s">
        <v>303</v>
      </c>
      <c r="F293" s="131" t="s">
        <v>48</v>
      </c>
      <c r="G293" s="131" t="str">
        <f t="shared" si="67"/>
        <v>Plant &amp; Pre-Rigid  4R-30</v>
      </c>
      <c r="H293" s="244">
        <v>39200</v>
      </c>
      <c r="I293" s="170">
        <v>10</v>
      </c>
      <c r="J293" s="170">
        <v>6.25</v>
      </c>
      <c r="K293" s="170">
        <v>65</v>
      </c>
      <c r="L293" s="171">
        <f t="shared" si="68"/>
        <v>0.2030769230769231</v>
      </c>
      <c r="M293" s="170">
        <v>45</v>
      </c>
      <c r="N293" s="170">
        <v>45</v>
      </c>
      <c r="O293" s="170">
        <v>8</v>
      </c>
      <c r="P293" s="170">
        <v>150</v>
      </c>
      <c r="Q293" s="17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8">
        <v>155</v>
      </c>
      <c r="B294" s="170" t="str">
        <f t="shared" si="66"/>
        <v>2.85, Plant &amp; Pre-Rigid  4R-36</v>
      </c>
      <c r="C294" s="135">
        <v>2.85</v>
      </c>
      <c r="D294" s="131" t="s">
        <v>440</v>
      </c>
      <c r="E294" s="131" t="s">
        <v>303</v>
      </c>
      <c r="F294" s="131" t="s">
        <v>195</v>
      </c>
      <c r="G294" s="131" t="str">
        <f t="shared" si="67"/>
        <v>Plant &amp; Pre-Rigid  4R-36</v>
      </c>
      <c r="H294" s="244">
        <v>34100</v>
      </c>
      <c r="I294" s="170">
        <v>12</v>
      </c>
      <c r="J294" s="170">
        <v>6.25</v>
      </c>
      <c r="K294" s="170">
        <v>65</v>
      </c>
      <c r="L294" s="171">
        <f t="shared" si="68"/>
        <v>0.16923076923076924</v>
      </c>
      <c r="M294" s="170">
        <v>45</v>
      </c>
      <c r="N294" s="170">
        <v>45</v>
      </c>
      <c r="O294" s="170">
        <v>8</v>
      </c>
      <c r="P294" s="170">
        <v>150</v>
      </c>
      <c r="Q294" s="17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8">
        <v>531</v>
      </c>
      <c r="B295" s="170" t="str">
        <f t="shared" si="66"/>
        <v>2.86, Plant &amp; Pre-Rigid 11R-15</v>
      </c>
      <c r="C295" s="135">
        <v>2.86</v>
      </c>
      <c r="D295" s="131" t="s">
        <v>440</v>
      </c>
      <c r="E295" s="131" t="s">
        <v>303</v>
      </c>
      <c r="F295" s="131" t="s">
        <v>54</v>
      </c>
      <c r="G295" s="131" t="str">
        <f t="shared" si="67"/>
        <v>Plant &amp; Pre-Rigid 11R-15</v>
      </c>
      <c r="H295" s="244">
        <v>59600</v>
      </c>
      <c r="I295" s="170">
        <v>13.7</v>
      </c>
      <c r="J295" s="170">
        <v>6.25</v>
      </c>
      <c r="K295" s="170">
        <v>65</v>
      </c>
      <c r="L295" s="171">
        <f t="shared" si="68"/>
        <v>0.14823133071308253</v>
      </c>
      <c r="M295" s="170">
        <v>45</v>
      </c>
      <c r="N295" s="170">
        <v>45</v>
      </c>
      <c r="O295" s="170">
        <v>8</v>
      </c>
      <c r="P295" s="170">
        <v>150</v>
      </c>
      <c r="Q295" s="17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8">
        <v>156</v>
      </c>
      <c r="B296" s="170" t="str">
        <f t="shared" si="66"/>
        <v>2.87, Plant &amp; Pre-Rigid  6R-30</v>
      </c>
      <c r="C296" s="135">
        <v>2.87</v>
      </c>
      <c r="D296" s="131" t="s">
        <v>440</v>
      </c>
      <c r="E296" s="131" t="s">
        <v>303</v>
      </c>
      <c r="F296" s="131" t="s">
        <v>53</v>
      </c>
      <c r="G296" s="131" t="str">
        <f t="shared" si="67"/>
        <v>Plant &amp; Pre-Rigid  6R-30</v>
      </c>
      <c r="H296" s="244">
        <v>46200</v>
      </c>
      <c r="I296" s="170">
        <v>15</v>
      </c>
      <c r="J296" s="170">
        <v>6.25</v>
      </c>
      <c r="K296" s="170">
        <v>65</v>
      </c>
      <c r="L296" s="171">
        <f t="shared" si="68"/>
        <v>0.13538461538461538</v>
      </c>
      <c r="M296" s="170">
        <v>45</v>
      </c>
      <c r="N296" s="170">
        <v>45</v>
      </c>
      <c r="O296" s="170">
        <v>8</v>
      </c>
      <c r="P296" s="170">
        <v>150</v>
      </c>
      <c r="Q296" s="17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8">
        <v>157</v>
      </c>
      <c r="B297" s="170" t="str">
        <f t="shared" si="66"/>
        <v>2.88, Plant &amp; Pre-Rigid  6R-36</v>
      </c>
      <c r="C297" s="135">
        <v>2.88</v>
      </c>
      <c r="D297" s="131" t="s">
        <v>440</v>
      </c>
      <c r="E297" s="131" t="s">
        <v>303</v>
      </c>
      <c r="F297" s="131" t="s">
        <v>196</v>
      </c>
      <c r="G297" s="131" t="str">
        <f t="shared" si="67"/>
        <v>Plant &amp; Pre-Rigid  6R-36</v>
      </c>
      <c r="H297" s="244">
        <v>41700</v>
      </c>
      <c r="I297" s="170">
        <v>18</v>
      </c>
      <c r="J297" s="170">
        <v>6.25</v>
      </c>
      <c r="K297" s="170">
        <v>65</v>
      </c>
      <c r="L297" s="171">
        <f t="shared" si="68"/>
        <v>0.11282051282051282</v>
      </c>
      <c r="M297" s="170">
        <v>45</v>
      </c>
      <c r="N297" s="170">
        <v>45</v>
      </c>
      <c r="O297" s="170">
        <v>8</v>
      </c>
      <c r="P297" s="170">
        <v>150</v>
      </c>
      <c r="Q297" s="17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8">
        <v>535</v>
      </c>
      <c r="B298" s="170" t="str">
        <f t="shared" si="66"/>
        <v>2.89, Plant &amp; Pre-Rigid 11R-20</v>
      </c>
      <c r="C298" s="135">
        <v>2.89</v>
      </c>
      <c r="D298" s="131" t="s">
        <v>440</v>
      </c>
      <c r="E298" s="131" t="s">
        <v>303</v>
      </c>
      <c r="F298" s="131" t="s">
        <v>52</v>
      </c>
      <c r="G298" s="131" t="str">
        <f t="shared" si="67"/>
        <v>Plant &amp; Pre-Rigid 11R-20</v>
      </c>
      <c r="H298" s="244">
        <v>64300</v>
      </c>
      <c r="I298" s="170">
        <v>18.3</v>
      </c>
      <c r="J298" s="170">
        <v>6.25</v>
      </c>
      <c r="K298" s="170">
        <v>65</v>
      </c>
      <c r="L298" s="171">
        <f t="shared" si="68"/>
        <v>0.11097099621689785</v>
      </c>
      <c r="M298" s="170">
        <v>45</v>
      </c>
      <c r="N298" s="170">
        <v>45</v>
      </c>
      <c r="O298" s="170">
        <v>8</v>
      </c>
      <c r="P298" s="170">
        <v>150</v>
      </c>
      <c r="Q298" s="17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8">
        <v>621</v>
      </c>
      <c r="B299" s="170" t="str">
        <f t="shared" si="66"/>
        <v>2.9, Plant &amp; Pre-Rigid 15R-15</v>
      </c>
      <c r="C299" s="135">
        <v>2.9</v>
      </c>
      <c r="D299" s="131" t="s">
        <v>440</v>
      </c>
      <c r="E299" s="131" t="s">
        <v>303</v>
      </c>
      <c r="F299" s="131" t="s">
        <v>51</v>
      </c>
      <c r="G299" s="131" t="str">
        <f t="shared" si="67"/>
        <v>Plant &amp; Pre-Rigid 15R-15</v>
      </c>
      <c r="H299" s="244">
        <v>83600</v>
      </c>
      <c r="I299" s="170">
        <v>18.7</v>
      </c>
      <c r="J299" s="170">
        <v>6.25</v>
      </c>
      <c r="K299" s="170">
        <v>65</v>
      </c>
      <c r="L299" s="171">
        <f t="shared" si="68"/>
        <v>0.10859728506787329</v>
      </c>
      <c r="M299" s="170">
        <v>45</v>
      </c>
      <c r="N299" s="170">
        <v>45</v>
      </c>
      <c r="O299" s="170">
        <v>8</v>
      </c>
      <c r="P299" s="170">
        <v>150</v>
      </c>
      <c r="Q299" s="17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8">
        <v>159</v>
      </c>
      <c r="B300" s="170" t="str">
        <f t="shared" si="66"/>
        <v>2.91, Plant &amp; Pre-Rigid  8R-30</v>
      </c>
      <c r="C300" s="135">
        <v>2.91</v>
      </c>
      <c r="D300" s="131" t="s">
        <v>440</v>
      </c>
      <c r="E300" s="131" t="s">
        <v>303</v>
      </c>
      <c r="F300" s="131" t="s">
        <v>25</v>
      </c>
      <c r="G300" s="131" t="str">
        <f t="shared" si="67"/>
        <v>Plant &amp; Pre-Rigid  8R-30</v>
      </c>
      <c r="H300" s="244">
        <v>59400</v>
      </c>
      <c r="I300" s="170">
        <v>20</v>
      </c>
      <c r="J300" s="170">
        <v>6.25</v>
      </c>
      <c r="K300" s="170">
        <v>65</v>
      </c>
      <c r="L300" s="171">
        <f t="shared" si="68"/>
        <v>0.10153846153846155</v>
      </c>
      <c r="M300" s="170">
        <v>45</v>
      </c>
      <c r="N300" s="170">
        <v>45</v>
      </c>
      <c r="O300" s="170">
        <v>8</v>
      </c>
      <c r="P300" s="170">
        <v>150</v>
      </c>
      <c r="Q300" s="17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8">
        <v>163</v>
      </c>
      <c r="B301" s="170" t="str">
        <f t="shared" si="66"/>
        <v>2.92, Plant &amp; Pre-Rigid 12R-20</v>
      </c>
      <c r="C301" s="135">
        <v>2.92</v>
      </c>
      <c r="D301" s="131" t="s">
        <v>440</v>
      </c>
      <c r="E301" s="131" t="s">
        <v>303</v>
      </c>
      <c r="F301" s="131" t="s">
        <v>50</v>
      </c>
      <c r="G301" s="131" t="str">
        <f t="shared" si="67"/>
        <v>Plant &amp; Pre-Rigid 12R-20</v>
      </c>
      <c r="H301" s="244">
        <v>68300</v>
      </c>
      <c r="I301" s="170">
        <v>20</v>
      </c>
      <c r="J301" s="170">
        <v>6.25</v>
      </c>
      <c r="K301" s="170">
        <v>65</v>
      </c>
      <c r="L301" s="171">
        <f t="shared" si="68"/>
        <v>0.10153846153846155</v>
      </c>
      <c r="M301" s="170">
        <v>45</v>
      </c>
      <c r="N301" s="170">
        <v>45</v>
      </c>
      <c r="O301" s="170">
        <v>8</v>
      </c>
      <c r="P301" s="170">
        <v>150</v>
      </c>
      <c r="Q301" s="17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8">
        <v>644</v>
      </c>
      <c r="B302" s="170" t="str">
        <f t="shared" si="66"/>
        <v>2.93, Plant &amp; Pre-Rigid 13R-18/20</v>
      </c>
      <c r="C302" s="135">
        <v>2.93</v>
      </c>
      <c r="D302" s="131" t="s">
        <v>440</v>
      </c>
      <c r="E302" s="131" t="s">
        <v>303</v>
      </c>
      <c r="F302" s="131" t="s">
        <v>49</v>
      </c>
      <c r="G302" s="131" t="str">
        <f t="shared" si="67"/>
        <v>Plant &amp; Pre-Rigid 13R-18/20</v>
      </c>
      <c r="H302" s="246">
        <v>55400</v>
      </c>
      <c r="I302" s="170">
        <v>21.7</v>
      </c>
      <c r="J302" s="170">
        <v>6.25</v>
      </c>
      <c r="K302" s="170">
        <v>65</v>
      </c>
      <c r="L302" s="171">
        <f t="shared" si="68"/>
        <v>9.3583835519319397E-2</v>
      </c>
      <c r="M302" s="170">
        <v>45</v>
      </c>
      <c r="N302" s="170">
        <v>45</v>
      </c>
      <c r="O302" s="170">
        <v>8</v>
      </c>
      <c r="P302" s="170">
        <v>150</v>
      </c>
      <c r="Q302" s="17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8">
        <v>160</v>
      </c>
      <c r="B303" s="170" t="str">
        <f t="shared" si="66"/>
        <v>2.94, Plant &amp; Pre-Rigid  8R-36</v>
      </c>
      <c r="C303" s="135">
        <v>2.94</v>
      </c>
      <c r="D303" s="131" t="s">
        <v>440</v>
      </c>
      <c r="E303" s="131" t="s">
        <v>303</v>
      </c>
      <c r="F303" s="131" t="s">
        <v>193</v>
      </c>
      <c r="G303" s="131" t="str">
        <f t="shared" si="67"/>
        <v>Plant &amp; Pre-Rigid  8R-36</v>
      </c>
      <c r="H303" s="244">
        <v>56000</v>
      </c>
      <c r="I303" s="170">
        <v>24</v>
      </c>
      <c r="J303" s="170">
        <v>6.25</v>
      </c>
      <c r="K303" s="170">
        <v>65</v>
      </c>
      <c r="L303" s="171">
        <f t="shared" si="68"/>
        <v>8.461538461538462E-2</v>
      </c>
      <c r="M303" s="170">
        <v>45</v>
      </c>
      <c r="N303" s="170">
        <v>45</v>
      </c>
      <c r="O303" s="170">
        <v>8</v>
      </c>
      <c r="P303" s="170">
        <v>150</v>
      </c>
      <c r="Q303" s="17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8">
        <v>161</v>
      </c>
      <c r="B304" s="170" t="str">
        <f t="shared" si="66"/>
        <v>2.95, Plant &amp; Pre-Rigid 10R-30</v>
      </c>
      <c r="C304" s="135">
        <v>2.95</v>
      </c>
      <c r="D304" s="131" t="s">
        <v>440</v>
      </c>
      <c r="E304" s="131" t="s">
        <v>303</v>
      </c>
      <c r="F304" s="131" t="s">
        <v>24</v>
      </c>
      <c r="G304" s="131" t="str">
        <f t="shared" si="67"/>
        <v>Plant &amp; Pre-Rigid 10R-30</v>
      </c>
      <c r="H304" s="246">
        <v>53000</v>
      </c>
      <c r="I304" s="170">
        <v>25</v>
      </c>
      <c r="J304" s="170">
        <v>6.25</v>
      </c>
      <c r="K304" s="170">
        <v>65</v>
      </c>
      <c r="L304" s="171">
        <f t="shared" si="68"/>
        <v>8.1230769230769231E-2</v>
      </c>
      <c r="M304" s="170">
        <v>45</v>
      </c>
      <c r="N304" s="170">
        <v>45</v>
      </c>
      <c r="O304" s="170">
        <v>8</v>
      </c>
      <c r="P304" s="170">
        <v>150</v>
      </c>
      <c r="Q304" s="17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8">
        <v>347</v>
      </c>
      <c r="B305" s="170" t="str">
        <f t="shared" si="66"/>
        <v>2.96, Plant &amp; Pre-Rigid 12R-30</v>
      </c>
      <c r="C305" s="135">
        <v>2.96</v>
      </c>
      <c r="D305" s="131" t="s">
        <v>440</v>
      </c>
      <c r="E305" s="131" t="s">
        <v>303</v>
      </c>
      <c r="F305" s="131" t="s">
        <v>6</v>
      </c>
      <c r="G305" s="131" t="str">
        <f t="shared" si="67"/>
        <v>Plant &amp; Pre-Rigid 12R-30</v>
      </c>
      <c r="H305" s="244">
        <v>88100</v>
      </c>
      <c r="I305" s="170">
        <v>30</v>
      </c>
      <c r="J305" s="170">
        <v>6.25</v>
      </c>
      <c r="K305" s="170">
        <v>65</v>
      </c>
      <c r="L305" s="171">
        <f t="shared" si="68"/>
        <v>6.7692307692307691E-2</v>
      </c>
      <c r="M305" s="170">
        <v>45</v>
      </c>
      <c r="N305" s="170">
        <v>45</v>
      </c>
      <c r="O305" s="170">
        <v>8</v>
      </c>
      <c r="P305" s="170">
        <v>150</v>
      </c>
      <c r="Q305" s="17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8">
        <v>645</v>
      </c>
      <c r="B306" s="170" t="str">
        <f t="shared" si="66"/>
        <v>2.97, Plant &amp; Pre-Twin Row 8R-36</v>
      </c>
      <c r="C306" s="135">
        <v>2.97</v>
      </c>
      <c r="D306" s="131" t="s">
        <v>440</v>
      </c>
      <c r="E306" s="131" t="s">
        <v>304</v>
      </c>
      <c r="F306" s="131" t="s">
        <v>199</v>
      </c>
      <c r="G306" s="131" t="str">
        <f t="shared" si="67"/>
        <v>Plant &amp; Pre-Twin Row 8R-36</v>
      </c>
      <c r="H306" s="244">
        <v>127000</v>
      </c>
      <c r="I306" s="170">
        <v>24</v>
      </c>
      <c r="J306" s="170">
        <v>6.25</v>
      </c>
      <c r="K306" s="170">
        <v>65</v>
      </c>
      <c r="L306" s="171">
        <f t="shared" si="68"/>
        <v>8.461538461538462E-2</v>
      </c>
      <c r="M306" s="170">
        <v>45</v>
      </c>
      <c r="N306" s="170">
        <v>45</v>
      </c>
      <c r="O306" s="170">
        <v>8</v>
      </c>
      <c r="P306" s="170">
        <v>150</v>
      </c>
      <c r="Q306" s="17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8">
        <v>604</v>
      </c>
      <c r="B307" s="170" t="str">
        <f t="shared" si="66"/>
        <v>2.98, Plant &amp; Pre-Twin Row 12R-36</v>
      </c>
      <c r="C307" s="135">
        <v>2.98</v>
      </c>
      <c r="D307" s="131" t="s">
        <v>440</v>
      </c>
      <c r="E307" s="131" t="s">
        <v>304</v>
      </c>
      <c r="F307" s="131" t="s">
        <v>194</v>
      </c>
      <c r="G307" s="131" t="str">
        <f t="shared" si="67"/>
        <v>Plant &amp; Pre-Twin Row 12R-36</v>
      </c>
      <c r="H307" s="244">
        <v>161000</v>
      </c>
      <c r="I307" s="170">
        <v>36</v>
      </c>
      <c r="J307" s="170">
        <v>6.25</v>
      </c>
      <c r="K307" s="170">
        <v>65</v>
      </c>
      <c r="L307" s="171">
        <f t="shared" si="68"/>
        <v>5.6410256410256411E-2</v>
      </c>
      <c r="M307" s="170">
        <v>45</v>
      </c>
      <c r="N307" s="170">
        <v>45</v>
      </c>
      <c r="O307" s="170">
        <v>8</v>
      </c>
      <c r="P307" s="170">
        <v>150</v>
      </c>
      <c r="Q307" s="17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8"/>
      <c r="B308" s="170" t="str">
        <f t="shared" si="66"/>
        <v>2.99, Plow 4 Bottom Switch</v>
      </c>
      <c r="C308" s="135">
        <v>2.99</v>
      </c>
      <c r="D308" s="131" t="s">
        <v>440</v>
      </c>
      <c r="E308" s="131" t="s">
        <v>425</v>
      </c>
      <c r="F308" s="131" t="s">
        <v>426</v>
      </c>
      <c r="G308" s="131" t="str">
        <f t="shared" si="67"/>
        <v>Plow 4 Bottom Switch</v>
      </c>
      <c r="H308" s="246">
        <v>16000</v>
      </c>
      <c r="I308" s="170">
        <v>6</v>
      </c>
      <c r="J308" s="170">
        <v>4</v>
      </c>
      <c r="K308" s="170">
        <v>80</v>
      </c>
      <c r="L308" s="171">
        <f t="shared" si="68"/>
        <v>0.4296875</v>
      </c>
      <c r="M308" s="170">
        <v>30</v>
      </c>
      <c r="N308" s="170">
        <v>40</v>
      </c>
      <c r="O308" s="170">
        <v>8</v>
      </c>
      <c r="P308" s="170">
        <v>150</v>
      </c>
      <c r="Q308" s="17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8"/>
      <c r="B309" s="170" t="str">
        <f t="shared" si="66"/>
        <v>3, Plow 5 Bottom Switch</v>
      </c>
      <c r="C309" s="135">
        <v>3</v>
      </c>
      <c r="D309" s="131" t="s">
        <v>440</v>
      </c>
      <c r="E309" s="131" t="s">
        <v>425</v>
      </c>
      <c r="F309" s="131" t="s">
        <v>427</v>
      </c>
      <c r="G309" s="131" t="str">
        <f t="shared" si="67"/>
        <v>Plow 5 Bottom Switch</v>
      </c>
      <c r="H309" s="246">
        <v>18000</v>
      </c>
      <c r="I309" s="170">
        <v>7.5</v>
      </c>
      <c r="J309" s="170">
        <v>4</v>
      </c>
      <c r="K309" s="170">
        <v>80</v>
      </c>
      <c r="L309" s="171">
        <f t="shared" si="68"/>
        <v>0.34375</v>
      </c>
      <c r="M309" s="170">
        <v>30</v>
      </c>
      <c r="N309" s="170">
        <v>40</v>
      </c>
      <c r="O309" s="170">
        <v>8</v>
      </c>
      <c r="P309" s="170">
        <v>150</v>
      </c>
      <c r="Q309" s="17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8">
        <v>29</v>
      </c>
      <c r="B310" s="170" t="str">
        <f t="shared" si="66"/>
        <v>3.01, Roller/Cultipacker 12'</v>
      </c>
      <c r="C310" s="135">
        <v>3.01</v>
      </c>
      <c r="D310" s="131" t="s">
        <v>440</v>
      </c>
      <c r="E310" s="131" t="s">
        <v>305</v>
      </c>
      <c r="F310" s="131" t="s">
        <v>11</v>
      </c>
      <c r="G310" s="131" t="str">
        <f t="shared" si="67"/>
        <v>Roller/Cultipacker 12'</v>
      </c>
      <c r="H310" s="244">
        <v>7470</v>
      </c>
      <c r="I310" s="170">
        <v>12</v>
      </c>
      <c r="J310" s="170">
        <v>6.5</v>
      </c>
      <c r="K310" s="170">
        <v>85</v>
      </c>
      <c r="L310" s="171">
        <f t="shared" si="68"/>
        <v>0.12443438914027148</v>
      </c>
      <c r="M310" s="170">
        <v>25</v>
      </c>
      <c r="N310" s="170">
        <v>85</v>
      </c>
      <c r="O310" s="170">
        <v>12</v>
      </c>
      <c r="P310" s="170">
        <v>300</v>
      </c>
      <c r="Q310" s="17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8">
        <v>30</v>
      </c>
      <c r="B311" s="170" t="str">
        <f t="shared" si="66"/>
        <v>3.02, Roller/Cultipacker 20'</v>
      </c>
      <c r="C311" s="135">
        <v>3.02</v>
      </c>
      <c r="D311" s="131" t="s">
        <v>440</v>
      </c>
      <c r="E311" s="131" t="s">
        <v>305</v>
      </c>
      <c r="F311" s="131" t="s">
        <v>8</v>
      </c>
      <c r="G311" s="131" t="str">
        <f t="shared" si="67"/>
        <v>Roller/Cultipacker 20'</v>
      </c>
      <c r="H311" s="244">
        <v>13500</v>
      </c>
      <c r="I311" s="170">
        <v>20</v>
      </c>
      <c r="J311" s="170">
        <v>6.5</v>
      </c>
      <c r="K311" s="170">
        <v>85</v>
      </c>
      <c r="L311" s="171">
        <f t="shared" si="68"/>
        <v>7.4660633484162894E-2</v>
      </c>
      <c r="M311" s="170">
        <v>25</v>
      </c>
      <c r="N311" s="170">
        <v>85</v>
      </c>
      <c r="O311" s="170">
        <v>12</v>
      </c>
      <c r="P311" s="170">
        <v>300</v>
      </c>
      <c r="Q311" s="17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8">
        <v>172</v>
      </c>
      <c r="B312" s="170" t="str">
        <f t="shared" si="66"/>
        <v>3.03, Roller/Cultipacker 30'</v>
      </c>
      <c r="C312" s="135">
        <v>3.03</v>
      </c>
      <c r="D312" s="131" t="s">
        <v>440</v>
      </c>
      <c r="E312" s="131" t="s">
        <v>305</v>
      </c>
      <c r="F312" s="131" t="s">
        <v>44</v>
      </c>
      <c r="G312" s="131" t="str">
        <f t="shared" si="67"/>
        <v>Roller/Cultipacker 30'</v>
      </c>
      <c r="H312" s="244">
        <v>21100</v>
      </c>
      <c r="I312" s="170">
        <v>30</v>
      </c>
      <c r="J312" s="170">
        <v>6.5</v>
      </c>
      <c r="K312" s="170">
        <v>85</v>
      </c>
      <c r="L312" s="171">
        <f t="shared" si="68"/>
        <v>4.9773755656108601E-2</v>
      </c>
      <c r="M312" s="170">
        <v>25</v>
      </c>
      <c r="N312" s="170">
        <v>85</v>
      </c>
      <c r="O312" s="170">
        <v>12</v>
      </c>
      <c r="P312" s="170">
        <v>300</v>
      </c>
      <c r="Q312" s="17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8">
        <v>717</v>
      </c>
      <c r="B313" s="170" t="str">
        <f t="shared" si="66"/>
        <v>3.04, Roller/Cultipacker 38'</v>
      </c>
      <c r="C313" s="135">
        <v>3.04</v>
      </c>
      <c r="D313" s="131" t="s">
        <v>440</v>
      </c>
      <c r="E313" s="131" t="s">
        <v>305</v>
      </c>
      <c r="F313" s="131" t="s">
        <v>41</v>
      </c>
      <c r="G313" s="131" t="str">
        <f t="shared" si="67"/>
        <v>Roller/Cultipacker 38'</v>
      </c>
      <c r="H313" s="244">
        <v>27500</v>
      </c>
      <c r="I313" s="170">
        <v>38</v>
      </c>
      <c r="J313" s="170">
        <v>6.5</v>
      </c>
      <c r="K313" s="170">
        <v>85</v>
      </c>
      <c r="L313" s="171">
        <f t="shared" si="68"/>
        <v>3.9295070254822574E-2</v>
      </c>
      <c r="M313" s="170">
        <v>25</v>
      </c>
      <c r="N313" s="170">
        <v>85</v>
      </c>
      <c r="O313" s="170">
        <v>12</v>
      </c>
      <c r="P313" s="170">
        <v>300</v>
      </c>
      <c r="Q313" s="17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8">
        <v>718</v>
      </c>
      <c r="B314" s="170" t="str">
        <f t="shared" si="66"/>
        <v>3.05, Roller/Stubble 20'</v>
      </c>
      <c r="C314" s="135">
        <v>3.05</v>
      </c>
      <c r="D314" s="131" t="s">
        <v>440</v>
      </c>
      <c r="E314" s="131" t="s">
        <v>306</v>
      </c>
      <c r="F314" s="131" t="s">
        <v>8</v>
      </c>
      <c r="G314" s="131" t="str">
        <f t="shared" si="67"/>
        <v>Roller/Stubble 20'</v>
      </c>
      <c r="H314" s="244">
        <v>15900</v>
      </c>
      <c r="I314" s="170">
        <v>20</v>
      </c>
      <c r="J314" s="170">
        <v>6.5</v>
      </c>
      <c r="K314" s="170">
        <v>85</v>
      </c>
      <c r="L314" s="171">
        <f t="shared" si="68"/>
        <v>7.4660633484162894E-2</v>
      </c>
      <c r="M314" s="170">
        <v>25</v>
      </c>
      <c r="N314" s="170">
        <v>85</v>
      </c>
      <c r="O314" s="170">
        <v>12</v>
      </c>
      <c r="P314" s="170">
        <v>300</v>
      </c>
      <c r="Q314" s="17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8">
        <v>719</v>
      </c>
      <c r="B315" s="170" t="str">
        <f t="shared" si="66"/>
        <v>3.06, Roller/Stubble 32'</v>
      </c>
      <c r="C315" s="135">
        <v>3.06</v>
      </c>
      <c r="D315" s="131" t="s">
        <v>440</v>
      </c>
      <c r="E315" s="131" t="s">
        <v>306</v>
      </c>
      <c r="F315" s="131" t="s">
        <v>43</v>
      </c>
      <c r="G315" s="131" t="str">
        <f t="shared" si="67"/>
        <v>Roller/Stubble 32'</v>
      </c>
      <c r="H315" s="244">
        <v>23700</v>
      </c>
      <c r="I315" s="170">
        <v>32</v>
      </c>
      <c r="J315" s="170">
        <v>6.5</v>
      </c>
      <c r="K315" s="170">
        <v>85</v>
      </c>
      <c r="L315" s="171">
        <f t="shared" si="68"/>
        <v>4.6662895927601804E-2</v>
      </c>
      <c r="M315" s="170">
        <v>25</v>
      </c>
      <c r="N315" s="170">
        <v>85</v>
      </c>
      <c r="O315" s="170">
        <v>12</v>
      </c>
      <c r="P315" s="170">
        <v>300</v>
      </c>
      <c r="Q315" s="17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8">
        <v>485</v>
      </c>
      <c r="B316" s="170" t="str">
        <f t="shared" si="66"/>
        <v>3.07, Rotary Cutter  7'</v>
      </c>
      <c r="C316" s="135">
        <v>3.07</v>
      </c>
      <c r="D316" s="131" t="s">
        <v>440</v>
      </c>
      <c r="E316" s="131" t="s">
        <v>307</v>
      </c>
      <c r="F316" s="131" t="s">
        <v>42</v>
      </c>
      <c r="G316" s="131" t="str">
        <f t="shared" si="67"/>
        <v>Rotary Cutter  7'</v>
      </c>
      <c r="H316" s="244">
        <v>6740</v>
      </c>
      <c r="I316" s="170">
        <v>7</v>
      </c>
      <c r="J316" s="170">
        <v>8.75</v>
      </c>
      <c r="K316" s="170">
        <v>80</v>
      </c>
      <c r="L316" s="171">
        <f t="shared" si="68"/>
        <v>0.1683673469387755</v>
      </c>
      <c r="M316" s="170">
        <v>30</v>
      </c>
      <c r="N316" s="170">
        <v>150</v>
      </c>
      <c r="O316" s="170">
        <v>10</v>
      </c>
      <c r="P316" s="170">
        <v>185</v>
      </c>
      <c r="Q316" s="17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8">
        <v>199</v>
      </c>
      <c r="B317" s="170" t="str">
        <f t="shared" si="66"/>
        <v>3.08, Rotary Cutter 12'</v>
      </c>
      <c r="C317" s="135">
        <v>3.08</v>
      </c>
      <c r="D317" s="131" t="s">
        <v>440</v>
      </c>
      <c r="E317" s="131" t="s">
        <v>307</v>
      </c>
      <c r="F317" s="131" t="s">
        <v>11</v>
      </c>
      <c r="G317" s="131" t="str">
        <f t="shared" si="67"/>
        <v>Rotary Cutter 12'</v>
      </c>
      <c r="H317" s="244">
        <v>21100</v>
      </c>
      <c r="I317" s="170">
        <v>12</v>
      </c>
      <c r="J317" s="170">
        <v>8.75</v>
      </c>
      <c r="K317" s="170">
        <v>80</v>
      </c>
      <c r="L317" s="171">
        <f t="shared" si="68"/>
        <v>9.8214285714285712E-2</v>
      </c>
      <c r="M317" s="170">
        <v>30</v>
      </c>
      <c r="N317" s="170">
        <v>150</v>
      </c>
      <c r="O317" s="170">
        <v>10</v>
      </c>
      <c r="P317" s="170">
        <v>185</v>
      </c>
      <c r="Q317" s="17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8">
        <v>484</v>
      </c>
      <c r="B318" s="170" t="str">
        <f t="shared" si="66"/>
        <v>3.09, Rotary Cutter-Flex 15'</v>
      </c>
      <c r="C318" s="135">
        <v>3.09</v>
      </c>
      <c r="D318" s="131" t="s">
        <v>440</v>
      </c>
      <c r="E318" s="131" t="s">
        <v>308</v>
      </c>
      <c r="F318" s="131" t="s">
        <v>10</v>
      </c>
      <c r="G318" s="131" t="str">
        <f t="shared" si="67"/>
        <v>Rotary Cutter-Flex 15'</v>
      </c>
      <c r="H318" s="244">
        <v>27500</v>
      </c>
      <c r="I318" s="170">
        <v>15</v>
      </c>
      <c r="J318" s="170">
        <v>8.75</v>
      </c>
      <c r="K318" s="170">
        <v>80</v>
      </c>
      <c r="L318" s="171">
        <f t="shared" si="68"/>
        <v>7.857142857142857E-2</v>
      </c>
      <c r="M318" s="170">
        <v>30</v>
      </c>
      <c r="N318" s="170">
        <v>150</v>
      </c>
      <c r="O318" s="170">
        <v>10</v>
      </c>
      <c r="P318" s="170">
        <v>185</v>
      </c>
      <c r="Q318" s="17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8">
        <v>562</v>
      </c>
      <c r="B319" s="170" t="str">
        <f t="shared" si="66"/>
        <v>3.1, Rotary Cutter-Flex 20'</v>
      </c>
      <c r="C319" s="135">
        <v>3.1</v>
      </c>
      <c r="D319" s="131" t="s">
        <v>440</v>
      </c>
      <c r="E319" s="131" t="s">
        <v>308</v>
      </c>
      <c r="F319" s="131" t="s">
        <v>8</v>
      </c>
      <c r="G319" s="131" t="str">
        <f t="shared" si="67"/>
        <v>Rotary Cutter-Flex 20'</v>
      </c>
      <c r="H319" s="244">
        <v>42200</v>
      </c>
      <c r="I319" s="170">
        <v>20</v>
      </c>
      <c r="J319" s="170">
        <v>8.75</v>
      </c>
      <c r="K319" s="170">
        <v>80</v>
      </c>
      <c r="L319" s="171">
        <f t="shared" si="68"/>
        <v>5.8928571428571434E-2</v>
      </c>
      <c r="M319" s="170">
        <v>30</v>
      </c>
      <c r="N319" s="170">
        <v>150</v>
      </c>
      <c r="O319" s="170">
        <v>10</v>
      </c>
      <c r="P319" s="170">
        <v>185</v>
      </c>
      <c r="Q319" s="17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8">
        <v>626</v>
      </c>
      <c r="B320" s="170" t="str">
        <f t="shared" si="66"/>
        <v>3.11, Row Cond &amp; Inc-Fold. 26'</v>
      </c>
      <c r="C320" s="135">
        <v>3.11</v>
      </c>
      <c r="D320" s="131" t="s">
        <v>440</v>
      </c>
      <c r="E320" s="131" t="s">
        <v>309</v>
      </c>
      <c r="F320" s="131" t="s">
        <v>38</v>
      </c>
      <c r="G320" s="131" t="str">
        <f t="shared" si="67"/>
        <v>Row Cond &amp; Inc-Fold. 26'</v>
      </c>
      <c r="H320" s="244">
        <v>37600</v>
      </c>
      <c r="I320" s="170">
        <v>26</v>
      </c>
      <c r="J320" s="170">
        <v>6.25</v>
      </c>
      <c r="K320" s="170">
        <v>80</v>
      </c>
      <c r="L320" s="171">
        <f t="shared" si="68"/>
        <v>6.3461538461538458E-2</v>
      </c>
      <c r="M320" s="170">
        <v>30</v>
      </c>
      <c r="N320" s="170">
        <v>25</v>
      </c>
      <c r="O320" s="170">
        <v>10</v>
      </c>
      <c r="P320" s="170">
        <v>100</v>
      </c>
      <c r="Q320" s="17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8">
        <v>176</v>
      </c>
      <c r="B321" s="170" t="str">
        <f t="shared" si="66"/>
        <v>3.12, Row Cond &amp; Inc-Fold. 38'</v>
      </c>
      <c r="C321" s="135">
        <v>3.12</v>
      </c>
      <c r="D321" s="131" t="s">
        <v>440</v>
      </c>
      <c r="E321" s="131" t="s">
        <v>309</v>
      </c>
      <c r="F321" s="131" t="s">
        <v>41</v>
      </c>
      <c r="G321" s="131" t="str">
        <f t="shared" si="67"/>
        <v>Row Cond &amp; Inc-Fold. 38'</v>
      </c>
      <c r="H321" s="244">
        <v>49800</v>
      </c>
      <c r="I321" s="170">
        <v>38</v>
      </c>
      <c r="J321" s="170">
        <v>6.25</v>
      </c>
      <c r="K321" s="170">
        <v>80</v>
      </c>
      <c r="L321" s="171">
        <f t="shared" si="68"/>
        <v>4.3421052631578944E-2</v>
      </c>
      <c r="M321" s="170">
        <v>30</v>
      </c>
      <c r="N321" s="170">
        <v>25</v>
      </c>
      <c r="O321" s="170">
        <v>10</v>
      </c>
      <c r="P321" s="170">
        <v>100</v>
      </c>
      <c r="Q321" s="17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8">
        <v>173</v>
      </c>
      <c r="B322" s="170" t="str">
        <f t="shared" si="66"/>
        <v>3.13, Row Cond &amp; Inc-Rigid 13'</v>
      </c>
      <c r="C322" s="135">
        <v>3.13</v>
      </c>
      <c r="D322" s="131" t="s">
        <v>440</v>
      </c>
      <c r="E322" s="131" t="s">
        <v>310</v>
      </c>
      <c r="F322" s="131" t="s">
        <v>40</v>
      </c>
      <c r="G322" s="131" t="str">
        <f t="shared" si="67"/>
        <v>Row Cond &amp; Inc-Rigid 13'</v>
      </c>
      <c r="H322" s="244">
        <v>18700</v>
      </c>
      <c r="I322" s="170">
        <v>13</v>
      </c>
      <c r="J322" s="170">
        <v>6.25</v>
      </c>
      <c r="K322" s="170">
        <v>80</v>
      </c>
      <c r="L322" s="171">
        <f t="shared" si="68"/>
        <v>0.12692307692307692</v>
      </c>
      <c r="M322" s="170">
        <v>30</v>
      </c>
      <c r="N322" s="170">
        <v>25</v>
      </c>
      <c r="O322" s="170">
        <v>10</v>
      </c>
      <c r="P322" s="170">
        <v>100</v>
      </c>
      <c r="Q322" s="17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8">
        <v>174</v>
      </c>
      <c r="B323" s="170" t="str">
        <f t="shared" si="66"/>
        <v>3.14, Row Cond &amp; Inc-Rigid 21'</v>
      </c>
      <c r="C323" s="135">
        <v>3.14</v>
      </c>
      <c r="D323" s="131" t="s">
        <v>440</v>
      </c>
      <c r="E323" s="131" t="s">
        <v>310</v>
      </c>
      <c r="F323" s="131" t="s">
        <v>39</v>
      </c>
      <c r="G323" s="131" t="str">
        <f t="shared" si="67"/>
        <v>Row Cond &amp; Inc-Rigid 21'</v>
      </c>
      <c r="H323" s="244">
        <v>26900</v>
      </c>
      <c r="I323" s="170">
        <v>21</v>
      </c>
      <c r="J323" s="170">
        <v>6.25</v>
      </c>
      <c r="K323" s="170">
        <v>80</v>
      </c>
      <c r="L323" s="171">
        <f t="shared" si="68"/>
        <v>7.857142857142857E-2</v>
      </c>
      <c r="M323" s="170">
        <v>30</v>
      </c>
      <c r="N323" s="170">
        <v>25</v>
      </c>
      <c r="O323" s="170">
        <v>10</v>
      </c>
      <c r="P323" s="170">
        <v>100</v>
      </c>
      <c r="Q323" s="17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8">
        <v>175</v>
      </c>
      <c r="B324" s="170" t="str">
        <f t="shared" si="66"/>
        <v>3.15, Row Cond &amp; Inc-Rigid 26'</v>
      </c>
      <c r="C324" s="135">
        <v>3.15</v>
      </c>
      <c r="D324" s="131" t="s">
        <v>440</v>
      </c>
      <c r="E324" s="131" t="s">
        <v>310</v>
      </c>
      <c r="F324" s="131" t="s">
        <v>38</v>
      </c>
      <c r="G324" s="131" t="str">
        <f t="shared" si="67"/>
        <v>Row Cond &amp; Inc-Rigid 26'</v>
      </c>
      <c r="H324" s="244">
        <v>29300</v>
      </c>
      <c r="I324" s="170">
        <v>62</v>
      </c>
      <c r="J324" s="170">
        <v>6.25</v>
      </c>
      <c r="K324" s="170">
        <v>80</v>
      </c>
      <c r="L324" s="171">
        <f t="shared" si="68"/>
        <v>2.661290322580645E-2</v>
      </c>
      <c r="M324" s="170">
        <v>30</v>
      </c>
      <c r="N324" s="170">
        <v>25</v>
      </c>
      <c r="O324" s="170">
        <v>10</v>
      </c>
      <c r="P324" s="170">
        <v>100</v>
      </c>
      <c r="Q324" s="17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8">
        <v>654</v>
      </c>
      <c r="B325" s="170" t="str">
        <f t="shared" si="66"/>
        <v>3.16, Row Cond Folding 26'</v>
      </c>
      <c r="C325" s="135">
        <v>3.16</v>
      </c>
      <c r="D325" s="131" t="s">
        <v>440</v>
      </c>
      <c r="E325" s="131" t="s">
        <v>311</v>
      </c>
      <c r="F325" s="131" t="s">
        <v>38</v>
      </c>
      <c r="G325" s="131" t="str">
        <f t="shared" si="67"/>
        <v>Row Cond Folding 26'</v>
      </c>
      <c r="H325" s="244">
        <v>31900</v>
      </c>
      <c r="I325" s="170">
        <v>26</v>
      </c>
      <c r="J325" s="170">
        <v>6.25</v>
      </c>
      <c r="K325" s="170">
        <v>85</v>
      </c>
      <c r="L325" s="171">
        <f t="shared" si="68"/>
        <v>5.972850678733032E-2</v>
      </c>
      <c r="M325" s="170">
        <v>30</v>
      </c>
      <c r="N325" s="170">
        <v>25</v>
      </c>
      <c r="O325" s="170">
        <v>10</v>
      </c>
      <c r="P325" s="170">
        <v>100</v>
      </c>
      <c r="Q325" s="17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8">
        <v>180</v>
      </c>
      <c r="B326" s="170" t="str">
        <f t="shared" si="66"/>
        <v>3.17, Row Cond Folding 38'</v>
      </c>
      <c r="C326" s="135">
        <v>3.17</v>
      </c>
      <c r="D326" s="131" t="s">
        <v>440</v>
      </c>
      <c r="E326" s="131" t="s">
        <v>311</v>
      </c>
      <c r="F326" s="131" t="s">
        <v>41</v>
      </c>
      <c r="G326" s="131" t="str">
        <f t="shared" si="67"/>
        <v>Row Cond Folding 38'</v>
      </c>
      <c r="H326" s="244">
        <v>40100</v>
      </c>
      <c r="I326" s="170">
        <v>38</v>
      </c>
      <c r="J326" s="170">
        <v>6.25</v>
      </c>
      <c r="K326" s="170">
        <v>85</v>
      </c>
      <c r="L326" s="171">
        <f t="shared" si="68"/>
        <v>4.0866873065015484E-2</v>
      </c>
      <c r="M326" s="170">
        <v>30</v>
      </c>
      <c r="N326" s="170">
        <v>25</v>
      </c>
      <c r="O326" s="170">
        <v>10</v>
      </c>
      <c r="P326" s="170">
        <v>100</v>
      </c>
      <c r="Q326" s="17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8">
        <v>177</v>
      </c>
      <c r="B327" s="170" t="str">
        <f t="shared" si="66"/>
        <v>3.18, Row Cond Rigid 13'</v>
      </c>
      <c r="C327" s="135">
        <v>3.18</v>
      </c>
      <c r="D327" s="131" t="s">
        <v>440</v>
      </c>
      <c r="E327" s="131" t="s">
        <v>312</v>
      </c>
      <c r="F327" s="131" t="s">
        <v>40</v>
      </c>
      <c r="G327" s="131" t="str">
        <f t="shared" si="67"/>
        <v>Row Cond Rigid 13'</v>
      </c>
      <c r="H327" s="244">
        <v>12900</v>
      </c>
      <c r="I327" s="170">
        <v>13</v>
      </c>
      <c r="J327" s="170">
        <v>6.25</v>
      </c>
      <c r="K327" s="170">
        <v>85</v>
      </c>
      <c r="L327" s="171">
        <f t="shared" si="68"/>
        <v>0.11945701357466064</v>
      </c>
      <c r="M327" s="170">
        <v>30</v>
      </c>
      <c r="N327" s="170">
        <v>25</v>
      </c>
      <c r="O327" s="170">
        <v>10</v>
      </c>
      <c r="P327" s="170">
        <v>100</v>
      </c>
      <c r="Q327" s="17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8">
        <v>178</v>
      </c>
      <c r="B328" s="170" t="str">
        <f t="shared" si="66"/>
        <v>3.19, Row Cond Rigid 21'</v>
      </c>
      <c r="C328" s="135">
        <v>3.19</v>
      </c>
      <c r="D328" s="131" t="s">
        <v>440</v>
      </c>
      <c r="E328" s="131" t="s">
        <v>312</v>
      </c>
      <c r="F328" s="131" t="s">
        <v>39</v>
      </c>
      <c r="G328" s="131" t="str">
        <f t="shared" si="67"/>
        <v>Row Cond Rigid 21'</v>
      </c>
      <c r="H328" s="244">
        <v>21200</v>
      </c>
      <c r="I328" s="170">
        <v>21</v>
      </c>
      <c r="J328" s="170">
        <v>6.25</v>
      </c>
      <c r="K328" s="170">
        <v>85</v>
      </c>
      <c r="L328" s="171">
        <f t="shared" si="68"/>
        <v>7.3949579831932774E-2</v>
      </c>
      <c r="M328" s="170">
        <v>30</v>
      </c>
      <c r="N328" s="170">
        <v>25</v>
      </c>
      <c r="O328" s="170">
        <v>10</v>
      </c>
      <c r="P328" s="170">
        <v>100</v>
      </c>
      <c r="Q328" s="17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8">
        <v>179</v>
      </c>
      <c r="B329" s="170" t="str">
        <f t="shared" si="66"/>
        <v>3.2, Row Cond Rigid 26'</v>
      </c>
      <c r="C329" s="135">
        <v>3.2</v>
      </c>
      <c r="D329" s="131" t="s">
        <v>440</v>
      </c>
      <c r="E329" s="131" t="s">
        <v>312</v>
      </c>
      <c r="F329" s="131" t="s">
        <v>38</v>
      </c>
      <c r="G329" s="131" t="str">
        <f t="shared" si="67"/>
        <v>Row Cond Rigid 26'</v>
      </c>
      <c r="H329" s="244">
        <v>23600</v>
      </c>
      <c r="I329" s="170">
        <v>26</v>
      </c>
      <c r="J329" s="170">
        <v>6.25</v>
      </c>
      <c r="K329" s="170">
        <v>85</v>
      </c>
      <c r="L329" s="171">
        <f t="shared" si="68"/>
        <v>5.972850678733032E-2</v>
      </c>
      <c r="M329" s="170">
        <v>30</v>
      </c>
      <c r="N329" s="170">
        <v>25</v>
      </c>
      <c r="O329" s="170">
        <v>10</v>
      </c>
      <c r="P329" s="170">
        <v>100</v>
      </c>
      <c r="Q329" s="17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8">
        <v>615</v>
      </c>
      <c r="B330" s="170" t="str">
        <f t="shared" ref="B330:B390" si="81">CONCATENATE(C330,D330,E330,F330)</f>
        <v>3.21, Row Cond./Roll-Fold. 26'</v>
      </c>
      <c r="C330" s="135">
        <v>3.21</v>
      </c>
      <c r="D330" s="131" t="s">
        <v>440</v>
      </c>
      <c r="E330" s="131" t="s">
        <v>471</v>
      </c>
      <c r="F330" s="131" t="s">
        <v>38</v>
      </c>
      <c r="G330" s="131" t="str">
        <f t="shared" ref="G330:G390" si="82">CONCATENATE(E330,F330)</f>
        <v>Row Cond./Roll-Fold. 26'</v>
      </c>
      <c r="H330" s="244">
        <v>38000</v>
      </c>
      <c r="I330" s="170">
        <v>26</v>
      </c>
      <c r="J330" s="170">
        <v>5.5</v>
      </c>
      <c r="K330" s="170">
        <v>80</v>
      </c>
      <c r="L330" s="171">
        <f t="shared" ref="L330:L390" si="83">1/((I330*J330*K330/100*5280)/43560)</f>
        <v>7.2115384615384609E-2</v>
      </c>
      <c r="M330" s="170">
        <v>30</v>
      </c>
      <c r="N330" s="170">
        <v>40</v>
      </c>
      <c r="O330" s="170">
        <v>10</v>
      </c>
      <c r="P330" s="170">
        <v>160</v>
      </c>
      <c r="Q330" s="17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8">
        <v>617</v>
      </c>
      <c r="B331" s="170" t="str">
        <f t="shared" si="81"/>
        <v>3.22, Row Cond./Roll-Fold. 30'</v>
      </c>
      <c r="C331" s="135">
        <v>3.22</v>
      </c>
      <c r="D331" s="131" t="s">
        <v>440</v>
      </c>
      <c r="E331" s="131" t="s">
        <v>471</v>
      </c>
      <c r="F331" s="131" t="s">
        <v>44</v>
      </c>
      <c r="G331" s="131" t="str">
        <f t="shared" si="82"/>
        <v>Row Cond./Roll-Fold. 30'</v>
      </c>
      <c r="H331" s="244">
        <v>69000</v>
      </c>
      <c r="I331" s="170">
        <v>30</v>
      </c>
      <c r="J331" s="170">
        <v>5.5</v>
      </c>
      <c r="K331" s="170">
        <v>80</v>
      </c>
      <c r="L331" s="171">
        <f t="shared" si="83"/>
        <v>6.25E-2</v>
      </c>
      <c r="M331" s="170">
        <v>30</v>
      </c>
      <c r="N331" s="170">
        <v>40</v>
      </c>
      <c r="O331" s="170">
        <v>10</v>
      </c>
      <c r="P331" s="170">
        <v>160</v>
      </c>
      <c r="Q331" s="17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8">
        <v>619</v>
      </c>
      <c r="B332" s="170" t="str">
        <f t="shared" si="81"/>
        <v>3.23, Row Cond./Roll-Fold. 40'</v>
      </c>
      <c r="C332" s="135">
        <v>3.23</v>
      </c>
      <c r="D332" s="131" t="s">
        <v>440</v>
      </c>
      <c r="E332" s="131" t="s">
        <v>471</v>
      </c>
      <c r="F332" s="131" t="s">
        <v>16</v>
      </c>
      <c r="G332" s="131" t="str">
        <f t="shared" si="82"/>
        <v>Row Cond./Roll-Fold. 40'</v>
      </c>
      <c r="H332" s="244">
        <v>57100</v>
      </c>
      <c r="I332" s="170">
        <v>40</v>
      </c>
      <c r="J332" s="170">
        <v>5.5</v>
      </c>
      <c r="K332" s="170">
        <v>80</v>
      </c>
      <c r="L332" s="171">
        <f t="shared" si="83"/>
        <v>4.6875E-2</v>
      </c>
      <c r="M332" s="170">
        <v>30</v>
      </c>
      <c r="N332" s="170">
        <v>40</v>
      </c>
      <c r="O332" s="170">
        <v>10</v>
      </c>
      <c r="P332" s="170">
        <v>160</v>
      </c>
      <c r="Q332" s="17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8">
        <v>612</v>
      </c>
      <c r="B333" s="170" t="str">
        <f t="shared" si="81"/>
        <v>3.24, Row Cond./Roll-Rigid 21'</v>
      </c>
      <c r="C333" s="135">
        <v>3.24</v>
      </c>
      <c r="D333" s="131" t="s">
        <v>440</v>
      </c>
      <c r="E333" s="131" t="s">
        <v>472</v>
      </c>
      <c r="F333" s="131" t="s">
        <v>39</v>
      </c>
      <c r="G333" s="131" t="str">
        <f t="shared" si="82"/>
        <v>Row Cond./Roll-Rigid 21'</v>
      </c>
      <c r="H333" s="244">
        <v>38400</v>
      </c>
      <c r="I333" s="170">
        <v>21</v>
      </c>
      <c r="J333" s="170">
        <v>5.5</v>
      </c>
      <c r="K333" s="170">
        <v>80</v>
      </c>
      <c r="L333" s="171">
        <f t="shared" si="83"/>
        <v>8.9285714285714274E-2</v>
      </c>
      <c r="M333" s="170">
        <v>30</v>
      </c>
      <c r="N333" s="170">
        <v>40</v>
      </c>
      <c r="O333" s="170">
        <v>10</v>
      </c>
      <c r="P333" s="170">
        <v>160</v>
      </c>
      <c r="Q333" s="17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8">
        <v>614</v>
      </c>
      <c r="B334" s="170" t="str">
        <f t="shared" si="81"/>
        <v>3.25, Row Cond./Roll-Rigid 26'</v>
      </c>
      <c r="C334" s="135">
        <v>3.25</v>
      </c>
      <c r="D334" s="131" t="s">
        <v>440</v>
      </c>
      <c r="E334" s="131" t="s">
        <v>472</v>
      </c>
      <c r="F334" s="131" t="s">
        <v>38</v>
      </c>
      <c r="G334" s="131" t="str">
        <f t="shared" si="82"/>
        <v>Row Cond./Roll-Rigid 26'</v>
      </c>
      <c r="H334" s="244">
        <v>42300</v>
      </c>
      <c r="I334" s="170">
        <v>26</v>
      </c>
      <c r="J334" s="170">
        <v>5.5</v>
      </c>
      <c r="K334" s="170">
        <v>80</v>
      </c>
      <c r="L334" s="171">
        <f t="shared" si="83"/>
        <v>7.2115384615384609E-2</v>
      </c>
      <c r="M334" s="170">
        <v>30</v>
      </c>
      <c r="N334" s="170">
        <v>40</v>
      </c>
      <c r="O334" s="170">
        <v>10</v>
      </c>
      <c r="P334" s="170">
        <v>160</v>
      </c>
      <c r="Q334" s="17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8">
        <v>187</v>
      </c>
      <c r="B335" s="170" t="str">
        <f t="shared" si="81"/>
        <v>3.26, Spin Spreader 5 ton</v>
      </c>
      <c r="C335" s="135">
        <v>3.26</v>
      </c>
      <c r="D335" s="131" t="s">
        <v>440</v>
      </c>
      <c r="E335" s="131" t="s">
        <v>313</v>
      </c>
      <c r="F335" s="131" t="s">
        <v>37</v>
      </c>
      <c r="G335" s="131" t="str">
        <f t="shared" si="82"/>
        <v>Spin Spreader 5 ton</v>
      </c>
      <c r="H335" s="244">
        <v>14500</v>
      </c>
      <c r="I335" s="170">
        <v>40</v>
      </c>
      <c r="J335" s="170">
        <v>7</v>
      </c>
      <c r="K335" s="170">
        <v>70</v>
      </c>
      <c r="L335" s="171">
        <f t="shared" si="83"/>
        <v>4.2091836734693876E-2</v>
      </c>
      <c r="M335" s="170">
        <v>40</v>
      </c>
      <c r="N335" s="170">
        <v>45</v>
      </c>
      <c r="O335" s="170">
        <v>8</v>
      </c>
      <c r="P335" s="170">
        <v>100</v>
      </c>
      <c r="Q335" s="17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8">
        <v>735</v>
      </c>
      <c r="B336" s="170" t="str">
        <f t="shared" si="81"/>
        <v>3.27, Spray (ATV Ropewick) 75"</v>
      </c>
      <c r="C336" s="135">
        <v>3.27</v>
      </c>
      <c r="D336" s="131" t="s">
        <v>440</v>
      </c>
      <c r="E336" s="131" t="s">
        <v>314</v>
      </c>
      <c r="F336" s="131" t="s">
        <v>36</v>
      </c>
      <c r="G336" s="131" t="str">
        <f t="shared" si="82"/>
        <v>Spray (ATV Ropewick) 75"</v>
      </c>
      <c r="H336" s="244">
        <v>730</v>
      </c>
      <c r="I336" s="170">
        <v>6.5</v>
      </c>
      <c r="J336" s="170">
        <v>7.5</v>
      </c>
      <c r="K336" s="170">
        <v>65</v>
      </c>
      <c r="L336" s="171">
        <f t="shared" si="83"/>
        <v>0.26035502958579881</v>
      </c>
      <c r="M336" s="170">
        <v>40</v>
      </c>
      <c r="N336" s="170">
        <v>75</v>
      </c>
      <c r="O336" s="170">
        <v>8</v>
      </c>
      <c r="P336" s="170">
        <v>200</v>
      </c>
      <c r="Q336" s="17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8">
        <v>734</v>
      </c>
      <c r="B337" s="170" t="str">
        <f t="shared" si="81"/>
        <v>3.28, Spray (ATV) 12'/17'</v>
      </c>
      <c r="C337" s="135">
        <v>3.28</v>
      </c>
      <c r="D337" s="131" t="s">
        <v>440</v>
      </c>
      <c r="E337" s="131" t="s">
        <v>315</v>
      </c>
      <c r="F337" s="131" t="s">
        <v>35</v>
      </c>
      <c r="G337" s="131" t="str">
        <f t="shared" si="82"/>
        <v>Spray (ATV) 12'/17'</v>
      </c>
      <c r="H337" s="246">
        <v>2500</v>
      </c>
      <c r="I337" s="170">
        <v>15</v>
      </c>
      <c r="J337" s="170">
        <v>7.5</v>
      </c>
      <c r="K337" s="170">
        <v>65</v>
      </c>
      <c r="L337" s="171">
        <f t="shared" si="83"/>
        <v>0.11282051282051282</v>
      </c>
      <c r="M337" s="170">
        <v>40</v>
      </c>
      <c r="N337" s="170">
        <v>75</v>
      </c>
      <c r="O337" s="170">
        <v>8</v>
      </c>
      <c r="P337" s="170">
        <v>200</v>
      </c>
      <c r="Q337" s="17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8">
        <v>733</v>
      </c>
      <c r="B338" s="170" t="str">
        <f t="shared" si="81"/>
        <v>3.29, Spray (ATV) 20'</v>
      </c>
      <c r="C338" s="135">
        <v>3.29</v>
      </c>
      <c r="D338" s="131" t="s">
        <v>440</v>
      </c>
      <c r="E338" s="131" t="s">
        <v>315</v>
      </c>
      <c r="F338" s="131" t="s">
        <v>8</v>
      </c>
      <c r="G338" s="131" t="str">
        <f t="shared" si="82"/>
        <v>Spray (ATV) 20'</v>
      </c>
      <c r="H338" s="244">
        <v>1440</v>
      </c>
      <c r="I338" s="170">
        <v>20</v>
      </c>
      <c r="J338" s="170">
        <v>7.5</v>
      </c>
      <c r="K338" s="170">
        <v>65</v>
      </c>
      <c r="L338" s="171">
        <f t="shared" si="83"/>
        <v>8.461538461538462E-2</v>
      </c>
      <c r="M338" s="170">
        <v>40</v>
      </c>
      <c r="N338" s="170">
        <v>75</v>
      </c>
      <c r="O338" s="170">
        <v>8</v>
      </c>
      <c r="P338" s="170">
        <v>200</v>
      </c>
      <c r="Q338" s="17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8">
        <v>188</v>
      </c>
      <c r="B339" s="170" t="str">
        <f t="shared" si="81"/>
        <v>3.3, Spray (Band) 27' Fold</v>
      </c>
      <c r="C339" s="135">
        <v>3.3</v>
      </c>
      <c r="D339" s="131" t="s">
        <v>440</v>
      </c>
      <c r="E339" s="131" t="s">
        <v>316</v>
      </c>
      <c r="F339" s="131" t="s">
        <v>29</v>
      </c>
      <c r="G339" s="131" t="str">
        <f t="shared" si="82"/>
        <v>Spray (Band) 27' Fold</v>
      </c>
      <c r="H339" s="244">
        <v>5810</v>
      </c>
      <c r="I339" s="170">
        <v>27</v>
      </c>
      <c r="J339" s="170">
        <v>7.5</v>
      </c>
      <c r="K339" s="170">
        <v>65</v>
      </c>
      <c r="L339" s="171">
        <f t="shared" si="83"/>
        <v>6.2678062678062682E-2</v>
      </c>
      <c r="M339" s="170">
        <v>40</v>
      </c>
      <c r="N339" s="170">
        <v>75</v>
      </c>
      <c r="O339" s="170">
        <v>8</v>
      </c>
      <c r="P339" s="170">
        <v>200</v>
      </c>
      <c r="Q339" s="17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8">
        <v>189</v>
      </c>
      <c r="B340" s="170" t="str">
        <f t="shared" si="81"/>
        <v>3.31, Spray (Band) 40' Fold</v>
      </c>
      <c r="C340" s="135">
        <v>3.31</v>
      </c>
      <c r="D340" s="131" t="s">
        <v>440</v>
      </c>
      <c r="E340" s="131" t="s">
        <v>316</v>
      </c>
      <c r="F340" s="131" t="s">
        <v>26</v>
      </c>
      <c r="G340" s="131" t="str">
        <f t="shared" si="82"/>
        <v>Spray (Band) 40' Fold</v>
      </c>
      <c r="H340" s="244">
        <v>10350</v>
      </c>
      <c r="I340" s="170">
        <v>40</v>
      </c>
      <c r="J340" s="170">
        <v>7.5</v>
      </c>
      <c r="K340" s="170">
        <v>65</v>
      </c>
      <c r="L340" s="171">
        <f t="shared" si="83"/>
        <v>4.230769230769231E-2</v>
      </c>
      <c r="M340" s="170">
        <v>40</v>
      </c>
      <c r="N340" s="170">
        <v>75</v>
      </c>
      <c r="O340" s="170">
        <v>8</v>
      </c>
      <c r="P340" s="170">
        <v>200</v>
      </c>
      <c r="Q340" s="17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8">
        <v>354</v>
      </c>
      <c r="B341" s="170" t="str">
        <f t="shared" si="81"/>
        <v>3.32, Spray (Band) 50' Fold</v>
      </c>
      <c r="C341" s="135">
        <v>3.32</v>
      </c>
      <c r="D341" s="131" t="s">
        <v>440</v>
      </c>
      <c r="E341" s="131" t="s">
        <v>316</v>
      </c>
      <c r="F341" s="131" t="s">
        <v>34</v>
      </c>
      <c r="G341" s="131" t="str">
        <f t="shared" si="82"/>
        <v>Spray (Band) 50' Fold</v>
      </c>
      <c r="H341" s="244">
        <v>9670</v>
      </c>
      <c r="I341" s="170">
        <v>50</v>
      </c>
      <c r="J341" s="170">
        <v>7.5</v>
      </c>
      <c r="K341" s="170">
        <v>65</v>
      </c>
      <c r="L341" s="171">
        <f t="shared" si="83"/>
        <v>3.3846153846153845E-2</v>
      </c>
      <c r="M341" s="170">
        <v>40</v>
      </c>
      <c r="N341" s="170">
        <v>75</v>
      </c>
      <c r="O341" s="170">
        <v>8</v>
      </c>
      <c r="P341" s="170">
        <v>200</v>
      </c>
      <c r="Q341" s="17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8">
        <v>355</v>
      </c>
      <c r="B342" s="170" t="str">
        <f t="shared" si="81"/>
        <v>3.33, Spray (Band) 53' Fold</v>
      </c>
      <c r="C342" s="135">
        <v>3.33</v>
      </c>
      <c r="D342" s="131" t="s">
        <v>440</v>
      </c>
      <c r="E342" s="131" t="s">
        <v>316</v>
      </c>
      <c r="F342" s="131" t="s">
        <v>33</v>
      </c>
      <c r="G342" s="131" t="str">
        <f t="shared" si="82"/>
        <v>Spray (Band) 53' Fold</v>
      </c>
      <c r="H342" s="244">
        <v>12000</v>
      </c>
      <c r="I342" s="170">
        <v>53</v>
      </c>
      <c r="J342" s="170">
        <v>7.5</v>
      </c>
      <c r="K342" s="170">
        <v>65</v>
      </c>
      <c r="L342" s="171">
        <f t="shared" si="83"/>
        <v>3.1930333817126275E-2</v>
      </c>
      <c r="M342" s="170">
        <v>40</v>
      </c>
      <c r="N342" s="170">
        <v>75</v>
      </c>
      <c r="O342" s="170">
        <v>8</v>
      </c>
      <c r="P342" s="170">
        <v>200</v>
      </c>
      <c r="Q342" s="17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8">
        <v>190</v>
      </c>
      <c r="B343" s="170" t="str">
        <f t="shared" si="81"/>
        <v>3.34, Spray (Band) 60' Fold</v>
      </c>
      <c r="C343" s="135">
        <v>3.34</v>
      </c>
      <c r="D343" s="131" t="s">
        <v>440</v>
      </c>
      <c r="E343" s="131" t="s">
        <v>316</v>
      </c>
      <c r="F343" s="131" t="s">
        <v>32</v>
      </c>
      <c r="G343" s="131" t="str">
        <f t="shared" si="82"/>
        <v>Spray (Band) 60' Fold</v>
      </c>
      <c r="H343" s="244">
        <v>18600</v>
      </c>
      <c r="I343" s="170">
        <v>60</v>
      </c>
      <c r="J343" s="170">
        <v>7.5</v>
      </c>
      <c r="K343" s="170">
        <v>65</v>
      </c>
      <c r="L343" s="171">
        <f t="shared" si="83"/>
        <v>2.8205128205128206E-2</v>
      </c>
      <c r="M343" s="170">
        <v>40</v>
      </c>
      <c r="N343" s="170">
        <v>75</v>
      </c>
      <c r="O343" s="170">
        <v>8</v>
      </c>
      <c r="P343" s="170">
        <v>200</v>
      </c>
      <c r="Q343" s="17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8">
        <v>449</v>
      </c>
      <c r="B344" s="170" t="str">
        <f t="shared" si="81"/>
        <v>3.35, Spray (Bcast/HB) 13' Rigid</v>
      </c>
      <c r="C344" s="135">
        <v>3.35</v>
      </c>
      <c r="D344" s="131" t="s">
        <v>440</v>
      </c>
      <c r="E344" s="131" t="s">
        <v>317</v>
      </c>
      <c r="F344" s="131" t="s">
        <v>31</v>
      </c>
      <c r="G344" s="131" t="str">
        <f t="shared" si="82"/>
        <v>Spray (Bcast/HB) 13' Rigid</v>
      </c>
      <c r="H344" s="244">
        <v>9170</v>
      </c>
      <c r="I344" s="170">
        <v>13</v>
      </c>
      <c r="J344" s="170">
        <v>7.5</v>
      </c>
      <c r="K344" s="170">
        <v>65</v>
      </c>
      <c r="L344" s="171">
        <f t="shared" si="83"/>
        <v>0.13017751479289941</v>
      </c>
      <c r="M344" s="170">
        <v>40</v>
      </c>
      <c r="N344" s="170">
        <v>75</v>
      </c>
      <c r="O344" s="170">
        <v>8</v>
      </c>
      <c r="P344" s="170">
        <v>200</v>
      </c>
      <c r="Q344" s="17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8">
        <v>448</v>
      </c>
      <c r="B345" s="170" t="str">
        <f t="shared" si="81"/>
        <v>3.36, Spray (Bcast/HB) 20' Rigid</v>
      </c>
      <c r="C345" s="135">
        <v>3.36</v>
      </c>
      <c r="D345" s="131" t="s">
        <v>440</v>
      </c>
      <c r="E345" s="131" t="s">
        <v>317</v>
      </c>
      <c r="F345" s="131" t="s">
        <v>30</v>
      </c>
      <c r="G345" s="131" t="str">
        <f t="shared" si="82"/>
        <v>Spray (Bcast/HB) 20' Rigid</v>
      </c>
      <c r="H345" s="244">
        <v>10700</v>
      </c>
      <c r="I345" s="170">
        <v>20</v>
      </c>
      <c r="J345" s="170">
        <v>7.5</v>
      </c>
      <c r="K345" s="170">
        <v>65</v>
      </c>
      <c r="L345" s="171">
        <f t="shared" si="83"/>
        <v>8.461538461538462E-2</v>
      </c>
      <c r="M345" s="170">
        <v>40</v>
      </c>
      <c r="N345" s="170">
        <v>75</v>
      </c>
      <c r="O345" s="170">
        <v>8</v>
      </c>
      <c r="P345" s="170">
        <v>200</v>
      </c>
      <c r="Q345" s="17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8">
        <v>292</v>
      </c>
      <c r="B346" s="170" t="str">
        <f t="shared" si="81"/>
        <v>3.37, Spray (Bcast/HB) 27' Fold</v>
      </c>
      <c r="C346" s="135">
        <v>3.37</v>
      </c>
      <c r="D346" s="131" t="s">
        <v>440</v>
      </c>
      <c r="E346" s="131" t="s">
        <v>317</v>
      </c>
      <c r="F346" s="131" t="s">
        <v>29</v>
      </c>
      <c r="G346" s="131" t="str">
        <f t="shared" si="82"/>
        <v>Spray (Bcast/HB) 27' Fold</v>
      </c>
      <c r="H346" s="244">
        <v>13600</v>
      </c>
      <c r="I346" s="170">
        <v>27</v>
      </c>
      <c r="J346" s="170">
        <v>7.5</v>
      </c>
      <c r="K346" s="170">
        <v>65</v>
      </c>
      <c r="L346" s="171">
        <f t="shared" si="83"/>
        <v>6.2678062678062682E-2</v>
      </c>
      <c r="M346" s="170">
        <v>40</v>
      </c>
      <c r="N346" s="170">
        <v>75</v>
      </c>
      <c r="O346" s="170">
        <v>8</v>
      </c>
      <c r="P346" s="170">
        <v>200</v>
      </c>
      <c r="Q346" s="17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8">
        <v>447</v>
      </c>
      <c r="B347" s="170" t="str">
        <f t="shared" si="81"/>
        <v>3.38, Spray (Bcast/HB) 27' Rigid</v>
      </c>
      <c r="C347" s="135">
        <v>3.38</v>
      </c>
      <c r="D347" s="131" t="s">
        <v>440</v>
      </c>
      <c r="E347" s="131" t="s">
        <v>317</v>
      </c>
      <c r="F347" s="131" t="s">
        <v>28</v>
      </c>
      <c r="G347" s="131" t="str">
        <f t="shared" si="82"/>
        <v>Spray (Bcast/HB) 27' Rigid</v>
      </c>
      <c r="H347" s="244">
        <v>12600</v>
      </c>
      <c r="I347" s="170">
        <v>27</v>
      </c>
      <c r="J347" s="170">
        <v>7.5</v>
      </c>
      <c r="K347" s="170">
        <v>65</v>
      </c>
      <c r="L347" s="171">
        <f t="shared" si="83"/>
        <v>6.2678062678062682E-2</v>
      </c>
      <c r="M347" s="170">
        <v>40</v>
      </c>
      <c r="N347" s="170">
        <v>75</v>
      </c>
      <c r="O347" s="170">
        <v>8</v>
      </c>
      <c r="P347" s="170">
        <v>200</v>
      </c>
      <c r="Q347" s="17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8">
        <v>299</v>
      </c>
      <c r="B348" s="170" t="str">
        <f t="shared" si="81"/>
        <v>3.39, Spray (Bcast/HB) 30' Fold</v>
      </c>
      <c r="C348" s="135">
        <v>3.39</v>
      </c>
      <c r="D348" s="131" t="s">
        <v>440</v>
      </c>
      <c r="E348" s="131" t="s">
        <v>317</v>
      </c>
      <c r="F348" s="131" t="s">
        <v>27</v>
      </c>
      <c r="G348" s="131" t="str">
        <f t="shared" si="82"/>
        <v>Spray (Bcast/HB) 30' Fold</v>
      </c>
      <c r="H348" s="244">
        <v>19400</v>
      </c>
      <c r="I348" s="170">
        <v>30</v>
      </c>
      <c r="J348" s="170">
        <v>7.5</v>
      </c>
      <c r="K348" s="170">
        <v>65</v>
      </c>
      <c r="L348" s="171">
        <f t="shared" si="83"/>
        <v>5.6410256410256411E-2</v>
      </c>
      <c r="M348" s="170">
        <v>40</v>
      </c>
      <c r="N348" s="170">
        <v>75</v>
      </c>
      <c r="O348" s="170">
        <v>8</v>
      </c>
      <c r="P348" s="170">
        <v>200</v>
      </c>
      <c r="Q348" s="17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8">
        <v>297</v>
      </c>
      <c r="B349" s="170" t="str">
        <f t="shared" si="81"/>
        <v>3.4, Spray (Bcast/HB) 40' Fold</v>
      </c>
      <c r="C349" s="135">
        <v>3.4</v>
      </c>
      <c r="D349" s="131" t="s">
        <v>440</v>
      </c>
      <c r="E349" s="131" t="s">
        <v>317</v>
      </c>
      <c r="F349" s="131" t="s">
        <v>26</v>
      </c>
      <c r="G349" s="131" t="str">
        <f t="shared" si="82"/>
        <v>Spray (Bcast/HB) 40' Fold</v>
      </c>
      <c r="H349" s="244">
        <v>23200</v>
      </c>
      <c r="I349" s="170">
        <v>40</v>
      </c>
      <c r="J349" s="170">
        <v>7.5</v>
      </c>
      <c r="K349" s="170">
        <v>65</v>
      </c>
      <c r="L349" s="171">
        <f t="shared" si="83"/>
        <v>4.230769230769231E-2</v>
      </c>
      <c r="M349" s="170">
        <v>40</v>
      </c>
      <c r="N349" s="170">
        <v>75</v>
      </c>
      <c r="O349" s="170">
        <v>8</v>
      </c>
      <c r="P349" s="170">
        <v>200</v>
      </c>
      <c r="Q349" s="17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8">
        <v>620</v>
      </c>
      <c r="B350" s="170" t="str">
        <f t="shared" si="81"/>
        <v>3.41, Spray (Bcast/HB/HD) 27'</v>
      </c>
      <c r="C350" s="135">
        <v>3.41</v>
      </c>
      <c r="D350" s="131" t="s">
        <v>440</v>
      </c>
      <c r="E350" s="131" t="s">
        <v>318</v>
      </c>
      <c r="F350" s="131" t="s">
        <v>17</v>
      </c>
      <c r="G350" s="131" t="str">
        <f t="shared" si="82"/>
        <v>Spray (Bcast/HB/HD) 27'</v>
      </c>
      <c r="H350" s="246">
        <v>24000</v>
      </c>
      <c r="I350" s="170">
        <v>27</v>
      </c>
      <c r="J350" s="170">
        <v>7.5</v>
      </c>
      <c r="K350" s="170">
        <v>65</v>
      </c>
      <c r="L350" s="171">
        <f t="shared" si="83"/>
        <v>6.2678062678062682E-2</v>
      </c>
      <c r="M350" s="170">
        <v>40</v>
      </c>
      <c r="N350" s="170">
        <v>75</v>
      </c>
      <c r="O350" s="170">
        <v>8</v>
      </c>
      <c r="P350" s="170">
        <v>200</v>
      </c>
      <c r="Q350" s="17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8">
        <v>309</v>
      </c>
      <c r="B351" s="170" t="str">
        <f t="shared" si="81"/>
        <v>3.42, Spray (Bcast/HB/HD) 40'</v>
      </c>
      <c r="C351" s="135">
        <v>3.42</v>
      </c>
      <c r="D351" s="131" t="s">
        <v>440</v>
      </c>
      <c r="E351" s="131" t="s">
        <v>318</v>
      </c>
      <c r="F351" s="131" t="s">
        <v>16</v>
      </c>
      <c r="G351" s="131" t="str">
        <f t="shared" si="82"/>
        <v>Spray (Bcast/HB/HD) 40'</v>
      </c>
      <c r="H351" s="246">
        <v>27000</v>
      </c>
      <c r="I351" s="170">
        <v>40</v>
      </c>
      <c r="J351" s="170">
        <v>7.5</v>
      </c>
      <c r="K351" s="170">
        <v>65</v>
      </c>
      <c r="L351" s="171">
        <f t="shared" si="83"/>
        <v>4.230769230769231E-2</v>
      </c>
      <c r="M351" s="170">
        <v>40</v>
      </c>
      <c r="N351" s="170">
        <v>75</v>
      </c>
      <c r="O351" s="170">
        <v>8</v>
      </c>
      <c r="P351" s="170">
        <v>200</v>
      </c>
      <c r="Q351" s="17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8">
        <v>191</v>
      </c>
      <c r="B352" s="170" t="str">
        <f t="shared" si="81"/>
        <v>3.43, Spray (Broadcast) 27'</v>
      </c>
      <c r="C352" s="135">
        <v>3.43</v>
      </c>
      <c r="D352" s="131" t="s">
        <v>440</v>
      </c>
      <c r="E352" s="131" t="s">
        <v>319</v>
      </c>
      <c r="F352" s="131" t="s">
        <v>17</v>
      </c>
      <c r="G352" s="131" t="str">
        <f t="shared" si="82"/>
        <v>Spray (Broadcast) 27'</v>
      </c>
      <c r="H352" s="244">
        <v>5810</v>
      </c>
      <c r="I352" s="170">
        <v>27</v>
      </c>
      <c r="J352" s="170">
        <v>7.5</v>
      </c>
      <c r="K352" s="170">
        <v>65</v>
      </c>
      <c r="L352" s="171">
        <f t="shared" si="83"/>
        <v>6.2678062678062682E-2</v>
      </c>
      <c r="M352" s="170">
        <v>40</v>
      </c>
      <c r="N352" s="170">
        <v>75</v>
      </c>
      <c r="O352" s="170">
        <v>8</v>
      </c>
      <c r="P352" s="170">
        <v>200</v>
      </c>
      <c r="Q352" s="17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8">
        <v>192</v>
      </c>
      <c r="B353" s="170" t="str">
        <f t="shared" si="81"/>
        <v>3.44, Spray (Broadcast) 40'</v>
      </c>
      <c r="C353" s="135">
        <v>3.44</v>
      </c>
      <c r="D353" s="131" t="s">
        <v>440</v>
      </c>
      <c r="E353" s="131" t="s">
        <v>319</v>
      </c>
      <c r="F353" s="131" t="s">
        <v>16</v>
      </c>
      <c r="G353" s="131" t="str">
        <f t="shared" si="82"/>
        <v>Spray (Broadcast) 40'</v>
      </c>
      <c r="H353" s="244">
        <v>10350</v>
      </c>
      <c r="I353" s="170">
        <v>40</v>
      </c>
      <c r="J353" s="170">
        <v>7.5</v>
      </c>
      <c r="K353" s="170">
        <v>65</v>
      </c>
      <c r="L353" s="171">
        <f t="shared" si="83"/>
        <v>4.230769230769231E-2</v>
      </c>
      <c r="M353" s="170">
        <v>40</v>
      </c>
      <c r="N353" s="170">
        <v>75</v>
      </c>
      <c r="O353" s="170">
        <v>8</v>
      </c>
      <c r="P353" s="170">
        <v>200</v>
      </c>
      <c r="Q353" s="17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8">
        <v>356</v>
      </c>
      <c r="B354" s="170" t="str">
        <f t="shared" si="81"/>
        <v>3.45, Spray (Broadcast) 50'</v>
      </c>
      <c r="C354" s="135">
        <v>3.45</v>
      </c>
      <c r="D354" s="131" t="s">
        <v>440</v>
      </c>
      <c r="E354" s="131" t="s">
        <v>319</v>
      </c>
      <c r="F354" s="131" t="s">
        <v>15</v>
      </c>
      <c r="G354" s="131" t="str">
        <f t="shared" si="82"/>
        <v>Spray (Broadcast) 50'</v>
      </c>
      <c r="H354" s="244">
        <v>16670</v>
      </c>
      <c r="I354" s="170">
        <v>50</v>
      </c>
      <c r="J354" s="170">
        <v>7.5</v>
      </c>
      <c r="K354" s="170">
        <v>65</v>
      </c>
      <c r="L354" s="171">
        <f t="shared" si="83"/>
        <v>3.3846153846153845E-2</v>
      </c>
      <c r="M354" s="170">
        <v>40</v>
      </c>
      <c r="N354" s="170">
        <v>75</v>
      </c>
      <c r="O354" s="170">
        <v>8</v>
      </c>
      <c r="P354" s="170">
        <v>200</v>
      </c>
      <c r="Q354" s="17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8">
        <v>357</v>
      </c>
      <c r="B355" s="170" t="str">
        <f t="shared" si="81"/>
        <v>3.46, Spray (Broadcast) 53'</v>
      </c>
      <c r="C355" s="135">
        <v>3.46</v>
      </c>
      <c r="D355" s="131" t="s">
        <v>440</v>
      </c>
      <c r="E355" s="131" t="s">
        <v>319</v>
      </c>
      <c r="F355" s="131" t="s">
        <v>14</v>
      </c>
      <c r="G355" s="131" t="str">
        <f t="shared" si="82"/>
        <v>Spray (Broadcast) 53'</v>
      </c>
      <c r="H355" s="244">
        <v>17600</v>
      </c>
      <c r="I355" s="170">
        <v>53</v>
      </c>
      <c r="J355" s="170">
        <v>7.5</v>
      </c>
      <c r="K355" s="170">
        <v>65</v>
      </c>
      <c r="L355" s="171">
        <f t="shared" si="83"/>
        <v>3.1930333817126275E-2</v>
      </c>
      <c r="M355" s="170">
        <v>40</v>
      </c>
      <c r="N355" s="170">
        <v>75</v>
      </c>
      <c r="O355" s="170">
        <v>8</v>
      </c>
      <c r="P355" s="170">
        <v>200</v>
      </c>
      <c r="Q355" s="17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8">
        <v>193</v>
      </c>
      <c r="B356" s="170" t="str">
        <f t="shared" si="81"/>
        <v>3.47, Spray (Broadcast) 60'</v>
      </c>
      <c r="C356" s="135">
        <v>3.47</v>
      </c>
      <c r="D356" s="131" t="s">
        <v>440</v>
      </c>
      <c r="E356" s="131" t="s">
        <v>319</v>
      </c>
      <c r="F356" s="131" t="s">
        <v>13</v>
      </c>
      <c r="G356" s="131" t="str">
        <f t="shared" si="82"/>
        <v>Spray (Broadcast) 60'</v>
      </c>
      <c r="H356" s="244">
        <v>18600</v>
      </c>
      <c r="I356" s="170">
        <v>60</v>
      </c>
      <c r="J356" s="170">
        <v>7.5</v>
      </c>
      <c r="K356" s="170">
        <v>65</v>
      </c>
      <c r="L356" s="171">
        <f t="shared" si="83"/>
        <v>2.8205128205128206E-2</v>
      </c>
      <c r="M356" s="170">
        <v>40</v>
      </c>
      <c r="N356" s="170">
        <v>75</v>
      </c>
      <c r="O356" s="170">
        <v>8</v>
      </c>
      <c r="P356" s="170">
        <v>200</v>
      </c>
      <c r="Q356" s="17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8">
        <v>319</v>
      </c>
      <c r="B357" s="170" t="str">
        <f t="shared" si="81"/>
        <v>3.48, Spray (Direct/Hood)  8R-30</v>
      </c>
      <c r="C357" s="135">
        <v>3.48</v>
      </c>
      <c r="D357" s="131" t="s">
        <v>440</v>
      </c>
      <c r="E357" s="131" t="s">
        <v>320</v>
      </c>
      <c r="F357" s="131" t="s">
        <v>25</v>
      </c>
      <c r="G357" s="131" t="str">
        <f t="shared" si="82"/>
        <v>Spray (Direct/Hood)  8R-30</v>
      </c>
      <c r="H357" s="244">
        <v>19800</v>
      </c>
      <c r="I357" s="170">
        <v>20</v>
      </c>
      <c r="J357" s="170">
        <v>7.5</v>
      </c>
      <c r="K357" s="170">
        <v>65</v>
      </c>
      <c r="L357" s="171">
        <f t="shared" si="83"/>
        <v>8.461538461538462E-2</v>
      </c>
      <c r="M357" s="170">
        <v>40</v>
      </c>
      <c r="N357" s="170">
        <v>75</v>
      </c>
      <c r="O357" s="170">
        <v>8</v>
      </c>
      <c r="P357" s="170">
        <v>200</v>
      </c>
      <c r="Q357" s="17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8">
        <v>8</v>
      </c>
      <c r="B358" s="170" t="str">
        <f t="shared" si="81"/>
        <v>3.49, Spray (Direct/Hood)  8R-36</v>
      </c>
      <c r="C358" s="135">
        <v>3.49</v>
      </c>
      <c r="D358" s="131" t="s">
        <v>440</v>
      </c>
      <c r="E358" s="131" t="s">
        <v>320</v>
      </c>
      <c r="F358" s="131" t="s">
        <v>193</v>
      </c>
      <c r="G358" s="131" t="str">
        <f t="shared" si="82"/>
        <v>Spray (Direct/Hood)  8R-36</v>
      </c>
      <c r="H358" s="244">
        <v>20600</v>
      </c>
      <c r="I358" s="170">
        <v>24</v>
      </c>
      <c r="J358" s="170">
        <v>7.5</v>
      </c>
      <c r="K358" s="170">
        <v>65</v>
      </c>
      <c r="L358" s="171">
        <f t="shared" si="83"/>
        <v>7.0512820512820512E-2</v>
      </c>
      <c r="M358" s="170">
        <v>40</v>
      </c>
      <c r="N358" s="170">
        <v>75</v>
      </c>
      <c r="O358" s="170">
        <v>8</v>
      </c>
      <c r="P358" s="170">
        <v>200</v>
      </c>
      <c r="Q358" s="17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8">
        <v>318</v>
      </c>
      <c r="B359" s="170" t="str">
        <f t="shared" si="81"/>
        <v>3.5, Spray (Direct/Hood) 12R-30</v>
      </c>
      <c r="C359" s="135">
        <v>3.5</v>
      </c>
      <c r="D359" s="131" t="s">
        <v>440</v>
      </c>
      <c r="E359" s="131" t="s">
        <v>320</v>
      </c>
      <c r="F359" s="131" t="s">
        <v>6</v>
      </c>
      <c r="G359" s="131" t="str">
        <f t="shared" si="82"/>
        <v>Spray (Direct/Hood) 12R-30</v>
      </c>
      <c r="H359" s="244">
        <v>27100</v>
      </c>
      <c r="I359" s="170">
        <v>30</v>
      </c>
      <c r="J359" s="170">
        <v>7.5</v>
      </c>
      <c r="K359" s="170">
        <v>65</v>
      </c>
      <c r="L359" s="171">
        <f t="shared" si="83"/>
        <v>5.6410256410256411E-2</v>
      </c>
      <c r="M359" s="170">
        <v>40</v>
      </c>
      <c r="N359" s="170">
        <v>75</v>
      </c>
      <c r="O359" s="170">
        <v>8</v>
      </c>
      <c r="P359" s="170">
        <v>200</v>
      </c>
      <c r="Q359" s="17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8">
        <v>361</v>
      </c>
      <c r="B360" s="170" t="str">
        <f t="shared" si="81"/>
        <v>3.51, Spray (Direct/Hood) 12R-36</v>
      </c>
      <c r="C360" s="135">
        <v>3.51</v>
      </c>
      <c r="D360" s="131" t="s">
        <v>440</v>
      </c>
      <c r="E360" s="131" t="s">
        <v>320</v>
      </c>
      <c r="F360" s="131" t="s">
        <v>194</v>
      </c>
      <c r="G360" s="131" t="str">
        <f t="shared" si="82"/>
        <v>Spray (Direct/Hood) 12R-36</v>
      </c>
      <c r="H360" s="244">
        <v>28200</v>
      </c>
      <c r="I360" s="170">
        <v>36</v>
      </c>
      <c r="J360" s="170">
        <v>7.5</v>
      </c>
      <c r="K360" s="170">
        <v>65</v>
      </c>
      <c r="L360" s="171">
        <f t="shared" si="83"/>
        <v>4.7008547008547008E-2</v>
      </c>
      <c r="M360" s="170">
        <v>40</v>
      </c>
      <c r="N360" s="170">
        <v>75</v>
      </c>
      <c r="O360" s="170">
        <v>8</v>
      </c>
      <c r="P360" s="170">
        <v>200</v>
      </c>
      <c r="Q360" s="17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8">
        <v>360</v>
      </c>
      <c r="B361" s="170" t="str">
        <f t="shared" si="81"/>
        <v>3.52, Spray (Direct/Layby)  8R-30</v>
      </c>
      <c r="C361" s="135">
        <v>3.52</v>
      </c>
      <c r="D361" s="131" t="s">
        <v>440</v>
      </c>
      <c r="E361" s="131" t="s">
        <v>321</v>
      </c>
      <c r="F361" s="131" t="s">
        <v>25</v>
      </c>
      <c r="G361" s="131" t="str">
        <f t="shared" si="82"/>
        <v>Spray (Direct/Layby)  8R-30</v>
      </c>
      <c r="H361" s="244">
        <v>19500</v>
      </c>
      <c r="I361" s="170">
        <v>20</v>
      </c>
      <c r="J361" s="170">
        <v>7.5</v>
      </c>
      <c r="K361" s="170">
        <v>65</v>
      </c>
      <c r="L361" s="171">
        <f t="shared" si="83"/>
        <v>8.461538461538462E-2</v>
      </c>
      <c r="M361" s="170">
        <v>40</v>
      </c>
      <c r="N361" s="170">
        <v>75</v>
      </c>
      <c r="O361" s="170">
        <v>8</v>
      </c>
      <c r="P361" s="170">
        <v>200</v>
      </c>
      <c r="Q361" s="17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8">
        <v>10</v>
      </c>
      <c r="B362" s="170" t="str">
        <f t="shared" si="81"/>
        <v>3.53, Spray (Direct/Layby)  8R-36</v>
      </c>
      <c r="C362" s="135">
        <v>3.53</v>
      </c>
      <c r="D362" s="131" t="s">
        <v>440</v>
      </c>
      <c r="E362" s="131" t="s">
        <v>321</v>
      </c>
      <c r="F362" s="131" t="s">
        <v>193</v>
      </c>
      <c r="G362" s="131" t="str">
        <f t="shared" si="82"/>
        <v>Spray (Direct/Layby)  8R-36</v>
      </c>
      <c r="H362" s="244">
        <v>19500</v>
      </c>
      <c r="I362" s="170">
        <v>24</v>
      </c>
      <c r="J362" s="170">
        <v>7.5</v>
      </c>
      <c r="K362" s="170">
        <v>65</v>
      </c>
      <c r="L362" s="171">
        <f t="shared" si="83"/>
        <v>7.0512820512820512E-2</v>
      </c>
      <c r="M362" s="170">
        <v>40</v>
      </c>
      <c r="N362" s="170">
        <v>75</v>
      </c>
      <c r="O362" s="170">
        <v>8</v>
      </c>
      <c r="P362" s="170">
        <v>200</v>
      </c>
      <c r="Q362" s="17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8">
        <v>11</v>
      </c>
      <c r="B363" s="170" t="str">
        <f t="shared" si="81"/>
        <v>3.54, Spray (Direct/Layby) 10R-30</v>
      </c>
      <c r="C363" s="135">
        <v>3.54</v>
      </c>
      <c r="D363" s="131" t="s">
        <v>440</v>
      </c>
      <c r="E363" s="131" t="s">
        <v>321</v>
      </c>
      <c r="F363" s="131" t="s">
        <v>24</v>
      </c>
      <c r="G363" s="131" t="str">
        <f t="shared" si="82"/>
        <v>Spray (Direct/Layby) 10R-30</v>
      </c>
      <c r="H363" s="246">
        <v>21000</v>
      </c>
      <c r="I363" s="170">
        <v>25</v>
      </c>
      <c r="J363" s="170">
        <v>7.5</v>
      </c>
      <c r="K363" s="170">
        <v>65</v>
      </c>
      <c r="L363" s="171">
        <f t="shared" si="83"/>
        <v>6.7692307692307691E-2</v>
      </c>
      <c r="M363" s="170">
        <v>40</v>
      </c>
      <c r="N363" s="170">
        <v>75</v>
      </c>
      <c r="O363" s="170">
        <v>8</v>
      </c>
      <c r="P363" s="170">
        <v>200</v>
      </c>
      <c r="Q363" s="17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8">
        <v>288</v>
      </c>
      <c r="B364" s="170" t="str">
        <f t="shared" si="81"/>
        <v>3.55, Spray (Direct/Layby) 16R-20</v>
      </c>
      <c r="C364" s="135">
        <v>3.55</v>
      </c>
      <c r="D364" s="131" t="s">
        <v>440</v>
      </c>
      <c r="E364" s="131" t="s">
        <v>321</v>
      </c>
      <c r="F364" s="131" t="s">
        <v>23</v>
      </c>
      <c r="G364" s="131" t="str">
        <f t="shared" si="82"/>
        <v>Spray (Direct/Layby) 16R-20</v>
      </c>
      <c r="H364" s="244">
        <v>34600</v>
      </c>
      <c r="I364" s="170">
        <v>26.7</v>
      </c>
      <c r="J364" s="170">
        <v>7.5</v>
      </c>
      <c r="K364" s="170">
        <v>65</v>
      </c>
      <c r="L364" s="171">
        <f t="shared" si="83"/>
        <v>6.3382310573321804E-2</v>
      </c>
      <c r="M364" s="170">
        <v>40</v>
      </c>
      <c r="N364" s="170">
        <v>75</v>
      </c>
      <c r="O364" s="170">
        <v>8</v>
      </c>
      <c r="P364" s="170">
        <v>200</v>
      </c>
      <c r="Q364" s="17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8">
        <v>363</v>
      </c>
      <c r="B365" s="170" t="str">
        <f t="shared" si="81"/>
        <v>3.56, Spray (Direct/Layby) 12R-30</v>
      </c>
      <c r="C365" s="135">
        <v>3.56</v>
      </c>
      <c r="D365" s="131" t="s">
        <v>440</v>
      </c>
      <c r="E365" s="131" t="s">
        <v>321</v>
      </c>
      <c r="F365" s="131" t="s">
        <v>6</v>
      </c>
      <c r="G365" s="131" t="str">
        <f t="shared" si="82"/>
        <v>Spray (Direct/Layby) 12R-30</v>
      </c>
      <c r="H365" s="244">
        <v>29500</v>
      </c>
      <c r="I365" s="170">
        <v>30</v>
      </c>
      <c r="J365" s="170">
        <v>7.5</v>
      </c>
      <c r="K365" s="170">
        <v>65</v>
      </c>
      <c r="L365" s="171">
        <f t="shared" si="83"/>
        <v>5.6410256410256411E-2</v>
      </c>
      <c r="M365" s="170">
        <v>40</v>
      </c>
      <c r="N365" s="170">
        <v>75</v>
      </c>
      <c r="O365" s="170">
        <v>8</v>
      </c>
      <c r="P365" s="170">
        <v>200</v>
      </c>
      <c r="Q365" s="17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8">
        <v>266</v>
      </c>
      <c r="B366" s="170" t="str">
        <f t="shared" si="81"/>
        <v>3.57, Spray (Direct/Layby)  8R-36 2x1</v>
      </c>
      <c r="C366" s="135">
        <v>3.57</v>
      </c>
      <c r="D366" s="131" t="s">
        <v>440</v>
      </c>
      <c r="E366" s="131" t="s">
        <v>321</v>
      </c>
      <c r="F366" s="131" t="s">
        <v>197</v>
      </c>
      <c r="G366" s="131" t="str">
        <f t="shared" si="82"/>
        <v>Spray (Direct/Layby)  8R-36 2x1</v>
      </c>
      <c r="H366" s="244">
        <v>29500</v>
      </c>
      <c r="I366" s="170">
        <v>36</v>
      </c>
      <c r="J366" s="170">
        <v>7.5</v>
      </c>
      <c r="K366" s="170">
        <v>65</v>
      </c>
      <c r="L366" s="171">
        <f t="shared" si="83"/>
        <v>4.7008547008547008E-2</v>
      </c>
      <c r="M366" s="170">
        <v>40</v>
      </c>
      <c r="N366" s="170">
        <v>75</v>
      </c>
      <c r="O366" s="170">
        <v>8</v>
      </c>
      <c r="P366" s="170">
        <v>200</v>
      </c>
      <c r="Q366" s="17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8">
        <v>12</v>
      </c>
      <c r="B367" s="170" t="str">
        <f t="shared" si="81"/>
        <v>3.58, Spray (Direct/Layby) 12R-36</v>
      </c>
      <c r="C367" s="135">
        <v>3.58</v>
      </c>
      <c r="D367" s="131" t="s">
        <v>440</v>
      </c>
      <c r="E367" s="131" t="s">
        <v>321</v>
      </c>
      <c r="F367" s="131" t="s">
        <v>194</v>
      </c>
      <c r="G367" s="131" t="str">
        <f t="shared" si="82"/>
        <v>Spray (Direct/Layby) 12R-36</v>
      </c>
      <c r="H367" s="244">
        <v>29500</v>
      </c>
      <c r="I367" s="170">
        <v>36</v>
      </c>
      <c r="J367" s="170">
        <v>7.5</v>
      </c>
      <c r="K367" s="170">
        <v>65</v>
      </c>
      <c r="L367" s="171">
        <f t="shared" si="83"/>
        <v>4.7008547008547008E-2</v>
      </c>
      <c r="M367" s="170">
        <v>40</v>
      </c>
      <c r="N367" s="170">
        <v>75</v>
      </c>
      <c r="O367" s="170">
        <v>8</v>
      </c>
      <c r="P367" s="170">
        <v>200</v>
      </c>
      <c r="Q367" s="17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8">
        <v>709</v>
      </c>
      <c r="B368" s="170" t="str">
        <f t="shared" si="81"/>
        <v>3.59, Spray (Levee Leaper) 50'</v>
      </c>
      <c r="C368" s="135">
        <v>3.59</v>
      </c>
      <c r="D368" s="131" t="s">
        <v>440</v>
      </c>
      <c r="E368" s="131" t="s">
        <v>322</v>
      </c>
      <c r="F368" s="131" t="s">
        <v>15</v>
      </c>
      <c r="G368" s="131" t="str">
        <f t="shared" si="82"/>
        <v>Spray (Levee Leaper) 50'</v>
      </c>
      <c r="H368" s="244">
        <v>22200</v>
      </c>
      <c r="I368" s="170">
        <v>50</v>
      </c>
      <c r="J368" s="170">
        <v>7.5</v>
      </c>
      <c r="K368" s="170">
        <v>65</v>
      </c>
      <c r="L368" s="171">
        <f t="shared" si="83"/>
        <v>3.3846153846153845E-2</v>
      </c>
      <c r="M368" s="170">
        <v>40</v>
      </c>
      <c r="N368" s="170">
        <v>75</v>
      </c>
      <c r="O368" s="170">
        <v>8</v>
      </c>
      <c r="P368" s="170">
        <v>200</v>
      </c>
      <c r="Q368" s="17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8">
        <v>703</v>
      </c>
      <c r="B369" s="170" t="str">
        <f t="shared" si="81"/>
        <v>3.6, Spray (Pull Type)  60'</v>
      </c>
      <c r="C369" s="135">
        <v>3.6</v>
      </c>
      <c r="D369" s="131" t="s">
        <v>440</v>
      </c>
      <c r="E369" s="131" t="s">
        <v>323</v>
      </c>
      <c r="F369" s="131" t="s">
        <v>22</v>
      </c>
      <c r="G369" s="131" t="str">
        <f t="shared" si="82"/>
        <v>Spray (Pull Type)  60'</v>
      </c>
      <c r="H369" s="244">
        <v>75100</v>
      </c>
      <c r="I369" s="170">
        <v>60</v>
      </c>
      <c r="J369" s="170">
        <v>7.5</v>
      </c>
      <c r="K369" s="170">
        <v>65</v>
      </c>
      <c r="L369" s="171">
        <f t="shared" si="83"/>
        <v>2.8205128205128206E-2</v>
      </c>
      <c r="M369" s="170">
        <v>40</v>
      </c>
      <c r="N369" s="170">
        <v>75</v>
      </c>
      <c r="O369" s="170">
        <v>8</v>
      </c>
      <c r="P369" s="170">
        <v>200</v>
      </c>
      <c r="Q369" s="17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8">
        <v>704</v>
      </c>
      <c r="B370" s="170" t="str">
        <f t="shared" si="81"/>
        <v>3.61, Spray (Pull Type)  80'</v>
      </c>
      <c r="C370" s="135">
        <v>3.61</v>
      </c>
      <c r="D370" s="131" t="s">
        <v>440</v>
      </c>
      <c r="E370" s="131" t="s">
        <v>323</v>
      </c>
      <c r="F370" s="131" t="s">
        <v>21</v>
      </c>
      <c r="G370" s="131" t="str">
        <f t="shared" si="82"/>
        <v>Spray (Pull Type)  80'</v>
      </c>
      <c r="H370" s="244">
        <v>69400</v>
      </c>
      <c r="I370" s="170">
        <v>80</v>
      </c>
      <c r="J370" s="170">
        <v>7.5</v>
      </c>
      <c r="K370" s="170">
        <v>65</v>
      </c>
      <c r="L370" s="171">
        <f t="shared" si="83"/>
        <v>2.1153846153846155E-2</v>
      </c>
      <c r="M370" s="170">
        <v>40</v>
      </c>
      <c r="N370" s="170">
        <v>75</v>
      </c>
      <c r="O370" s="170">
        <v>8</v>
      </c>
      <c r="P370" s="170">
        <v>200</v>
      </c>
      <c r="Q370" s="17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8">
        <v>705</v>
      </c>
      <c r="B371" s="170" t="str">
        <f t="shared" si="81"/>
        <v>3.62, Spray (Pull Type)  90'</v>
      </c>
      <c r="C371" s="135">
        <v>3.62</v>
      </c>
      <c r="D371" s="131" t="s">
        <v>440</v>
      </c>
      <c r="E371" s="131" t="s">
        <v>323</v>
      </c>
      <c r="F371" s="131" t="s">
        <v>20</v>
      </c>
      <c r="G371" s="131" t="str">
        <f t="shared" si="82"/>
        <v>Spray (Pull Type)  90'</v>
      </c>
      <c r="H371" s="244">
        <v>70400</v>
      </c>
      <c r="I371" s="170">
        <v>90</v>
      </c>
      <c r="J371" s="170">
        <v>7.5</v>
      </c>
      <c r="K371" s="170">
        <v>65</v>
      </c>
      <c r="L371" s="171">
        <f t="shared" si="83"/>
        <v>1.8803418803418803E-2</v>
      </c>
      <c r="M371" s="170">
        <v>40</v>
      </c>
      <c r="N371" s="170">
        <v>75</v>
      </c>
      <c r="O371" s="170">
        <v>8</v>
      </c>
      <c r="P371" s="170">
        <v>200</v>
      </c>
      <c r="Q371" s="17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8">
        <v>706</v>
      </c>
      <c r="B372" s="170" t="str">
        <f t="shared" si="81"/>
        <v>3.63, Spray (Pull Type) 100'</v>
      </c>
      <c r="C372" s="135">
        <v>3.63</v>
      </c>
      <c r="D372" s="131" t="s">
        <v>440</v>
      </c>
      <c r="E372" s="131" t="s">
        <v>323</v>
      </c>
      <c r="F372" s="131" t="s">
        <v>19</v>
      </c>
      <c r="G372" s="131" t="str">
        <f t="shared" si="82"/>
        <v>Spray (Pull Type) 100'</v>
      </c>
      <c r="H372" s="246">
        <v>95000</v>
      </c>
      <c r="I372" s="170">
        <v>100</v>
      </c>
      <c r="J372" s="170">
        <v>7.5</v>
      </c>
      <c r="K372" s="170">
        <v>65</v>
      </c>
      <c r="L372" s="171">
        <f t="shared" si="83"/>
        <v>1.6923076923076923E-2</v>
      </c>
      <c r="M372" s="170">
        <v>40</v>
      </c>
      <c r="N372" s="170">
        <v>75</v>
      </c>
      <c r="O372" s="170">
        <v>8</v>
      </c>
      <c r="P372" s="170">
        <v>200</v>
      </c>
      <c r="Q372" s="17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8">
        <v>707</v>
      </c>
      <c r="B373" s="170" t="str">
        <f t="shared" si="81"/>
        <v>3.64, Spray (Pull Type) 120'</v>
      </c>
      <c r="C373" s="135">
        <v>3.64</v>
      </c>
      <c r="D373" s="131" t="s">
        <v>440</v>
      </c>
      <c r="E373" s="131" t="s">
        <v>323</v>
      </c>
      <c r="F373" s="131" t="s">
        <v>18</v>
      </c>
      <c r="G373" s="131" t="str">
        <f t="shared" si="82"/>
        <v>Spray (Pull Type) 120'</v>
      </c>
      <c r="H373" s="244">
        <v>127000</v>
      </c>
      <c r="I373" s="170">
        <v>120</v>
      </c>
      <c r="J373" s="170">
        <v>7.5</v>
      </c>
      <c r="K373" s="170">
        <v>65</v>
      </c>
      <c r="L373" s="171">
        <f t="shared" si="83"/>
        <v>1.4102564102564103E-2</v>
      </c>
      <c r="M373" s="170">
        <v>40</v>
      </c>
      <c r="N373" s="170">
        <v>75</v>
      </c>
      <c r="O373" s="170">
        <v>8</v>
      </c>
      <c r="P373" s="170">
        <v>200</v>
      </c>
      <c r="Q373" s="17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8">
        <v>708</v>
      </c>
      <c r="B374" s="170" t="str">
        <f t="shared" si="81"/>
        <v>3.65, Spray (Ropewick) 20'</v>
      </c>
      <c r="C374" s="135">
        <v>3.65</v>
      </c>
      <c r="D374" s="131" t="s">
        <v>440</v>
      </c>
      <c r="E374" s="131" t="s">
        <v>324</v>
      </c>
      <c r="F374" s="131" t="s">
        <v>8</v>
      </c>
      <c r="G374" s="131" t="str">
        <f t="shared" si="82"/>
        <v>Spray (Ropewick) 20'</v>
      </c>
      <c r="H374" s="244">
        <v>3630</v>
      </c>
      <c r="I374" s="170">
        <v>20</v>
      </c>
      <c r="J374" s="170">
        <v>7.5</v>
      </c>
      <c r="K374" s="170">
        <v>65</v>
      </c>
      <c r="L374" s="171">
        <f t="shared" si="83"/>
        <v>8.461538461538462E-2</v>
      </c>
      <c r="M374" s="170">
        <v>40</v>
      </c>
      <c r="N374" s="170">
        <v>75</v>
      </c>
      <c r="O374" s="170">
        <v>8</v>
      </c>
      <c r="P374" s="170">
        <v>200</v>
      </c>
      <c r="Q374" s="17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8">
        <v>194</v>
      </c>
      <c r="B375" s="170" t="str">
        <f t="shared" si="81"/>
        <v>3.66, Spray (Spot) 27'</v>
      </c>
      <c r="C375" s="135">
        <v>3.66</v>
      </c>
      <c r="D375" s="131" t="s">
        <v>440</v>
      </c>
      <c r="E375" s="131" t="s">
        <v>325</v>
      </c>
      <c r="F375" s="131" t="s">
        <v>17</v>
      </c>
      <c r="G375" s="131" t="str">
        <f t="shared" si="82"/>
        <v>Spray (Spot) 27'</v>
      </c>
      <c r="H375" s="244">
        <v>5810</v>
      </c>
      <c r="I375" s="170">
        <v>27</v>
      </c>
      <c r="J375" s="170">
        <v>7.5</v>
      </c>
      <c r="K375" s="170">
        <v>65</v>
      </c>
      <c r="L375" s="171">
        <f t="shared" si="83"/>
        <v>6.2678062678062682E-2</v>
      </c>
      <c r="M375" s="170">
        <v>40</v>
      </c>
      <c r="N375" s="170">
        <v>75</v>
      </c>
      <c r="O375" s="170">
        <v>8</v>
      </c>
      <c r="P375" s="170">
        <v>200</v>
      </c>
      <c r="Q375" s="17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8">
        <v>195</v>
      </c>
      <c r="B376" s="170" t="str">
        <f t="shared" si="81"/>
        <v>3.67, Spray (Spot) 40'</v>
      </c>
      <c r="C376" s="135">
        <v>3.67</v>
      </c>
      <c r="D376" s="131" t="s">
        <v>440</v>
      </c>
      <c r="E376" s="131" t="s">
        <v>325</v>
      </c>
      <c r="F376" s="131" t="s">
        <v>16</v>
      </c>
      <c r="G376" s="131" t="str">
        <f t="shared" si="82"/>
        <v>Spray (Spot) 40'</v>
      </c>
      <c r="H376" s="244">
        <v>10350</v>
      </c>
      <c r="I376" s="170">
        <v>40</v>
      </c>
      <c r="J376" s="170">
        <v>7.5</v>
      </c>
      <c r="K376" s="170">
        <v>65</v>
      </c>
      <c r="L376" s="171">
        <f t="shared" si="83"/>
        <v>4.230769230769231E-2</v>
      </c>
      <c r="M376" s="170">
        <v>40</v>
      </c>
      <c r="N376" s="170">
        <v>75</v>
      </c>
      <c r="O376" s="170">
        <v>8</v>
      </c>
      <c r="P376" s="170">
        <v>200</v>
      </c>
      <c r="Q376" s="17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8">
        <v>358</v>
      </c>
      <c r="B377" s="170" t="str">
        <f t="shared" si="81"/>
        <v>3.68, Spray (Spot) 50'</v>
      </c>
      <c r="C377" s="135">
        <v>3.68</v>
      </c>
      <c r="D377" s="131" t="s">
        <v>440</v>
      </c>
      <c r="E377" s="131" t="s">
        <v>325</v>
      </c>
      <c r="F377" s="131" t="s">
        <v>15</v>
      </c>
      <c r="G377" s="131" t="str">
        <f t="shared" si="82"/>
        <v>Spray (Spot) 50'</v>
      </c>
      <c r="H377" s="244">
        <v>11500</v>
      </c>
      <c r="I377" s="170">
        <v>50</v>
      </c>
      <c r="J377" s="170">
        <v>7.5</v>
      </c>
      <c r="K377" s="170">
        <v>65</v>
      </c>
      <c r="L377" s="171">
        <f t="shared" si="83"/>
        <v>3.3846153846153845E-2</v>
      </c>
      <c r="M377" s="170">
        <v>40</v>
      </c>
      <c r="N377" s="170">
        <v>75</v>
      </c>
      <c r="O377" s="170">
        <v>8</v>
      </c>
      <c r="P377" s="170">
        <v>200</v>
      </c>
      <c r="Q377" s="17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8">
        <v>359</v>
      </c>
      <c r="B378" s="170" t="str">
        <f t="shared" si="81"/>
        <v>3.69, Spray (Spot) 53'</v>
      </c>
      <c r="C378" s="135">
        <v>3.69</v>
      </c>
      <c r="D378" s="131" t="s">
        <v>440</v>
      </c>
      <c r="E378" s="131" t="s">
        <v>325</v>
      </c>
      <c r="F378" s="131" t="s">
        <v>14</v>
      </c>
      <c r="G378" s="131" t="str">
        <f t="shared" si="82"/>
        <v>Spray (Spot) 53'</v>
      </c>
      <c r="H378" s="246">
        <v>12500</v>
      </c>
      <c r="I378" s="170">
        <v>53</v>
      </c>
      <c r="J378" s="170">
        <v>7.5</v>
      </c>
      <c r="K378" s="170">
        <v>65</v>
      </c>
      <c r="L378" s="171">
        <f t="shared" si="83"/>
        <v>3.1930333817126275E-2</v>
      </c>
      <c r="M378" s="170">
        <v>40</v>
      </c>
      <c r="N378" s="170">
        <v>75</v>
      </c>
      <c r="O378" s="170">
        <v>8</v>
      </c>
      <c r="P378" s="170">
        <v>200</v>
      </c>
      <c r="Q378" s="17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8">
        <v>196</v>
      </c>
      <c r="B379" s="170" t="str">
        <f t="shared" si="81"/>
        <v>3.7, Spray (Spot) 60'</v>
      </c>
      <c r="C379" s="135">
        <v>3.7</v>
      </c>
      <c r="D379" s="131" t="s">
        <v>440</v>
      </c>
      <c r="E379" s="131" t="s">
        <v>325</v>
      </c>
      <c r="F379" s="131" t="s">
        <v>13</v>
      </c>
      <c r="G379" s="131" t="str">
        <f t="shared" si="82"/>
        <v>Spray (Spot) 60'</v>
      </c>
      <c r="H379" s="244">
        <v>18600</v>
      </c>
      <c r="I379" s="170">
        <v>60</v>
      </c>
      <c r="J379" s="170">
        <v>7.5</v>
      </c>
      <c r="K379" s="170">
        <v>65</v>
      </c>
      <c r="L379" s="171">
        <f t="shared" si="83"/>
        <v>2.8205128205128206E-2</v>
      </c>
      <c r="M379" s="170">
        <v>40</v>
      </c>
      <c r="N379" s="170">
        <v>75</v>
      </c>
      <c r="O379" s="170">
        <v>8</v>
      </c>
      <c r="P379" s="170">
        <v>200</v>
      </c>
      <c r="Q379" s="17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8"/>
      <c r="B380" s="170" t="str">
        <f t="shared" si="81"/>
        <v>3.71, ST Plant Rigid 6R-36</v>
      </c>
      <c r="C380" s="135">
        <v>3.71</v>
      </c>
      <c r="D380" s="131" t="s">
        <v>440</v>
      </c>
      <c r="E380" s="131" t="s">
        <v>421</v>
      </c>
      <c r="F380" s="131" t="s">
        <v>200</v>
      </c>
      <c r="G380" s="131" t="str">
        <f t="shared" si="82"/>
        <v>ST Plant Rigid 6R-36</v>
      </c>
      <c r="H380" s="248">
        <v>45000</v>
      </c>
      <c r="I380" s="170">
        <v>18</v>
      </c>
      <c r="J380" s="170">
        <v>4.5</v>
      </c>
      <c r="K380" s="170">
        <v>70</v>
      </c>
      <c r="L380" s="171">
        <f t="shared" si="83"/>
        <v>0.14550264550264549</v>
      </c>
      <c r="M380" s="170">
        <v>45</v>
      </c>
      <c r="N380" s="170">
        <v>45</v>
      </c>
      <c r="O380" s="170">
        <v>10</v>
      </c>
      <c r="P380" s="170">
        <v>150</v>
      </c>
      <c r="Q380" s="17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8"/>
      <c r="B381" s="170" t="str">
        <f t="shared" si="81"/>
        <v>3.72, ST Plant Rigid 8R-36</v>
      </c>
      <c r="C381" s="135">
        <v>3.72</v>
      </c>
      <c r="D381" s="131" t="s">
        <v>440</v>
      </c>
      <c r="E381" s="131" t="s">
        <v>421</v>
      </c>
      <c r="F381" s="131" t="s">
        <v>199</v>
      </c>
      <c r="G381" s="131" t="str">
        <f t="shared" si="82"/>
        <v>ST Plant Rigid 8R-36</v>
      </c>
      <c r="H381" s="248">
        <v>51500</v>
      </c>
      <c r="I381" s="170">
        <v>24</v>
      </c>
      <c r="J381" s="170">
        <v>4.5</v>
      </c>
      <c r="K381" s="170">
        <v>70</v>
      </c>
      <c r="L381" s="171">
        <f t="shared" si="83"/>
        <v>0.10912698412698414</v>
      </c>
      <c r="M381" s="170">
        <v>45</v>
      </c>
      <c r="N381" s="170">
        <v>45</v>
      </c>
      <c r="O381" s="170">
        <v>10</v>
      </c>
      <c r="P381" s="170">
        <v>150</v>
      </c>
      <c r="Q381" s="17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8"/>
      <c r="B382" s="170" t="str">
        <f t="shared" si="81"/>
        <v>3.721, Strip Till 8R-36</v>
      </c>
      <c r="C382" s="135">
        <v>3.7210000000000001</v>
      </c>
      <c r="D382" s="131" t="s">
        <v>440</v>
      </c>
      <c r="E382" s="131" t="s">
        <v>326</v>
      </c>
      <c r="F382" s="131" t="s">
        <v>199</v>
      </c>
      <c r="G382" s="131" t="str">
        <f t="shared" si="82"/>
        <v>Strip Till 8R-36</v>
      </c>
      <c r="H382" s="244">
        <v>71400</v>
      </c>
      <c r="I382" s="170">
        <v>24</v>
      </c>
      <c r="J382" s="170">
        <v>5.25</v>
      </c>
      <c r="K382" s="170">
        <v>85</v>
      </c>
      <c r="L382" s="171">
        <f t="shared" si="83"/>
        <v>7.7030812324929962E-2</v>
      </c>
      <c r="M382" s="170">
        <v>30</v>
      </c>
      <c r="N382" s="170">
        <v>65</v>
      </c>
      <c r="O382" s="170">
        <v>10</v>
      </c>
      <c r="P382" s="17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8"/>
      <c r="B383" s="170" t="str">
        <f t="shared" si="81"/>
        <v>3.725, Strip Till 12R-36</v>
      </c>
      <c r="C383" s="135">
        <v>3.7250000000000001</v>
      </c>
      <c r="D383" s="131" t="s">
        <v>440</v>
      </c>
      <c r="E383" s="131" t="s">
        <v>326</v>
      </c>
      <c r="F383" s="131" t="s">
        <v>194</v>
      </c>
      <c r="G383" s="131" t="str">
        <f t="shared" si="82"/>
        <v>Strip Till 12R-36</v>
      </c>
      <c r="H383" s="244">
        <v>122000</v>
      </c>
      <c r="I383" s="170">
        <v>36</v>
      </c>
      <c r="J383" s="170">
        <v>5.25</v>
      </c>
      <c r="K383" s="170">
        <v>85</v>
      </c>
      <c r="L383" s="171">
        <f t="shared" si="83"/>
        <v>5.1353874883286646E-2</v>
      </c>
      <c r="M383" s="170">
        <v>30</v>
      </c>
      <c r="N383" s="170">
        <v>65</v>
      </c>
      <c r="O383" s="170">
        <v>10</v>
      </c>
      <c r="P383" s="17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8">
        <v>693</v>
      </c>
      <c r="B384" s="170" t="str">
        <f t="shared" si="81"/>
        <v>3.73, Strip Till 12R-30</v>
      </c>
      <c r="C384" s="135">
        <v>3.73</v>
      </c>
      <c r="D384" s="131" t="s">
        <v>440</v>
      </c>
      <c r="E384" s="131" t="s">
        <v>326</v>
      </c>
      <c r="F384" s="131" t="s">
        <v>6</v>
      </c>
      <c r="G384" s="131" t="str">
        <f t="shared" si="82"/>
        <v>Strip Till 12R-30</v>
      </c>
      <c r="H384" s="244">
        <v>121000</v>
      </c>
      <c r="I384" s="170">
        <v>30</v>
      </c>
      <c r="J384" s="170">
        <v>5.25</v>
      </c>
      <c r="K384" s="170">
        <v>85</v>
      </c>
      <c r="L384" s="171">
        <f t="shared" si="83"/>
        <v>6.1624649859943981E-2</v>
      </c>
      <c r="M384" s="170">
        <v>30</v>
      </c>
      <c r="N384" s="170">
        <v>65</v>
      </c>
      <c r="O384" s="170">
        <v>10</v>
      </c>
      <c r="P384" s="170">
        <v>150</v>
      </c>
      <c r="Q384" s="17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8">
        <v>202</v>
      </c>
      <c r="B385" s="170" t="str">
        <f t="shared" si="81"/>
        <v>3.74, Subsoiler 3 shank</v>
      </c>
      <c r="C385" s="135">
        <v>3.74</v>
      </c>
      <c r="D385" s="131" t="s">
        <v>440</v>
      </c>
      <c r="E385" s="131" t="s">
        <v>327</v>
      </c>
      <c r="F385" s="131" t="s">
        <v>5</v>
      </c>
      <c r="G385" s="131" t="str">
        <f t="shared" si="82"/>
        <v>Subsoiler 3 shank</v>
      </c>
      <c r="H385" s="244">
        <v>6140</v>
      </c>
      <c r="I385" s="170">
        <v>10</v>
      </c>
      <c r="J385" s="170">
        <v>4.75</v>
      </c>
      <c r="K385" s="170">
        <v>85</v>
      </c>
      <c r="L385" s="171">
        <f t="shared" si="83"/>
        <v>0.20433436532507743</v>
      </c>
      <c r="M385" s="170">
        <v>30</v>
      </c>
      <c r="N385" s="170">
        <v>50</v>
      </c>
      <c r="O385" s="170">
        <v>15</v>
      </c>
      <c r="P385" s="170">
        <v>100</v>
      </c>
      <c r="Q385" s="17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8">
        <v>217</v>
      </c>
      <c r="B386" s="170" t="str">
        <f t="shared" si="81"/>
        <v>3.75, Subsoiler 4 shank</v>
      </c>
      <c r="C386" s="135">
        <v>3.75</v>
      </c>
      <c r="D386" s="131" t="s">
        <v>440</v>
      </c>
      <c r="E386" s="131" t="s">
        <v>327</v>
      </c>
      <c r="F386" s="131" t="s">
        <v>3</v>
      </c>
      <c r="G386" s="131" t="str">
        <f t="shared" si="82"/>
        <v>Subsoiler 4 shank</v>
      </c>
      <c r="H386" s="244">
        <v>15100</v>
      </c>
      <c r="I386" s="170">
        <v>13.3</v>
      </c>
      <c r="J386" s="170">
        <v>4.75</v>
      </c>
      <c r="K386" s="170">
        <v>85</v>
      </c>
      <c r="L386" s="171">
        <f t="shared" si="83"/>
        <v>0.15363486114667477</v>
      </c>
      <c r="M386" s="170">
        <v>30</v>
      </c>
      <c r="N386" s="170">
        <v>50</v>
      </c>
      <c r="O386" s="170">
        <v>15</v>
      </c>
      <c r="P386" s="170">
        <v>100</v>
      </c>
      <c r="Q386" s="17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8">
        <v>203</v>
      </c>
      <c r="B387" s="170" t="str">
        <f t="shared" si="81"/>
        <v>3.76, Subsoiler 5 shank</v>
      </c>
      <c r="C387" s="135">
        <v>3.76</v>
      </c>
      <c r="D387" s="131" t="s">
        <v>440</v>
      </c>
      <c r="E387" s="131" t="s">
        <v>327</v>
      </c>
      <c r="F387" s="131" t="s">
        <v>4</v>
      </c>
      <c r="G387" s="131" t="str">
        <f t="shared" si="82"/>
        <v>Subsoiler 5 shank</v>
      </c>
      <c r="H387" s="244">
        <v>18600</v>
      </c>
      <c r="I387" s="170">
        <v>16.7</v>
      </c>
      <c r="J387" s="170">
        <v>4.75</v>
      </c>
      <c r="K387" s="170">
        <v>85</v>
      </c>
      <c r="L387" s="171">
        <f t="shared" si="83"/>
        <v>0.12235590738028589</v>
      </c>
      <c r="M387" s="170">
        <v>30</v>
      </c>
      <c r="N387" s="170">
        <v>50</v>
      </c>
      <c r="O387" s="170">
        <v>15</v>
      </c>
      <c r="P387" s="170">
        <v>100</v>
      </c>
      <c r="Q387" s="17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8">
        <v>218</v>
      </c>
      <c r="B388" s="170" t="str">
        <f t="shared" si="81"/>
        <v>3.77, Subsoiler low-till 4 shank</v>
      </c>
      <c r="C388" s="135">
        <v>3.77</v>
      </c>
      <c r="D388" s="131" t="s">
        <v>440</v>
      </c>
      <c r="E388" s="131" t="s">
        <v>328</v>
      </c>
      <c r="F388" s="131" t="s">
        <v>3</v>
      </c>
      <c r="G388" s="131" t="str">
        <f t="shared" si="82"/>
        <v>Subsoiler low-till 4 shank</v>
      </c>
      <c r="H388" s="248">
        <v>19200</v>
      </c>
      <c r="I388" s="170">
        <v>13.3</v>
      </c>
      <c r="J388" s="170">
        <v>4.75</v>
      </c>
      <c r="K388" s="170">
        <v>85</v>
      </c>
      <c r="L388" s="171">
        <f t="shared" si="83"/>
        <v>0.15363486114667477</v>
      </c>
      <c r="M388" s="170">
        <v>30</v>
      </c>
      <c r="N388" s="170">
        <v>50</v>
      </c>
      <c r="O388" s="170">
        <v>15</v>
      </c>
      <c r="P388" s="170">
        <v>100</v>
      </c>
      <c r="Q388" s="17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8">
        <v>219</v>
      </c>
      <c r="B389" s="170" t="str">
        <f t="shared" si="81"/>
        <v>3.78, Subsoiler low-till 6 shank</v>
      </c>
      <c r="C389" s="135">
        <v>3.78</v>
      </c>
      <c r="D389" s="131" t="s">
        <v>440</v>
      </c>
      <c r="E389" s="131" t="s">
        <v>328</v>
      </c>
      <c r="F389" s="131" t="s">
        <v>2</v>
      </c>
      <c r="G389" s="131" t="str">
        <f t="shared" si="82"/>
        <v>Subsoiler low-till 6 shank</v>
      </c>
      <c r="H389" s="244">
        <v>25700</v>
      </c>
      <c r="I389" s="170">
        <v>20</v>
      </c>
      <c r="J389" s="170">
        <v>4.75</v>
      </c>
      <c r="K389" s="170">
        <v>85</v>
      </c>
      <c r="L389" s="171">
        <f t="shared" si="83"/>
        <v>0.10216718266253871</v>
      </c>
      <c r="M389" s="170">
        <v>30</v>
      </c>
      <c r="N389" s="170">
        <v>50</v>
      </c>
      <c r="O389" s="170">
        <v>15</v>
      </c>
      <c r="P389" s="170">
        <v>100</v>
      </c>
      <c r="Q389" s="17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8">
        <v>311</v>
      </c>
      <c r="B390" s="170" t="str">
        <f t="shared" si="81"/>
        <v>3.79, Subsoiler low-till 8 shank</v>
      </c>
      <c r="C390" s="135">
        <v>3.79</v>
      </c>
      <c r="D390" s="131" t="s">
        <v>440</v>
      </c>
      <c r="E390" s="131" t="s">
        <v>328</v>
      </c>
      <c r="F390" s="131" t="s">
        <v>1</v>
      </c>
      <c r="G390" s="131" t="str">
        <f t="shared" si="82"/>
        <v>Subsoiler low-till 8 shank</v>
      </c>
      <c r="H390" s="244">
        <v>28200</v>
      </c>
      <c r="I390" s="170">
        <v>26.7</v>
      </c>
      <c r="J390" s="170">
        <v>4.75</v>
      </c>
      <c r="K390" s="170">
        <v>85</v>
      </c>
      <c r="L390" s="171">
        <f t="shared" si="83"/>
        <v>7.6529724840852964E-2</v>
      </c>
      <c r="M390" s="170">
        <v>30</v>
      </c>
      <c r="N390" s="170">
        <v>50</v>
      </c>
      <c r="O390" s="170">
        <v>15</v>
      </c>
      <c r="P390" s="170">
        <v>100</v>
      </c>
      <c r="Q390" s="17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31"/>
      <c r="H391" s="246"/>
    </row>
    <row r="392" spans="1:32" x14ac:dyDescent="0.2">
      <c r="D392" s="131"/>
      <c r="H392" s="246"/>
    </row>
    <row r="393" spans="1:32" x14ac:dyDescent="0.2">
      <c r="A393" s="178">
        <v>268</v>
      </c>
      <c r="B393" s="170" t="str">
        <f t="shared" ref="B393:B456" si="98">CONCATENATE(C393,D393,E393,F393)</f>
        <v>0.01, Boll Buggy 4R-30 (250)</v>
      </c>
      <c r="C393" s="135">
        <v>0.01</v>
      </c>
      <c r="D393" s="131" t="s">
        <v>440</v>
      </c>
      <c r="E393" s="131" t="s">
        <v>329</v>
      </c>
      <c r="F393" s="131" t="s">
        <v>221</v>
      </c>
      <c r="G393" s="131" t="str">
        <f t="shared" ref="G393:G456" si="99">CONCATENATE(E393,F393)</f>
        <v>Boll Buggy 4R-30 (250)</v>
      </c>
      <c r="H393" s="244">
        <v>30500</v>
      </c>
      <c r="I393" s="170">
        <v>10</v>
      </c>
      <c r="J393" s="170">
        <v>3.6</v>
      </c>
      <c r="K393" s="170">
        <v>70</v>
      </c>
      <c r="L393" s="171">
        <f t="shared" ref="L393:L414" si="100">1/((I393*J393*K393/100*5280)/43560)</f>
        <v>0.32738095238095238</v>
      </c>
      <c r="M393" s="170">
        <v>35</v>
      </c>
      <c r="N393" s="170">
        <v>50</v>
      </c>
      <c r="O393" s="170">
        <v>10</v>
      </c>
      <c r="P393" s="170">
        <v>200</v>
      </c>
      <c r="Q393" s="17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8">
        <v>465</v>
      </c>
      <c r="B394" s="170" t="str">
        <f t="shared" si="98"/>
        <v>0.02, Boll Buggy 4R-30 (325)</v>
      </c>
      <c r="C394" s="135">
        <v>0.02</v>
      </c>
      <c r="D394" s="131" t="s">
        <v>440</v>
      </c>
      <c r="E394" s="131" t="s">
        <v>329</v>
      </c>
      <c r="F394" s="131" t="s">
        <v>345</v>
      </c>
      <c r="G394" s="131" t="str">
        <f t="shared" si="99"/>
        <v>Boll Buggy 4R-30 (325)</v>
      </c>
      <c r="H394" s="244">
        <v>30500</v>
      </c>
      <c r="I394" s="170">
        <v>10</v>
      </c>
      <c r="J394" s="170">
        <v>3.6</v>
      </c>
      <c r="K394" s="170">
        <v>70</v>
      </c>
      <c r="L394" s="171">
        <f t="shared" si="100"/>
        <v>0.32738095238095238</v>
      </c>
      <c r="M394" s="170">
        <v>35</v>
      </c>
      <c r="N394" s="170">
        <v>50</v>
      </c>
      <c r="O394" s="170">
        <v>10</v>
      </c>
      <c r="P394" s="170">
        <v>200</v>
      </c>
      <c r="Q394" s="17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8">
        <v>229</v>
      </c>
      <c r="B395" s="170" t="str">
        <f t="shared" si="98"/>
        <v>0.03, Boll Buggy 4R-36 (255)</v>
      </c>
      <c r="C395" s="135">
        <v>0.03</v>
      </c>
      <c r="D395" s="131" t="s">
        <v>440</v>
      </c>
      <c r="E395" s="131" t="s">
        <v>329</v>
      </c>
      <c r="F395" s="131" t="s">
        <v>222</v>
      </c>
      <c r="G395" s="131" t="str">
        <f t="shared" si="99"/>
        <v>Boll Buggy 4R-36 (255)</v>
      </c>
      <c r="H395" s="244">
        <v>30500</v>
      </c>
      <c r="I395" s="170">
        <v>12</v>
      </c>
      <c r="J395" s="170">
        <v>3.6</v>
      </c>
      <c r="K395" s="170">
        <v>70</v>
      </c>
      <c r="L395" s="171">
        <f t="shared" si="100"/>
        <v>0.27281746031746035</v>
      </c>
      <c r="M395" s="170">
        <v>35</v>
      </c>
      <c r="N395" s="170">
        <v>50</v>
      </c>
      <c r="O395" s="170">
        <v>10</v>
      </c>
      <c r="P395" s="170">
        <v>200</v>
      </c>
      <c r="Q395" s="17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8">
        <v>269</v>
      </c>
      <c r="B396" s="170" t="str">
        <f t="shared" si="98"/>
        <v>0.04, Boll Buggy 4R-36 (325)</v>
      </c>
      <c r="C396" s="135">
        <v>0.04</v>
      </c>
      <c r="D396" s="131" t="s">
        <v>440</v>
      </c>
      <c r="E396" s="131" t="s">
        <v>329</v>
      </c>
      <c r="F396" s="131" t="s">
        <v>347</v>
      </c>
      <c r="G396" s="131" t="str">
        <f t="shared" si="99"/>
        <v>Boll Buggy 4R-36 (325)</v>
      </c>
      <c r="H396" s="244">
        <v>30500</v>
      </c>
      <c r="I396" s="170">
        <v>12</v>
      </c>
      <c r="J396" s="170">
        <v>3.6</v>
      </c>
      <c r="K396" s="170">
        <v>70</v>
      </c>
      <c r="L396" s="171">
        <f t="shared" si="100"/>
        <v>0.27281746031746035</v>
      </c>
      <c r="M396" s="170">
        <v>35</v>
      </c>
      <c r="N396" s="170">
        <v>50</v>
      </c>
      <c r="O396" s="170">
        <v>10</v>
      </c>
      <c r="P396" s="170">
        <v>200</v>
      </c>
      <c r="Q396" s="17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8">
        <v>270</v>
      </c>
      <c r="B397" s="170" t="str">
        <f t="shared" si="98"/>
        <v>0.05, Boll Buggy 5R-30 (255)</v>
      </c>
      <c r="C397" s="135">
        <v>0.05</v>
      </c>
      <c r="D397" s="131" t="s">
        <v>440</v>
      </c>
      <c r="E397" s="131" t="s">
        <v>329</v>
      </c>
      <c r="F397" s="131" t="s">
        <v>346</v>
      </c>
      <c r="G397" s="131" t="str">
        <f t="shared" si="99"/>
        <v>Boll Buggy 5R-30 (255)</v>
      </c>
      <c r="H397" s="244">
        <v>30500</v>
      </c>
      <c r="I397" s="170">
        <v>12.5</v>
      </c>
      <c r="J397" s="170">
        <v>3.6</v>
      </c>
      <c r="K397" s="170">
        <v>70</v>
      </c>
      <c r="L397" s="171">
        <f t="shared" si="100"/>
        <v>0.26190476190476192</v>
      </c>
      <c r="M397" s="170">
        <v>35</v>
      </c>
      <c r="N397" s="170">
        <v>50</v>
      </c>
      <c r="O397" s="170">
        <v>10</v>
      </c>
      <c r="P397" s="170">
        <v>200</v>
      </c>
      <c r="Q397" s="17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8">
        <v>466</v>
      </c>
      <c r="B398" s="170" t="str">
        <f t="shared" si="98"/>
        <v>0.06, Boll Buggy 6R-30 (325)</v>
      </c>
      <c r="C398" s="135">
        <v>0.06</v>
      </c>
      <c r="D398" s="131" t="s">
        <v>440</v>
      </c>
      <c r="E398" s="131" t="s">
        <v>329</v>
      </c>
      <c r="F398" s="131" t="s">
        <v>348</v>
      </c>
      <c r="G398" s="131" t="str">
        <f t="shared" si="99"/>
        <v>Boll Buggy 6R-30 (325)</v>
      </c>
      <c r="H398" s="244">
        <v>30500</v>
      </c>
      <c r="I398" s="170">
        <v>15</v>
      </c>
      <c r="J398" s="170">
        <v>3.6</v>
      </c>
      <c r="K398" s="170">
        <v>70</v>
      </c>
      <c r="L398" s="171">
        <f t="shared" si="100"/>
        <v>0.21825396825396828</v>
      </c>
      <c r="M398" s="170">
        <v>35</v>
      </c>
      <c r="N398" s="170">
        <v>50</v>
      </c>
      <c r="O398" s="170">
        <v>10</v>
      </c>
      <c r="P398" s="170">
        <v>200</v>
      </c>
      <c r="Q398" s="17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8">
        <v>271</v>
      </c>
      <c r="B399" s="170" t="str">
        <f t="shared" si="98"/>
        <v>0.07, Boll Buggy 5R-36 (250)</v>
      </c>
      <c r="C399" s="135">
        <v>7.0000000000000007E-2</v>
      </c>
      <c r="D399" s="131" t="s">
        <v>440</v>
      </c>
      <c r="E399" s="131" t="s">
        <v>329</v>
      </c>
      <c r="F399" s="131" t="s">
        <v>224</v>
      </c>
      <c r="G399" s="131" t="str">
        <f t="shared" si="99"/>
        <v>Boll Buggy 5R-36 (250)</v>
      </c>
      <c r="H399" s="244">
        <v>30500</v>
      </c>
      <c r="I399" s="170">
        <v>15.8</v>
      </c>
      <c r="J399" s="170">
        <v>3.6</v>
      </c>
      <c r="K399" s="170">
        <v>70</v>
      </c>
      <c r="L399" s="171">
        <f t="shared" si="100"/>
        <v>0.20720313441832428</v>
      </c>
      <c r="M399" s="170">
        <v>35</v>
      </c>
      <c r="N399" s="170">
        <v>50</v>
      </c>
      <c r="O399" s="170">
        <v>10</v>
      </c>
      <c r="P399" s="170">
        <v>200</v>
      </c>
      <c r="Q399" s="17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8">
        <v>226</v>
      </c>
      <c r="B400" s="170" t="str">
        <f t="shared" si="98"/>
        <v>0.08, Boll Buggy 4R2x1 (350)</v>
      </c>
      <c r="C400" s="135">
        <v>0.08</v>
      </c>
      <c r="D400" s="131" t="s">
        <v>440</v>
      </c>
      <c r="E400" s="131" t="s">
        <v>329</v>
      </c>
      <c r="F400" s="131" t="s">
        <v>225</v>
      </c>
      <c r="G400" s="131" t="str">
        <f t="shared" si="99"/>
        <v>Boll Buggy 4R2x1 (350)</v>
      </c>
      <c r="H400" s="244">
        <v>30500</v>
      </c>
      <c r="I400" s="170">
        <v>18</v>
      </c>
      <c r="J400" s="170">
        <v>3.6</v>
      </c>
      <c r="K400" s="170">
        <v>70</v>
      </c>
      <c r="L400" s="171">
        <f t="shared" si="100"/>
        <v>0.18187830687830689</v>
      </c>
      <c r="M400" s="170">
        <v>35</v>
      </c>
      <c r="N400" s="170">
        <v>50</v>
      </c>
      <c r="O400" s="170">
        <v>10</v>
      </c>
      <c r="P400" s="170">
        <v>200</v>
      </c>
      <c r="Q400" s="17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8">
        <v>225</v>
      </c>
      <c r="B401" s="170" t="str">
        <f t="shared" si="98"/>
        <v>0.09, Boll Buggy 6R-36 (330)</v>
      </c>
      <c r="C401" s="135">
        <v>0.09</v>
      </c>
      <c r="D401" s="131" t="s">
        <v>440</v>
      </c>
      <c r="E401" s="131" t="s">
        <v>329</v>
      </c>
      <c r="F401" s="131" t="s">
        <v>349</v>
      </c>
      <c r="G401" s="131" t="str">
        <f t="shared" si="99"/>
        <v>Boll Buggy 6R-36 (330)</v>
      </c>
      <c r="H401" s="244">
        <v>30500</v>
      </c>
      <c r="I401" s="170">
        <v>18</v>
      </c>
      <c r="J401" s="170">
        <v>3.6</v>
      </c>
      <c r="K401" s="170">
        <v>70</v>
      </c>
      <c r="L401" s="171">
        <f t="shared" si="100"/>
        <v>0.18187830687830689</v>
      </c>
      <c r="M401" s="170">
        <v>35</v>
      </c>
      <c r="N401" s="170">
        <v>50</v>
      </c>
      <c r="O401" s="170">
        <v>10</v>
      </c>
      <c r="P401" s="170">
        <v>200</v>
      </c>
      <c r="Q401" s="17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8">
        <v>489</v>
      </c>
      <c r="B402" s="170" t="str">
        <f t="shared" si="98"/>
        <v>0.1, Boll Buggy-Stripper 4R-36</v>
      </c>
      <c r="C402" s="135">
        <v>0.1</v>
      </c>
      <c r="D402" s="131" t="s">
        <v>440</v>
      </c>
      <c r="E402" s="131" t="s">
        <v>330</v>
      </c>
      <c r="F402" s="131" t="s">
        <v>73</v>
      </c>
      <c r="G402" s="131" t="str">
        <f t="shared" si="99"/>
        <v>Boll Buggy-Stripper 4R-36</v>
      </c>
      <c r="H402" s="244">
        <v>31110</v>
      </c>
      <c r="I402" s="170">
        <v>12</v>
      </c>
      <c r="J402" s="170">
        <v>3.6</v>
      </c>
      <c r="K402" s="170">
        <v>70</v>
      </c>
      <c r="L402" s="171">
        <f t="shared" si="100"/>
        <v>0.27281746031746035</v>
      </c>
      <c r="M402" s="170">
        <v>35</v>
      </c>
      <c r="N402" s="170">
        <v>50</v>
      </c>
      <c r="O402" s="170">
        <v>10</v>
      </c>
      <c r="P402" s="170">
        <v>200</v>
      </c>
      <c r="Q402" s="17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8">
        <v>491</v>
      </c>
      <c r="B403" s="170" t="str">
        <f t="shared" si="98"/>
        <v>0.11, Boll Buggy-Stripper 4R-36</v>
      </c>
      <c r="C403" s="135">
        <v>0.11</v>
      </c>
      <c r="D403" s="131" t="s">
        <v>440</v>
      </c>
      <c r="E403" s="131" t="s">
        <v>330</v>
      </c>
      <c r="F403" s="131" t="s">
        <v>73</v>
      </c>
      <c r="G403" s="131" t="str">
        <f t="shared" si="99"/>
        <v>Boll Buggy-Stripper 4R-36</v>
      </c>
      <c r="H403" s="244">
        <v>31110</v>
      </c>
      <c r="I403" s="170">
        <v>12</v>
      </c>
      <c r="J403" s="170">
        <v>3.6</v>
      </c>
      <c r="K403" s="170">
        <v>70</v>
      </c>
      <c r="L403" s="171">
        <f t="shared" si="100"/>
        <v>0.27281746031746035</v>
      </c>
      <c r="M403" s="170">
        <v>35</v>
      </c>
      <c r="N403" s="170">
        <v>50</v>
      </c>
      <c r="O403" s="170">
        <v>10</v>
      </c>
      <c r="P403" s="170">
        <v>200</v>
      </c>
      <c r="Q403" s="17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8">
        <v>493</v>
      </c>
      <c r="B404" s="170" t="str">
        <f t="shared" si="98"/>
        <v>0.12, Boll Buggy-Stripper 5R-30</v>
      </c>
      <c r="C404" s="135">
        <v>0.12</v>
      </c>
      <c r="D404" s="131" t="s">
        <v>440</v>
      </c>
      <c r="E404" s="131" t="s">
        <v>330</v>
      </c>
      <c r="F404" s="131" t="s">
        <v>72</v>
      </c>
      <c r="G404" s="131" t="str">
        <f t="shared" si="99"/>
        <v>Boll Buggy-Stripper 5R-30</v>
      </c>
      <c r="H404" s="244">
        <v>31110</v>
      </c>
      <c r="I404" s="170">
        <v>12.5</v>
      </c>
      <c r="J404" s="170">
        <v>3.6</v>
      </c>
      <c r="K404" s="170">
        <v>70</v>
      </c>
      <c r="L404" s="171">
        <f t="shared" si="100"/>
        <v>0.26190476190476192</v>
      </c>
      <c r="M404" s="170">
        <v>35</v>
      </c>
      <c r="N404" s="170">
        <v>50</v>
      </c>
      <c r="O404" s="170">
        <v>10</v>
      </c>
      <c r="P404" s="170">
        <v>200</v>
      </c>
      <c r="Q404" s="17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8">
        <v>228</v>
      </c>
      <c r="B405" s="170" t="str">
        <f t="shared" si="98"/>
        <v>0.13, Boll Buggy-Stripper 13' Bcast</v>
      </c>
      <c r="C405" s="135">
        <v>0.13</v>
      </c>
      <c r="D405" s="131" t="s">
        <v>440</v>
      </c>
      <c r="E405" s="131" t="s">
        <v>330</v>
      </c>
      <c r="F405" s="131" t="s">
        <v>71</v>
      </c>
      <c r="G405" s="131" t="str">
        <f t="shared" si="99"/>
        <v>Boll Buggy-Stripper 13' Bcast</v>
      </c>
      <c r="H405" s="244">
        <v>31110</v>
      </c>
      <c r="I405" s="170">
        <v>13</v>
      </c>
      <c r="J405" s="170">
        <v>3.6</v>
      </c>
      <c r="K405" s="170">
        <v>70</v>
      </c>
      <c r="L405" s="171">
        <f t="shared" si="100"/>
        <v>0.25183150183150182</v>
      </c>
      <c r="M405" s="170">
        <v>35</v>
      </c>
      <c r="N405" s="170">
        <v>50</v>
      </c>
      <c r="O405" s="170">
        <v>10</v>
      </c>
      <c r="P405" s="170">
        <v>200</v>
      </c>
      <c r="Q405" s="17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8">
        <v>490</v>
      </c>
      <c r="B406" s="170" t="str">
        <f t="shared" si="98"/>
        <v>0.14, Boll Buggy-Stripper 4R-30 2x1</v>
      </c>
      <c r="C406" s="135">
        <v>0.14000000000000001</v>
      </c>
      <c r="D406" s="131" t="s">
        <v>440</v>
      </c>
      <c r="E406" s="131" t="s">
        <v>330</v>
      </c>
      <c r="F406" s="131" t="s">
        <v>70</v>
      </c>
      <c r="G406" s="131" t="str">
        <f t="shared" si="99"/>
        <v>Boll Buggy-Stripper 4R-30 2x1</v>
      </c>
      <c r="H406" s="244">
        <v>31110</v>
      </c>
      <c r="I406" s="170">
        <v>15</v>
      </c>
      <c r="J406" s="170">
        <v>3.6</v>
      </c>
      <c r="K406" s="170">
        <v>70</v>
      </c>
      <c r="L406" s="171">
        <f t="shared" si="100"/>
        <v>0.21825396825396828</v>
      </c>
      <c r="M406" s="170">
        <v>35</v>
      </c>
      <c r="N406" s="170">
        <v>50</v>
      </c>
      <c r="O406" s="170">
        <v>10</v>
      </c>
      <c r="P406" s="170">
        <v>200</v>
      </c>
      <c r="Q406" s="17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8">
        <v>495</v>
      </c>
      <c r="B407" s="170" t="str">
        <f t="shared" si="98"/>
        <v>0.15, Boll Buggy-Stripper 6R-30</v>
      </c>
      <c r="C407" s="135">
        <v>0.15</v>
      </c>
      <c r="D407" s="131" t="s">
        <v>440</v>
      </c>
      <c r="E407" s="131" t="s">
        <v>330</v>
      </c>
      <c r="F407" s="131" t="s">
        <v>47</v>
      </c>
      <c r="G407" s="131" t="str">
        <f t="shared" si="99"/>
        <v>Boll Buggy-Stripper 6R-30</v>
      </c>
      <c r="H407" s="244">
        <v>31110</v>
      </c>
      <c r="I407" s="170">
        <v>15</v>
      </c>
      <c r="J407" s="170">
        <v>3.6</v>
      </c>
      <c r="K407" s="170">
        <v>70</v>
      </c>
      <c r="L407" s="171">
        <f t="shared" si="100"/>
        <v>0.21825396825396828</v>
      </c>
      <c r="M407" s="170">
        <v>35</v>
      </c>
      <c r="N407" s="170">
        <v>50</v>
      </c>
      <c r="O407" s="170">
        <v>10</v>
      </c>
      <c r="P407" s="170">
        <v>200</v>
      </c>
      <c r="Q407" s="17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8">
        <v>494</v>
      </c>
      <c r="B408" s="170" t="str">
        <f t="shared" si="98"/>
        <v>0.16, Boll Buggy-Stripper 5R-36</v>
      </c>
      <c r="C408" s="135">
        <v>0.16</v>
      </c>
      <c r="D408" s="131" t="s">
        <v>440</v>
      </c>
      <c r="E408" s="131" t="s">
        <v>330</v>
      </c>
      <c r="F408" s="131" t="s">
        <v>201</v>
      </c>
      <c r="G408" s="131" t="str">
        <f t="shared" si="99"/>
        <v>Boll Buggy-Stripper 5R-36</v>
      </c>
      <c r="H408" s="244">
        <v>31110</v>
      </c>
      <c r="I408" s="170">
        <v>15.8</v>
      </c>
      <c r="J408" s="170">
        <v>3.6</v>
      </c>
      <c r="K408" s="170">
        <v>70</v>
      </c>
      <c r="L408" s="171">
        <f t="shared" si="100"/>
        <v>0.20720313441832428</v>
      </c>
      <c r="M408" s="170">
        <v>35</v>
      </c>
      <c r="N408" s="170">
        <v>50</v>
      </c>
      <c r="O408" s="170">
        <v>10</v>
      </c>
      <c r="P408" s="170">
        <v>200</v>
      </c>
      <c r="Q408" s="17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8">
        <v>487</v>
      </c>
      <c r="B409" s="170" t="str">
        <f t="shared" si="98"/>
        <v>0.17, Boll Buggy-Stripper 16' Bcast</v>
      </c>
      <c r="C409" s="135">
        <v>0.17</v>
      </c>
      <c r="D409" s="131" t="s">
        <v>440</v>
      </c>
      <c r="E409" s="131" t="s">
        <v>330</v>
      </c>
      <c r="F409" s="131" t="s">
        <v>69</v>
      </c>
      <c r="G409" s="131" t="str">
        <f t="shared" si="99"/>
        <v>Boll Buggy-Stripper 16' Bcast</v>
      </c>
      <c r="H409" s="244">
        <v>31110</v>
      </c>
      <c r="I409" s="170">
        <v>16</v>
      </c>
      <c r="J409" s="170">
        <v>3.6</v>
      </c>
      <c r="K409" s="170">
        <v>70</v>
      </c>
      <c r="L409" s="171">
        <f t="shared" si="100"/>
        <v>0.20461309523809523</v>
      </c>
      <c r="M409" s="170">
        <v>35</v>
      </c>
      <c r="N409" s="170">
        <v>50</v>
      </c>
      <c r="O409" s="170">
        <v>10</v>
      </c>
      <c r="P409" s="170">
        <v>200</v>
      </c>
      <c r="Q409" s="17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8">
        <v>492</v>
      </c>
      <c r="B410" s="170" t="str">
        <f t="shared" si="98"/>
        <v>0.18, Boll Buggy-Stripper 4R-36 2x1</v>
      </c>
      <c r="C410" s="135">
        <v>0.18</v>
      </c>
      <c r="D410" s="131" t="s">
        <v>440</v>
      </c>
      <c r="E410" s="131" t="s">
        <v>330</v>
      </c>
      <c r="F410" s="131" t="s">
        <v>202</v>
      </c>
      <c r="G410" s="131" t="str">
        <f t="shared" si="99"/>
        <v>Boll Buggy-Stripper 4R-36 2x1</v>
      </c>
      <c r="H410" s="244">
        <v>31110</v>
      </c>
      <c r="I410" s="170">
        <v>18</v>
      </c>
      <c r="J410" s="170">
        <v>3.6</v>
      </c>
      <c r="K410" s="170">
        <v>70</v>
      </c>
      <c r="L410" s="171">
        <f t="shared" si="100"/>
        <v>0.18187830687830689</v>
      </c>
      <c r="M410" s="170">
        <v>35</v>
      </c>
      <c r="N410" s="170">
        <v>50</v>
      </c>
      <c r="O410" s="170">
        <v>10</v>
      </c>
      <c r="P410" s="170">
        <v>200</v>
      </c>
      <c r="Q410" s="17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8">
        <v>677</v>
      </c>
      <c r="B411" s="170" t="str">
        <f t="shared" si="98"/>
        <v>0.19, Boll Buggy-Stripper 6R-36</v>
      </c>
      <c r="C411" s="135">
        <v>0.19</v>
      </c>
      <c r="D411" s="131" t="s">
        <v>440</v>
      </c>
      <c r="E411" s="131" t="s">
        <v>330</v>
      </c>
      <c r="F411" s="131" t="s">
        <v>200</v>
      </c>
      <c r="G411" s="131" t="str">
        <f t="shared" si="99"/>
        <v>Boll Buggy-Stripper 6R-36</v>
      </c>
      <c r="H411" s="244">
        <v>31110</v>
      </c>
      <c r="I411" s="170">
        <v>18</v>
      </c>
      <c r="J411" s="170">
        <v>3.6</v>
      </c>
      <c r="K411" s="170">
        <v>70</v>
      </c>
      <c r="L411" s="171">
        <f t="shared" si="100"/>
        <v>0.18187830687830689</v>
      </c>
      <c r="M411" s="170">
        <v>35</v>
      </c>
      <c r="N411" s="170">
        <v>50</v>
      </c>
      <c r="O411" s="170">
        <v>10</v>
      </c>
      <c r="P411" s="170">
        <v>200</v>
      </c>
      <c r="Q411" s="17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8">
        <v>488</v>
      </c>
      <c r="B412" s="170" t="str">
        <f t="shared" si="98"/>
        <v>0.2, Boll Buggy-Stripper 19' Bcast</v>
      </c>
      <c r="C412" s="135">
        <v>0.2</v>
      </c>
      <c r="D412" s="131" t="s">
        <v>440</v>
      </c>
      <c r="E412" s="131" t="s">
        <v>330</v>
      </c>
      <c r="F412" s="131" t="s">
        <v>68</v>
      </c>
      <c r="G412" s="131" t="str">
        <f t="shared" si="99"/>
        <v>Boll Buggy-Stripper 19' Bcast</v>
      </c>
      <c r="H412" s="244">
        <v>31110</v>
      </c>
      <c r="I412" s="170">
        <v>19</v>
      </c>
      <c r="J412" s="170">
        <v>3.6</v>
      </c>
      <c r="K412" s="170">
        <v>70</v>
      </c>
      <c r="L412" s="171">
        <f t="shared" si="100"/>
        <v>0.17230576441102755</v>
      </c>
      <c r="M412" s="170">
        <v>35</v>
      </c>
      <c r="N412" s="170">
        <v>50</v>
      </c>
      <c r="O412" s="170">
        <v>10</v>
      </c>
      <c r="P412" s="170">
        <v>200</v>
      </c>
      <c r="Q412" s="17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8">
        <v>679</v>
      </c>
      <c r="B413" s="170" t="str">
        <f t="shared" si="98"/>
        <v>0.21, Boll Buggy-Stripper 8R-30</v>
      </c>
      <c r="C413" s="135">
        <v>0.21</v>
      </c>
      <c r="D413" s="131" t="s">
        <v>440</v>
      </c>
      <c r="E413" s="131" t="s">
        <v>330</v>
      </c>
      <c r="F413" s="131" t="s">
        <v>91</v>
      </c>
      <c r="G413" s="131" t="str">
        <f t="shared" si="99"/>
        <v>Boll Buggy-Stripper 8R-30</v>
      </c>
      <c r="H413" s="244">
        <v>31110</v>
      </c>
      <c r="I413" s="170">
        <v>20</v>
      </c>
      <c r="J413" s="170">
        <v>3.6</v>
      </c>
      <c r="K413" s="170">
        <v>70</v>
      </c>
      <c r="L413" s="171">
        <f t="shared" si="100"/>
        <v>0.16369047619047619</v>
      </c>
      <c r="M413" s="170">
        <v>35</v>
      </c>
      <c r="N413" s="170">
        <v>50</v>
      </c>
      <c r="O413" s="170">
        <v>10</v>
      </c>
      <c r="P413" s="170">
        <v>200</v>
      </c>
      <c r="Q413" s="17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8">
        <v>680</v>
      </c>
      <c r="B414" s="170" t="str">
        <f t="shared" si="98"/>
        <v>0.22, Boll Buggy-Stripper 8R-36</v>
      </c>
      <c r="C414" s="135">
        <v>0.22</v>
      </c>
      <c r="D414" s="131" t="s">
        <v>440</v>
      </c>
      <c r="E414" s="131" t="s">
        <v>330</v>
      </c>
      <c r="F414" s="131" t="s">
        <v>199</v>
      </c>
      <c r="G414" s="131" t="str">
        <f t="shared" si="99"/>
        <v>Boll Buggy-Stripper 8R-36</v>
      </c>
      <c r="H414" s="244">
        <v>31110</v>
      </c>
      <c r="I414" s="170">
        <v>24</v>
      </c>
      <c r="J414" s="170">
        <v>3.6</v>
      </c>
      <c r="K414" s="170">
        <v>70</v>
      </c>
      <c r="L414" s="171">
        <f t="shared" si="100"/>
        <v>0.13640873015873017</v>
      </c>
      <c r="M414" s="170">
        <v>35</v>
      </c>
      <c r="N414" s="170">
        <v>50</v>
      </c>
      <c r="O414" s="170">
        <v>10</v>
      </c>
      <c r="P414" s="170">
        <v>200</v>
      </c>
      <c r="Q414" s="17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8">
        <v>207</v>
      </c>
      <c r="B415" s="170" t="str">
        <f t="shared" si="98"/>
        <v>0.23, Grain Cart Corn  500 bu</v>
      </c>
      <c r="C415" s="135">
        <v>0.23</v>
      </c>
      <c r="D415" s="131" t="s">
        <v>440</v>
      </c>
      <c r="E415" s="131" t="s">
        <v>331</v>
      </c>
      <c r="F415" s="131" t="s">
        <v>85</v>
      </c>
      <c r="G415" s="131" t="str">
        <f t="shared" si="99"/>
        <v>Grain Cart Corn  500 bu</v>
      </c>
      <c r="H415" s="248">
        <v>36400</v>
      </c>
      <c r="I415" s="170">
        <v>18</v>
      </c>
      <c r="J415" s="170">
        <v>3.8</v>
      </c>
      <c r="K415" s="170">
        <v>85</v>
      </c>
      <c r="L415" s="171">
        <v>9.4E-2</v>
      </c>
      <c r="M415" s="170">
        <v>30</v>
      </c>
      <c r="N415" s="170">
        <v>65</v>
      </c>
      <c r="O415" s="170">
        <v>12</v>
      </c>
      <c r="P415" s="170">
        <v>200</v>
      </c>
      <c r="Q415" s="17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8">
        <v>206</v>
      </c>
      <c r="B416" s="170" t="str">
        <f t="shared" si="98"/>
        <v>0.24, Grain Cart Corn  700 bu</v>
      </c>
      <c r="C416" s="135">
        <v>0.24</v>
      </c>
      <c r="D416" s="131" t="s">
        <v>440</v>
      </c>
      <c r="E416" s="131" t="s">
        <v>331</v>
      </c>
      <c r="F416" s="131" t="s">
        <v>84</v>
      </c>
      <c r="G416" s="131" t="str">
        <f t="shared" si="99"/>
        <v>Grain Cart Corn  700 bu</v>
      </c>
      <c r="H416" s="248">
        <v>52400</v>
      </c>
      <c r="I416" s="170">
        <v>24</v>
      </c>
      <c r="J416" s="170">
        <v>3.8</v>
      </c>
      <c r="K416" s="170">
        <v>85</v>
      </c>
      <c r="L416" s="171">
        <v>9.4E-2</v>
      </c>
      <c r="M416" s="170">
        <v>30</v>
      </c>
      <c r="N416" s="170">
        <v>65</v>
      </c>
      <c r="O416" s="170">
        <v>12</v>
      </c>
      <c r="P416" s="170">
        <v>200</v>
      </c>
      <c r="Q416" s="17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8">
        <v>712</v>
      </c>
      <c r="B417" s="170" t="str">
        <f t="shared" si="98"/>
        <v>0.25, Grain Cart Corn 1000 bu</v>
      </c>
      <c r="C417" s="135">
        <v>0.25</v>
      </c>
      <c r="D417" s="131" t="s">
        <v>440</v>
      </c>
      <c r="E417" s="131" t="s">
        <v>331</v>
      </c>
      <c r="F417" s="131" t="s">
        <v>83</v>
      </c>
      <c r="G417" s="131" t="str">
        <f t="shared" si="99"/>
        <v>Grain Cart Corn 1000 bu</v>
      </c>
      <c r="H417" s="248">
        <v>72800</v>
      </c>
      <c r="I417" s="170">
        <v>36</v>
      </c>
      <c r="J417" s="170">
        <v>3.8</v>
      </c>
      <c r="K417" s="170">
        <v>85</v>
      </c>
      <c r="L417" s="171">
        <v>9.4E-2</v>
      </c>
      <c r="M417" s="170">
        <v>30</v>
      </c>
      <c r="N417" s="170">
        <v>65</v>
      </c>
      <c r="O417" s="170">
        <v>12</v>
      </c>
      <c r="P417" s="170">
        <v>200</v>
      </c>
      <c r="Q417" s="17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8">
        <v>687</v>
      </c>
      <c r="B418" s="170" t="str">
        <f t="shared" si="98"/>
        <v>0.26, Grain Cart Soybean  500 bu</v>
      </c>
      <c r="C418" s="135">
        <v>0.26</v>
      </c>
      <c r="D418" s="131" t="s">
        <v>440</v>
      </c>
      <c r="E418" s="131" t="s">
        <v>332</v>
      </c>
      <c r="F418" s="131" t="s">
        <v>85</v>
      </c>
      <c r="G418" s="131" t="str">
        <f t="shared" si="99"/>
        <v>Grain Cart Soybean  500 bu</v>
      </c>
      <c r="H418" s="248">
        <v>36400</v>
      </c>
      <c r="I418" s="170">
        <v>18</v>
      </c>
      <c r="J418" s="170">
        <v>3.8</v>
      </c>
      <c r="K418" s="170">
        <v>85</v>
      </c>
      <c r="L418" s="171">
        <v>9.4E-2</v>
      </c>
      <c r="M418" s="170">
        <v>30</v>
      </c>
      <c r="N418" s="170">
        <v>65</v>
      </c>
      <c r="O418" s="170">
        <v>12</v>
      </c>
      <c r="P418" s="170">
        <v>200</v>
      </c>
      <c r="Q418" s="17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8">
        <v>688</v>
      </c>
      <c r="B419" s="170" t="str">
        <f t="shared" si="98"/>
        <v>0.27, Grain Cart Soybean  700 bu</v>
      </c>
      <c r="C419" s="135">
        <v>0.27</v>
      </c>
      <c r="D419" s="131" t="s">
        <v>440</v>
      </c>
      <c r="E419" s="131" t="s">
        <v>332</v>
      </c>
      <c r="F419" s="131" t="s">
        <v>84</v>
      </c>
      <c r="G419" s="131" t="str">
        <f t="shared" si="99"/>
        <v>Grain Cart Soybean  700 bu</v>
      </c>
      <c r="H419" s="248">
        <v>52400</v>
      </c>
      <c r="I419" s="170">
        <v>24</v>
      </c>
      <c r="J419" s="170">
        <v>3.8</v>
      </c>
      <c r="K419" s="170">
        <v>85</v>
      </c>
      <c r="L419" s="171">
        <v>9.4E-2</v>
      </c>
      <c r="M419" s="170">
        <v>30</v>
      </c>
      <c r="N419" s="170">
        <v>65</v>
      </c>
      <c r="O419" s="170">
        <v>12</v>
      </c>
      <c r="P419" s="170">
        <v>200</v>
      </c>
      <c r="Q419" s="17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8">
        <v>714</v>
      </c>
      <c r="B420" s="170" t="str">
        <f t="shared" si="98"/>
        <v>0.28, Grain Cart Soybean 1000 bu</v>
      </c>
      <c r="C420" s="135">
        <v>0.28000000000000003</v>
      </c>
      <c r="D420" s="131" t="s">
        <v>440</v>
      </c>
      <c r="E420" s="131" t="s">
        <v>332</v>
      </c>
      <c r="F420" s="131" t="s">
        <v>83</v>
      </c>
      <c r="G420" s="131" t="str">
        <f t="shared" si="99"/>
        <v>Grain Cart Soybean 1000 bu</v>
      </c>
      <c r="H420" s="248">
        <v>72800</v>
      </c>
      <c r="I420" s="170">
        <v>36</v>
      </c>
      <c r="J420" s="170">
        <v>3.8</v>
      </c>
      <c r="K420" s="170">
        <v>85</v>
      </c>
      <c r="L420" s="171">
        <v>9.4E-2</v>
      </c>
      <c r="M420" s="170">
        <v>30</v>
      </c>
      <c r="N420" s="170">
        <v>65</v>
      </c>
      <c r="O420" s="170">
        <v>12</v>
      </c>
      <c r="P420" s="170">
        <v>200</v>
      </c>
      <c r="Q420" s="17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8">
        <v>689</v>
      </c>
      <c r="B421" s="170" t="str">
        <f t="shared" si="98"/>
        <v>0.29, Grain Cart Wht/Sor  500 bu</v>
      </c>
      <c r="C421" s="135">
        <v>0.28999999999999998</v>
      </c>
      <c r="D421" s="131" t="s">
        <v>440</v>
      </c>
      <c r="E421" s="131" t="s">
        <v>333</v>
      </c>
      <c r="F421" s="131" t="s">
        <v>85</v>
      </c>
      <c r="G421" s="131" t="str">
        <f t="shared" si="99"/>
        <v>Grain Cart Wht/Sor  500 bu</v>
      </c>
      <c r="H421" s="248">
        <v>36400</v>
      </c>
      <c r="I421" s="170">
        <v>18</v>
      </c>
      <c r="J421" s="170">
        <v>3.8</v>
      </c>
      <c r="K421" s="170">
        <v>85</v>
      </c>
      <c r="L421" s="171">
        <v>9.4E-2</v>
      </c>
      <c r="M421" s="170">
        <v>30</v>
      </c>
      <c r="N421" s="170">
        <v>65</v>
      </c>
      <c r="O421" s="170">
        <v>12</v>
      </c>
      <c r="P421" s="170">
        <v>200</v>
      </c>
      <c r="Q421" s="17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8">
        <v>690</v>
      </c>
      <c r="B422" s="170" t="str">
        <f t="shared" si="98"/>
        <v>0.3, Grain Cart Wht/Sor  700 bu</v>
      </c>
      <c r="C422" s="135">
        <v>0.3</v>
      </c>
      <c r="D422" s="131" t="s">
        <v>440</v>
      </c>
      <c r="E422" s="131" t="s">
        <v>333</v>
      </c>
      <c r="F422" s="131" t="s">
        <v>84</v>
      </c>
      <c r="G422" s="131" t="str">
        <f t="shared" si="99"/>
        <v>Grain Cart Wht/Sor  700 bu</v>
      </c>
      <c r="H422" s="248">
        <v>52400</v>
      </c>
      <c r="I422" s="170">
        <v>24</v>
      </c>
      <c r="J422" s="170">
        <v>3.8</v>
      </c>
      <c r="K422" s="170">
        <v>85</v>
      </c>
      <c r="L422" s="171">
        <v>9.4E-2</v>
      </c>
      <c r="M422" s="170">
        <v>30</v>
      </c>
      <c r="N422" s="170">
        <v>65</v>
      </c>
      <c r="O422" s="170">
        <v>12</v>
      </c>
      <c r="P422" s="170">
        <v>200</v>
      </c>
      <c r="Q422" s="17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8">
        <v>715</v>
      </c>
      <c r="B423" s="170" t="str">
        <f t="shared" si="98"/>
        <v>0.31, Grain Cart Wht/Sor 1000 bu</v>
      </c>
      <c r="C423" s="135">
        <v>0.31</v>
      </c>
      <c r="D423" s="131" t="s">
        <v>440</v>
      </c>
      <c r="E423" s="131" t="s">
        <v>333</v>
      </c>
      <c r="F423" s="131" t="s">
        <v>83</v>
      </c>
      <c r="G423" s="131" t="str">
        <f t="shared" si="99"/>
        <v>Grain Cart Wht/Sor 1000 bu</v>
      </c>
      <c r="H423" s="248">
        <v>72800</v>
      </c>
      <c r="I423" s="170">
        <v>36</v>
      </c>
      <c r="J423" s="170">
        <v>3.8</v>
      </c>
      <c r="K423" s="170">
        <v>85</v>
      </c>
      <c r="L423" s="171">
        <v>9.4E-2</v>
      </c>
      <c r="M423" s="170">
        <v>30</v>
      </c>
      <c r="N423" s="170">
        <v>65</v>
      </c>
      <c r="O423" s="170">
        <v>12</v>
      </c>
      <c r="P423" s="170">
        <v>200</v>
      </c>
      <c r="Q423" s="17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8">
        <v>428</v>
      </c>
      <c r="B424" s="170" t="str">
        <f t="shared" si="98"/>
        <v>0.32, Header - Corn  6R-30</v>
      </c>
      <c r="C424" s="135">
        <v>0.32</v>
      </c>
      <c r="D424" s="131" t="s">
        <v>440</v>
      </c>
      <c r="E424" s="131" t="s">
        <v>334</v>
      </c>
      <c r="F424" s="131" t="s">
        <v>53</v>
      </c>
      <c r="G424" s="131" t="str">
        <f t="shared" si="99"/>
        <v>Header - Corn  6R-30</v>
      </c>
      <c r="H424" s="244">
        <v>75500</v>
      </c>
      <c r="I424" s="170">
        <v>15</v>
      </c>
      <c r="J424" s="170">
        <v>3.5</v>
      </c>
      <c r="K424" s="170">
        <v>85</v>
      </c>
      <c r="L424" s="171">
        <f t="shared" ref="L424:L477" si="113">1/((I424*J424*K424/100*5280)/43560)</f>
        <v>0.18487394957983194</v>
      </c>
      <c r="M424" s="170">
        <v>40</v>
      </c>
      <c r="N424" s="170">
        <v>60</v>
      </c>
      <c r="O424" s="170">
        <v>12</v>
      </c>
      <c r="P424" s="170">
        <v>200</v>
      </c>
      <c r="Q424" s="17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8">
        <v>432</v>
      </c>
      <c r="B425" s="170" t="str">
        <f t="shared" si="98"/>
        <v>0.33, Header - Corn  6R-36</v>
      </c>
      <c r="C425" s="135">
        <v>0.33</v>
      </c>
      <c r="D425" s="131" t="s">
        <v>440</v>
      </c>
      <c r="E425" s="131" t="s">
        <v>334</v>
      </c>
      <c r="F425" s="131" t="s">
        <v>196</v>
      </c>
      <c r="G425" s="131" t="str">
        <f t="shared" si="99"/>
        <v>Header - Corn  6R-36</v>
      </c>
      <c r="H425" s="244">
        <v>76200</v>
      </c>
      <c r="I425" s="170">
        <v>18</v>
      </c>
      <c r="J425" s="170">
        <v>3.5</v>
      </c>
      <c r="K425" s="170">
        <v>85</v>
      </c>
      <c r="L425" s="171">
        <f t="shared" si="113"/>
        <v>0.15406162464985992</v>
      </c>
      <c r="M425" s="170">
        <v>40</v>
      </c>
      <c r="N425" s="170">
        <v>60</v>
      </c>
      <c r="O425" s="170">
        <v>12</v>
      </c>
      <c r="P425" s="170">
        <v>200</v>
      </c>
      <c r="Q425" s="17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8">
        <v>433</v>
      </c>
      <c r="B426" s="170" t="str">
        <f t="shared" si="98"/>
        <v>0.34, Header - Corn  8R-30</v>
      </c>
      <c r="C426" s="135">
        <v>0.34</v>
      </c>
      <c r="D426" s="131" t="s">
        <v>440</v>
      </c>
      <c r="E426" s="131" t="s">
        <v>334</v>
      </c>
      <c r="F426" s="131" t="s">
        <v>25</v>
      </c>
      <c r="G426" s="131" t="str">
        <f t="shared" si="99"/>
        <v>Header - Corn  8R-30</v>
      </c>
      <c r="H426" s="244">
        <v>101000</v>
      </c>
      <c r="I426" s="170">
        <v>20</v>
      </c>
      <c r="J426" s="170">
        <v>3.5</v>
      </c>
      <c r="K426" s="170">
        <v>85</v>
      </c>
      <c r="L426" s="171">
        <f t="shared" si="113"/>
        <v>0.13865546218487396</v>
      </c>
      <c r="M426" s="170">
        <v>40</v>
      </c>
      <c r="N426" s="170">
        <v>60</v>
      </c>
      <c r="O426" s="170">
        <v>12</v>
      </c>
      <c r="P426" s="170">
        <v>200</v>
      </c>
      <c r="Q426" s="17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8">
        <v>438</v>
      </c>
      <c r="B427" s="170" t="str">
        <f t="shared" si="98"/>
        <v>0.35, Header - Corn 12R-20</v>
      </c>
      <c r="C427" s="135">
        <v>0.35</v>
      </c>
      <c r="D427" s="131" t="s">
        <v>440</v>
      </c>
      <c r="E427" s="131" t="s">
        <v>334</v>
      </c>
      <c r="F427" s="131" t="s">
        <v>50</v>
      </c>
      <c r="G427" s="131" t="str">
        <f t="shared" si="99"/>
        <v>Header - Corn 12R-20</v>
      </c>
      <c r="H427" s="244">
        <v>152000</v>
      </c>
      <c r="I427" s="170">
        <v>20</v>
      </c>
      <c r="J427" s="170">
        <v>3.5</v>
      </c>
      <c r="K427" s="170">
        <v>85</v>
      </c>
      <c r="L427" s="171">
        <f t="shared" si="113"/>
        <v>0.13865546218487396</v>
      </c>
      <c r="M427" s="170">
        <v>40</v>
      </c>
      <c r="N427" s="170">
        <v>60</v>
      </c>
      <c r="O427" s="170">
        <v>8</v>
      </c>
      <c r="P427" s="170">
        <v>300</v>
      </c>
      <c r="Q427" s="17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8">
        <v>437</v>
      </c>
      <c r="B428" s="170" t="str">
        <f t="shared" si="98"/>
        <v>0.36, Header - Corn  8R-36</v>
      </c>
      <c r="C428" s="135">
        <v>0.36</v>
      </c>
      <c r="D428" s="131" t="s">
        <v>440</v>
      </c>
      <c r="E428" s="131" t="s">
        <v>334</v>
      </c>
      <c r="F428" s="131" t="s">
        <v>193</v>
      </c>
      <c r="G428" s="131" t="str">
        <f t="shared" si="99"/>
        <v>Header - Corn  8R-36</v>
      </c>
      <c r="H428" s="244">
        <v>90100</v>
      </c>
      <c r="I428" s="170">
        <v>24</v>
      </c>
      <c r="J428" s="170">
        <v>3.5</v>
      </c>
      <c r="K428" s="170">
        <v>85</v>
      </c>
      <c r="L428" s="171">
        <f t="shared" si="113"/>
        <v>0.11554621848739494</v>
      </c>
      <c r="M428" s="170">
        <v>40</v>
      </c>
      <c r="N428" s="170">
        <v>60</v>
      </c>
      <c r="O428" s="170">
        <v>12</v>
      </c>
      <c r="P428" s="170">
        <v>200</v>
      </c>
      <c r="Q428" s="17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8">
        <v>439</v>
      </c>
      <c r="B429" s="170" t="str">
        <f t="shared" si="98"/>
        <v>0.37, Header - Corn 12R-30</v>
      </c>
      <c r="C429" s="135">
        <v>0.37</v>
      </c>
      <c r="D429" s="131" t="s">
        <v>440</v>
      </c>
      <c r="E429" s="131" t="s">
        <v>334</v>
      </c>
      <c r="F429" s="131" t="s">
        <v>6</v>
      </c>
      <c r="G429" s="131" t="str">
        <f t="shared" si="99"/>
        <v>Header - Corn 12R-30</v>
      </c>
      <c r="H429" s="244">
        <v>145000</v>
      </c>
      <c r="I429" s="170">
        <v>30</v>
      </c>
      <c r="J429" s="170">
        <v>3.5</v>
      </c>
      <c r="K429" s="170">
        <v>85</v>
      </c>
      <c r="L429" s="171">
        <f t="shared" si="113"/>
        <v>9.2436974789915971E-2</v>
      </c>
      <c r="M429" s="170">
        <v>40</v>
      </c>
      <c r="N429" s="170">
        <v>60</v>
      </c>
      <c r="O429" s="170">
        <v>8</v>
      </c>
      <c r="P429" s="170">
        <v>300</v>
      </c>
      <c r="Q429" s="17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8">
        <v>426</v>
      </c>
      <c r="B430" s="170" t="str">
        <f t="shared" si="98"/>
        <v>0.38, Header -Soybean 22' Flex</v>
      </c>
      <c r="C430" s="135">
        <v>0.38</v>
      </c>
      <c r="D430" s="131" t="s">
        <v>440</v>
      </c>
      <c r="E430" s="131" t="s">
        <v>335</v>
      </c>
      <c r="F430" s="131" t="s">
        <v>528</v>
      </c>
      <c r="G430" s="131" t="str">
        <f t="shared" si="99"/>
        <v>Header -Soybean 22' Flex</v>
      </c>
      <c r="H430" s="244">
        <v>44600</v>
      </c>
      <c r="I430" s="170">
        <v>22</v>
      </c>
      <c r="J430" s="170">
        <v>3.8</v>
      </c>
      <c r="K430" s="170">
        <v>85</v>
      </c>
      <c r="L430" s="171">
        <f t="shared" si="113"/>
        <v>0.11609907120743036</v>
      </c>
      <c r="M430" s="170">
        <v>40</v>
      </c>
      <c r="N430" s="170">
        <v>60</v>
      </c>
      <c r="O430" s="170">
        <v>12</v>
      </c>
      <c r="P430" s="170">
        <v>150</v>
      </c>
      <c r="Q430" s="17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8">
        <v>431</v>
      </c>
      <c r="B431" s="170" t="str">
        <f t="shared" si="98"/>
        <v>0.39, Header -Soybean 25' Flex</v>
      </c>
      <c r="C431" s="135">
        <v>0.39</v>
      </c>
      <c r="D431" s="131" t="s">
        <v>440</v>
      </c>
      <c r="E431" s="131" t="s">
        <v>335</v>
      </c>
      <c r="F431" s="131" t="s">
        <v>529</v>
      </c>
      <c r="G431" s="131" t="str">
        <f t="shared" si="99"/>
        <v>Header -Soybean 25' Flex</v>
      </c>
      <c r="H431" s="244">
        <v>43700</v>
      </c>
      <c r="I431" s="170">
        <v>25</v>
      </c>
      <c r="J431" s="170">
        <v>3.8</v>
      </c>
      <c r="K431" s="170">
        <v>85</v>
      </c>
      <c r="L431" s="171">
        <f t="shared" si="113"/>
        <v>0.10216718266253871</v>
      </c>
      <c r="M431" s="170">
        <v>40</v>
      </c>
      <c r="N431" s="170">
        <v>60</v>
      </c>
      <c r="O431" s="170">
        <v>12</v>
      </c>
      <c r="P431" s="170">
        <v>150</v>
      </c>
      <c r="Q431" s="17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8">
        <v>436</v>
      </c>
      <c r="B432" s="170" t="str">
        <f t="shared" si="98"/>
        <v>0.4, Header -Soybean 30' Flex</v>
      </c>
      <c r="C432" s="135">
        <v>0.4</v>
      </c>
      <c r="D432" s="131" t="s">
        <v>440</v>
      </c>
      <c r="E432" s="131" t="s">
        <v>335</v>
      </c>
      <c r="F432" s="131" t="s">
        <v>78</v>
      </c>
      <c r="G432" s="131" t="str">
        <f t="shared" si="99"/>
        <v>Header -Soybean 30' Flex</v>
      </c>
      <c r="H432" s="244">
        <v>52900</v>
      </c>
      <c r="I432" s="170">
        <v>30</v>
      </c>
      <c r="J432" s="170">
        <v>3.8</v>
      </c>
      <c r="K432" s="170">
        <v>85</v>
      </c>
      <c r="L432" s="171">
        <f t="shared" si="113"/>
        <v>8.5139318885448914E-2</v>
      </c>
      <c r="M432" s="170">
        <v>40</v>
      </c>
      <c r="N432" s="170">
        <v>60</v>
      </c>
      <c r="O432" s="170">
        <v>12</v>
      </c>
      <c r="P432" s="170">
        <v>150</v>
      </c>
      <c r="Q432" s="17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8">
        <v>592</v>
      </c>
      <c r="B433" s="170" t="str">
        <f t="shared" si="98"/>
        <v>0.41, Header -Soybean 35' Flex</v>
      </c>
      <c r="C433" s="135">
        <v>0.41</v>
      </c>
      <c r="D433" s="131" t="s">
        <v>440</v>
      </c>
      <c r="E433" s="131" t="s">
        <v>335</v>
      </c>
      <c r="F433" s="131" t="s">
        <v>530</v>
      </c>
      <c r="G433" s="131" t="str">
        <f t="shared" si="99"/>
        <v>Header -Soybean 35' Flex</v>
      </c>
      <c r="H433" s="244">
        <v>60400</v>
      </c>
      <c r="I433" s="170">
        <v>35</v>
      </c>
      <c r="J433" s="170">
        <v>3.8</v>
      </c>
      <c r="K433" s="170">
        <v>85</v>
      </c>
      <c r="L433" s="171">
        <f t="shared" si="113"/>
        <v>7.29765590446705E-2</v>
      </c>
      <c r="M433" s="170">
        <v>40</v>
      </c>
      <c r="N433" s="170">
        <v>60</v>
      </c>
      <c r="O433" s="170">
        <v>12</v>
      </c>
      <c r="P433" s="170">
        <v>150</v>
      </c>
      <c r="Q433" s="17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8">
        <v>424</v>
      </c>
      <c r="B434" s="170" t="str">
        <f t="shared" si="98"/>
        <v>0.42, Header Wheat/Sorghum 22' Rigid</v>
      </c>
      <c r="C434" s="135">
        <v>0.42</v>
      </c>
      <c r="D434" s="131" t="s">
        <v>440</v>
      </c>
      <c r="E434" s="131" t="s">
        <v>336</v>
      </c>
      <c r="F434" s="131" t="s">
        <v>531</v>
      </c>
      <c r="G434" s="131" t="str">
        <f t="shared" si="99"/>
        <v>Header Wheat/Sorghum 22' Rigid</v>
      </c>
      <c r="H434" s="244">
        <v>19800</v>
      </c>
      <c r="I434" s="170">
        <v>22</v>
      </c>
      <c r="J434" s="170">
        <v>3.5</v>
      </c>
      <c r="K434" s="170">
        <v>85</v>
      </c>
      <c r="L434" s="171">
        <f t="shared" si="113"/>
        <v>0.12605042016806722</v>
      </c>
      <c r="M434" s="170">
        <v>40</v>
      </c>
      <c r="N434" s="170">
        <v>60</v>
      </c>
      <c r="O434" s="170">
        <v>8</v>
      </c>
      <c r="P434" s="170">
        <v>300</v>
      </c>
      <c r="Q434" s="17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8">
        <v>429</v>
      </c>
      <c r="B435" s="170" t="str">
        <f t="shared" si="98"/>
        <v>0.43, Header Wheat/Sorghum 25' Rigid</v>
      </c>
      <c r="C435" s="135">
        <v>0.43</v>
      </c>
      <c r="D435" s="131" t="s">
        <v>440</v>
      </c>
      <c r="E435" s="131" t="s">
        <v>336</v>
      </c>
      <c r="F435" s="131" t="s">
        <v>532</v>
      </c>
      <c r="G435" s="131" t="str">
        <f t="shared" si="99"/>
        <v>Header Wheat/Sorghum 25' Rigid</v>
      </c>
      <c r="H435" s="244">
        <v>41800</v>
      </c>
      <c r="I435" s="170">
        <v>25</v>
      </c>
      <c r="J435" s="170">
        <v>3.5</v>
      </c>
      <c r="K435" s="170">
        <v>85</v>
      </c>
      <c r="L435" s="171">
        <f t="shared" si="113"/>
        <v>0.11092436974789915</v>
      </c>
      <c r="M435" s="170">
        <v>40</v>
      </c>
      <c r="N435" s="170">
        <v>60</v>
      </c>
      <c r="O435" s="170">
        <v>8</v>
      </c>
      <c r="P435" s="170">
        <v>300</v>
      </c>
      <c r="Q435" s="17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8">
        <v>434</v>
      </c>
      <c r="B436" s="170" t="str">
        <f t="shared" si="98"/>
        <v>0.44, Header Wheat/Sorghum 30' Rigid</v>
      </c>
      <c r="C436" s="135">
        <v>0.44</v>
      </c>
      <c r="D436" s="131" t="s">
        <v>440</v>
      </c>
      <c r="E436" s="131" t="s">
        <v>336</v>
      </c>
      <c r="F436" s="131" t="s">
        <v>77</v>
      </c>
      <c r="G436" s="131" t="str">
        <f t="shared" si="99"/>
        <v>Header Wheat/Sorghum 30' Rigid</v>
      </c>
      <c r="H436" s="244">
        <v>55100</v>
      </c>
      <c r="I436" s="170">
        <v>30</v>
      </c>
      <c r="J436" s="170">
        <v>3.5</v>
      </c>
      <c r="K436" s="170">
        <v>85</v>
      </c>
      <c r="L436" s="171">
        <f t="shared" si="113"/>
        <v>9.2436974789915971E-2</v>
      </c>
      <c r="M436" s="170">
        <v>40</v>
      </c>
      <c r="N436" s="170">
        <v>60</v>
      </c>
      <c r="O436" s="170">
        <v>8</v>
      </c>
      <c r="P436" s="170">
        <v>300</v>
      </c>
      <c r="Q436" s="17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8">
        <v>276</v>
      </c>
      <c r="B437" s="170" t="str">
        <f t="shared" si="98"/>
        <v>0.45, Module Builder 4R-30 (250)</v>
      </c>
      <c r="C437" s="135">
        <v>0.45</v>
      </c>
      <c r="D437" s="131" t="s">
        <v>440</v>
      </c>
      <c r="E437" s="131" t="s">
        <v>337</v>
      </c>
      <c r="F437" s="131" t="s">
        <v>221</v>
      </c>
      <c r="G437" s="131" t="str">
        <f t="shared" si="99"/>
        <v>Module Builder 4R-30 (250)</v>
      </c>
      <c r="H437" s="244">
        <v>34700</v>
      </c>
      <c r="I437" s="170">
        <v>10</v>
      </c>
      <c r="J437" s="170">
        <v>3.6</v>
      </c>
      <c r="K437" s="170">
        <v>70</v>
      </c>
      <c r="L437" s="171">
        <f t="shared" si="113"/>
        <v>0.32738095238095238</v>
      </c>
      <c r="M437" s="170">
        <v>35</v>
      </c>
      <c r="N437" s="170">
        <v>50</v>
      </c>
      <c r="O437" s="170">
        <v>10</v>
      </c>
      <c r="P437" s="170">
        <v>200</v>
      </c>
      <c r="Q437" s="17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8">
        <v>469</v>
      </c>
      <c r="B438" s="170" t="str">
        <f t="shared" si="98"/>
        <v>0.46, Module Builder 4R-30 (325)</v>
      </c>
      <c r="C438" s="135">
        <v>0.46</v>
      </c>
      <c r="D438" s="131" t="s">
        <v>440</v>
      </c>
      <c r="E438" s="131" t="s">
        <v>337</v>
      </c>
      <c r="F438" s="131" t="s">
        <v>345</v>
      </c>
      <c r="G438" s="131" t="str">
        <f t="shared" si="99"/>
        <v>Module Builder 4R-30 (325)</v>
      </c>
      <c r="H438" s="244">
        <v>34700</v>
      </c>
      <c r="I438" s="170">
        <v>10</v>
      </c>
      <c r="J438" s="170">
        <v>3.6</v>
      </c>
      <c r="K438" s="170">
        <v>70</v>
      </c>
      <c r="L438" s="171">
        <f t="shared" si="113"/>
        <v>0.32738095238095238</v>
      </c>
      <c r="M438" s="170">
        <v>35</v>
      </c>
      <c r="N438" s="170">
        <v>50</v>
      </c>
      <c r="O438" s="170">
        <v>10</v>
      </c>
      <c r="P438" s="170">
        <v>200</v>
      </c>
      <c r="Q438" s="17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8">
        <v>124</v>
      </c>
      <c r="B439" s="170" t="str">
        <f t="shared" si="98"/>
        <v>0.47, Module Builder 4R-36 (255)</v>
      </c>
      <c r="C439" s="135">
        <v>0.47</v>
      </c>
      <c r="D439" s="131" t="s">
        <v>440</v>
      </c>
      <c r="E439" s="131" t="s">
        <v>337</v>
      </c>
      <c r="F439" s="131" t="s">
        <v>222</v>
      </c>
      <c r="G439" s="131" t="str">
        <f t="shared" si="99"/>
        <v>Module Builder 4R-36 (255)</v>
      </c>
      <c r="H439" s="244">
        <v>34700</v>
      </c>
      <c r="I439" s="170">
        <v>12</v>
      </c>
      <c r="J439" s="170">
        <v>3.6</v>
      </c>
      <c r="K439" s="170">
        <v>70</v>
      </c>
      <c r="L439" s="171">
        <f t="shared" si="113"/>
        <v>0.27281746031746035</v>
      </c>
      <c r="M439" s="170">
        <v>35</v>
      </c>
      <c r="N439" s="170">
        <v>50</v>
      </c>
      <c r="O439" s="170">
        <v>10</v>
      </c>
      <c r="P439" s="170">
        <v>200</v>
      </c>
      <c r="Q439" s="17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8">
        <v>277</v>
      </c>
      <c r="B440" s="170" t="str">
        <f t="shared" si="98"/>
        <v>0.48, Module Builder 4R-36 (325)</v>
      </c>
      <c r="C440" s="135">
        <v>0.48</v>
      </c>
      <c r="D440" s="131" t="s">
        <v>440</v>
      </c>
      <c r="E440" s="131" t="s">
        <v>337</v>
      </c>
      <c r="F440" s="131" t="s">
        <v>347</v>
      </c>
      <c r="G440" s="131" t="str">
        <f t="shared" si="99"/>
        <v>Module Builder 4R-36 (325)</v>
      </c>
      <c r="H440" s="244">
        <v>34700</v>
      </c>
      <c r="I440" s="170">
        <v>12</v>
      </c>
      <c r="J440" s="170">
        <v>3.6</v>
      </c>
      <c r="K440" s="170">
        <v>70</v>
      </c>
      <c r="L440" s="171">
        <f t="shared" si="113"/>
        <v>0.27281746031746035</v>
      </c>
      <c r="M440" s="170">
        <v>35</v>
      </c>
      <c r="N440" s="170">
        <v>50</v>
      </c>
      <c r="O440" s="170">
        <v>10</v>
      </c>
      <c r="P440" s="170">
        <v>200</v>
      </c>
      <c r="Q440" s="17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8">
        <v>278</v>
      </c>
      <c r="B441" s="170" t="str">
        <f t="shared" si="98"/>
        <v>0.49, Module Builder 5R-30 (255)</v>
      </c>
      <c r="C441" s="135">
        <v>0.49</v>
      </c>
      <c r="D441" s="131" t="s">
        <v>440</v>
      </c>
      <c r="E441" s="131" t="s">
        <v>337</v>
      </c>
      <c r="F441" s="131" t="s">
        <v>346</v>
      </c>
      <c r="G441" s="131" t="str">
        <f t="shared" si="99"/>
        <v>Module Builder 5R-30 (255)</v>
      </c>
      <c r="H441" s="244">
        <v>34700</v>
      </c>
      <c r="I441" s="170">
        <v>12.5</v>
      </c>
      <c r="J441" s="170">
        <v>3.6</v>
      </c>
      <c r="K441" s="170">
        <v>70</v>
      </c>
      <c r="L441" s="171">
        <f t="shared" si="113"/>
        <v>0.26190476190476192</v>
      </c>
      <c r="M441" s="170">
        <v>35</v>
      </c>
      <c r="N441" s="170">
        <v>50</v>
      </c>
      <c r="O441" s="170">
        <v>10</v>
      </c>
      <c r="P441" s="170">
        <v>200</v>
      </c>
      <c r="Q441" s="17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8">
        <v>470</v>
      </c>
      <c r="B442" s="170" t="str">
        <f t="shared" si="98"/>
        <v>0.5, Module Builder 6R-30 (325)</v>
      </c>
      <c r="C442" s="135">
        <v>0.5</v>
      </c>
      <c r="D442" s="131" t="s">
        <v>440</v>
      </c>
      <c r="E442" s="131" t="s">
        <v>337</v>
      </c>
      <c r="F442" s="131" t="s">
        <v>348</v>
      </c>
      <c r="G442" s="131" t="str">
        <f t="shared" si="99"/>
        <v>Module Builder 6R-30 (325)</v>
      </c>
      <c r="H442" s="244">
        <v>34700</v>
      </c>
      <c r="I442" s="170">
        <v>15</v>
      </c>
      <c r="J442" s="170">
        <v>3.6</v>
      </c>
      <c r="K442" s="170">
        <v>70</v>
      </c>
      <c r="L442" s="171">
        <f t="shared" si="113"/>
        <v>0.21825396825396828</v>
      </c>
      <c r="M442" s="170">
        <v>35</v>
      </c>
      <c r="N442" s="170">
        <v>50</v>
      </c>
      <c r="O442" s="170">
        <v>10</v>
      </c>
      <c r="P442" s="170">
        <v>200</v>
      </c>
      <c r="Q442" s="17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8">
        <v>279</v>
      </c>
      <c r="B443" s="170" t="str">
        <f t="shared" si="98"/>
        <v>0.51, Module Builder 5R-36 (250)</v>
      </c>
      <c r="C443" s="135">
        <v>0.51</v>
      </c>
      <c r="D443" s="131" t="s">
        <v>440</v>
      </c>
      <c r="E443" s="131" t="s">
        <v>337</v>
      </c>
      <c r="F443" s="131" t="s">
        <v>224</v>
      </c>
      <c r="G443" s="131" t="str">
        <f t="shared" si="99"/>
        <v>Module Builder 5R-36 (250)</v>
      </c>
      <c r="H443" s="244">
        <v>34700</v>
      </c>
      <c r="I443" s="170">
        <v>15.8</v>
      </c>
      <c r="J443" s="170">
        <v>3.6</v>
      </c>
      <c r="K443" s="170">
        <v>70</v>
      </c>
      <c r="L443" s="171">
        <f t="shared" si="113"/>
        <v>0.20720313441832428</v>
      </c>
      <c r="M443" s="170">
        <v>35</v>
      </c>
      <c r="N443" s="170">
        <v>50</v>
      </c>
      <c r="O443" s="170">
        <v>10</v>
      </c>
      <c r="P443" s="170">
        <v>200</v>
      </c>
      <c r="Q443" s="17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8">
        <v>251</v>
      </c>
      <c r="B444" s="170" t="str">
        <f t="shared" si="98"/>
        <v>0.52, Module Builder 4R2x1 (350)</v>
      </c>
      <c r="C444" s="135">
        <v>0.52</v>
      </c>
      <c r="D444" s="131" t="s">
        <v>440</v>
      </c>
      <c r="E444" s="131" t="s">
        <v>337</v>
      </c>
      <c r="F444" s="131" t="s">
        <v>225</v>
      </c>
      <c r="G444" s="131" t="str">
        <f t="shared" si="99"/>
        <v>Module Builder 4R2x1 (350)</v>
      </c>
      <c r="H444" s="244">
        <v>34700</v>
      </c>
      <c r="I444" s="170">
        <v>18</v>
      </c>
      <c r="J444" s="170">
        <v>3.6</v>
      </c>
      <c r="K444" s="170">
        <v>70</v>
      </c>
      <c r="L444" s="171">
        <f t="shared" si="113"/>
        <v>0.18187830687830689</v>
      </c>
      <c r="M444" s="170">
        <v>35</v>
      </c>
      <c r="N444" s="170">
        <v>50</v>
      </c>
      <c r="O444" s="170">
        <v>10</v>
      </c>
      <c r="P444" s="170">
        <v>200</v>
      </c>
      <c r="Q444" s="17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8">
        <v>249</v>
      </c>
      <c r="B445" s="170" t="str">
        <f t="shared" si="98"/>
        <v>0.53, Module Builder 6R-36 (330)</v>
      </c>
      <c r="C445" s="135">
        <v>0.53</v>
      </c>
      <c r="D445" s="131" t="s">
        <v>440</v>
      </c>
      <c r="E445" s="131" t="s">
        <v>337</v>
      </c>
      <c r="F445" s="131" t="s">
        <v>349</v>
      </c>
      <c r="G445" s="131" t="str">
        <f t="shared" si="99"/>
        <v>Module Builder 6R-36 (330)</v>
      </c>
      <c r="H445" s="244">
        <v>34700</v>
      </c>
      <c r="I445" s="170">
        <v>18</v>
      </c>
      <c r="J445" s="170">
        <v>3.6</v>
      </c>
      <c r="K445" s="170">
        <v>70</v>
      </c>
      <c r="L445" s="171">
        <f t="shared" si="113"/>
        <v>0.18187830687830689</v>
      </c>
      <c r="M445" s="170">
        <v>35</v>
      </c>
      <c r="N445" s="170">
        <v>50</v>
      </c>
      <c r="O445" s="170">
        <v>10</v>
      </c>
      <c r="P445" s="170">
        <v>200</v>
      </c>
      <c r="Q445" s="17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8">
        <v>498</v>
      </c>
      <c r="B446" s="170" t="str">
        <f t="shared" si="98"/>
        <v>0.54, Module Builder-Strip 4R-36</v>
      </c>
      <c r="C446" s="135">
        <v>0.54</v>
      </c>
      <c r="D446" s="131" t="s">
        <v>440</v>
      </c>
      <c r="E446" s="131" t="s">
        <v>338</v>
      </c>
      <c r="F446" s="131" t="s">
        <v>73</v>
      </c>
      <c r="G446" s="131" t="str">
        <f t="shared" si="99"/>
        <v>Module Builder-Strip 4R-36</v>
      </c>
      <c r="H446" s="244">
        <v>34700</v>
      </c>
      <c r="I446" s="170">
        <v>12</v>
      </c>
      <c r="J446" s="170">
        <v>3.6</v>
      </c>
      <c r="K446" s="170">
        <v>70</v>
      </c>
      <c r="L446" s="171">
        <f t="shared" si="113"/>
        <v>0.27281746031746035</v>
      </c>
      <c r="M446" s="170">
        <v>35</v>
      </c>
      <c r="N446" s="170">
        <v>50</v>
      </c>
      <c r="O446" s="170">
        <v>10</v>
      </c>
      <c r="P446" s="170">
        <v>200</v>
      </c>
      <c r="Q446" s="17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8">
        <v>500</v>
      </c>
      <c r="B447" s="170" t="str">
        <f t="shared" si="98"/>
        <v>0.55, Module Builder-Strip 4R-36</v>
      </c>
      <c r="C447" s="135">
        <v>0.55000000000000004</v>
      </c>
      <c r="D447" s="131" t="s">
        <v>440</v>
      </c>
      <c r="E447" s="131" t="s">
        <v>338</v>
      </c>
      <c r="F447" s="131" t="s">
        <v>73</v>
      </c>
      <c r="G447" s="131" t="str">
        <f t="shared" si="99"/>
        <v>Module Builder-Strip 4R-36</v>
      </c>
      <c r="H447" s="244">
        <v>34700</v>
      </c>
      <c r="I447" s="170">
        <v>12</v>
      </c>
      <c r="J447" s="170">
        <v>3.6</v>
      </c>
      <c r="K447" s="170">
        <v>70</v>
      </c>
      <c r="L447" s="171">
        <f t="shared" si="113"/>
        <v>0.27281746031746035</v>
      </c>
      <c r="M447" s="170">
        <v>35</v>
      </c>
      <c r="N447" s="170">
        <v>50</v>
      </c>
      <c r="O447" s="170">
        <v>10</v>
      </c>
      <c r="P447" s="170">
        <v>200</v>
      </c>
      <c r="Q447" s="17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8">
        <v>502</v>
      </c>
      <c r="B448" s="170" t="str">
        <f t="shared" si="98"/>
        <v>0.56, Module Builder-Strip 5R-30</v>
      </c>
      <c r="C448" s="135">
        <v>0.56000000000000005</v>
      </c>
      <c r="D448" s="131" t="s">
        <v>440</v>
      </c>
      <c r="E448" s="131" t="s">
        <v>338</v>
      </c>
      <c r="F448" s="131" t="s">
        <v>72</v>
      </c>
      <c r="G448" s="131" t="str">
        <f t="shared" si="99"/>
        <v>Module Builder-Strip 5R-30</v>
      </c>
      <c r="H448" s="244">
        <v>34700</v>
      </c>
      <c r="I448" s="170">
        <v>12.5</v>
      </c>
      <c r="J448" s="170">
        <v>3.6</v>
      </c>
      <c r="K448" s="170">
        <v>70</v>
      </c>
      <c r="L448" s="171">
        <f t="shared" si="113"/>
        <v>0.26190476190476192</v>
      </c>
      <c r="M448" s="170">
        <v>35</v>
      </c>
      <c r="N448" s="170">
        <v>50</v>
      </c>
      <c r="O448" s="170">
        <v>10</v>
      </c>
      <c r="P448" s="170">
        <v>200</v>
      </c>
      <c r="Q448" s="17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8">
        <v>253</v>
      </c>
      <c r="B449" s="170" t="str">
        <f t="shared" si="98"/>
        <v>0.57, Module Builder-Strip 13' Bcast</v>
      </c>
      <c r="C449" s="135">
        <v>0.56999999999999995</v>
      </c>
      <c r="D449" s="131" t="s">
        <v>440</v>
      </c>
      <c r="E449" s="131" t="s">
        <v>338</v>
      </c>
      <c r="F449" s="131" t="s">
        <v>71</v>
      </c>
      <c r="G449" s="131" t="str">
        <f t="shared" si="99"/>
        <v>Module Builder-Strip 13' Bcast</v>
      </c>
      <c r="H449" s="244">
        <v>34700</v>
      </c>
      <c r="I449" s="170">
        <v>13</v>
      </c>
      <c r="J449" s="170">
        <v>3.6</v>
      </c>
      <c r="K449" s="170">
        <v>70</v>
      </c>
      <c r="L449" s="171">
        <f t="shared" si="113"/>
        <v>0.25183150183150182</v>
      </c>
      <c r="M449" s="170">
        <v>35</v>
      </c>
      <c r="N449" s="170">
        <v>50</v>
      </c>
      <c r="O449" s="170">
        <v>10</v>
      </c>
      <c r="P449" s="170">
        <v>200</v>
      </c>
      <c r="Q449" s="17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8">
        <v>499</v>
      </c>
      <c r="B450" s="170" t="str">
        <f t="shared" si="98"/>
        <v>0.58, Module Builder-Strip 4R-30 2x1</v>
      </c>
      <c r="C450" s="135">
        <v>0.57999999999999996</v>
      </c>
      <c r="D450" s="131" t="s">
        <v>440</v>
      </c>
      <c r="E450" s="131" t="s">
        <v>338</v>
      </c>
      <c r="F450" s="131" t="s">
        <v>70</v>
      </c>
      <c r="G450" s="131" t="str">
        <f t="shared" si="99"/>
        <v>Module Builder-Strip 4R-30 2x1</v>
      </c>
      <c r="H450" s="244">
        <v>34700</v>
      </c>
      <c r="I450" s="170">
        <v>15</v>
      </c>
      <c r="J450" s="170">
        <v>3.6</v>
      </c>
      <c r="K450" s="170">
        <v>70</v>
      </c>
      <c r="L450" s="171">
        <f t="shared" si="113"/>
        <v>0.21825396825396828</v>
      </c>
      <c r="M450" s="170">
        <v>35</v>
      </c>
      <c r="N450" s="170">
        <v>50</v>
      </c>
      <c r="O450" s="170">
        <v>10</v>
      </c>
      <c r="P450" s="170">
        <v>200</v>
      </c>
      <c r="Q450" s="17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8">
        <v>504</v>
      </c>
      <c r="B451" s="170" t="str">
        <f t="shared" si="98"/>
        <v>0.59, Module Builder-Strip 6R-30</v>
      </c>
      <c r="C451" s="135">
        <v>0.59</v>
      </c>
      <c r="D451" s="131" t="s">
        <v>440</v>
      </c>
      <c r="E451" s="131" t="s">
        <v>338</v>
      </c>
      <c r="F451" s="131" t="s">
        <v>47</v>
      </c>
      <c r="G451" s="131" t="str">
        <f t="shared" si="99"/>
        <v>Module Builder-Strip 6R-30</v>
      </c>
      <c r="H451" s="244">
        <v>34700</v>
      </c>
      <c r="I451" s="170">
        <v>15</v>
      </c>
      <c r="J451" s="170">
        <v>3.6</v>
      </c>
      <c r="K451" s="170">
        <v>70</v>
      </c>
      <c r="L451" s="171">
        <f t="shared" si="113"/>
        <v>0.21825396825396828</v>
      </c>
      <c r="M451" s="170">
        <v>35</v>
      </c>
      <c r="N451" s="170">
        <v>50</v>
      </c>
      <c r="O451" s="170">
        <v>10</v>
      </c>
      <c r="P451" s="170">
        <v>200</v>
      </c>
      <c r="Q451" s="17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8">
        <v>503</v>
      </c>
      <c r="B452" s="170" t="str">
        <f t="shared" si="98"/>
        <v>0.6, Module Builder-Strip 5R-36</v>
      </c>
      <c r="C452" s="135">
        <v>0.6</v>
      </c>
      <c r="D452" s="131" t="s">
        <v>440</v>
      </c>
      <c r="E452" s="131" t="s">
        <v>338</v>
      </c>
      <c r="F452" s="131" t="s">
        <v>201</v>
      </c>
      <c r="G452" s="131" t="str">
        <f t="shared" si="99"/>
        <v>Module Builder-Strip 5R-36</v>
      </c>
      <c r="H452" s="244">
        <v>34700</v>
      </c>
      <c r="I452" s="170">
        <v>15.8</v>
      </c>
      <c r="J452" s="170">
        <v>3.6</v>
      </c>
      <c r="K452" s="170">
        <v>70</v>
      </c>
      <c r="L452" s="171">
        <f t="shared" si="113"/>
        <v>0.20720313441832428</v>
      </c>
      <c r="M452" s="170">
        <v>35</v>
      </c>
      <c r="N452" s="170">
        <v>50</v>
      </c>
      <c r="O452" s="170">
        <v>10</v>
      </c>
      <c r="P452" s="170">
        <v>200</v>
      </c>
      <c r="Q452" s="17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8">
        <v>496</v>
      </c>
      <c r="B453" s="170" t="str">
        <f t="shared" si="98"/>
        <v>0.61, Module Builder-Strip 16' Bcast</v>
      </c>
      <c r="C453" s="135">
        <v>0.61</v>
      </c>
      <c r="D453" s="131" t="s">
        <v>440</v>
      </c>
      <c r="E453" s="131" t="s">
        <v>338</v>
      </c>
      <c r="F453" s="131" t="s">
        <v>69</v>
      </c>
      <c r="G453" s="131" t="str">
        <f t="shared" si="99"/>
        <v>Module Builder-Strip 16' Bcast</v>
      </c>
      <c r="H453" s="244">
        <v>34700</v>
      </c>
      <c r="I453" s="170">
        <v>16</v>
      </c>
      <c r="J453" s="170">
        <v>3.6</v>
      </c>
      <c r="K453" s="170">
        <v>70</v>
      </c>
      <c r="L453" s="171">
        <f t="shared" si="113"/>
        <v>0.20461309523809523</v>
      </c>
      <c r="M453" s="170">
        <v>35</v>
      </c>
      <c r="N453" s="170">
        <v>50</v>
      </c>
      <c r="O453" s="170">
        <v>10</v>
      </c>
      <c r="P453" s="170">
        <v>200</v>
      </c>
      <c r="Q453" s="17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8">
        <v>501</v>
      </c>
      <c r="B454" s="170" t="str">
        <f t="shared" si="98"/>
        <v>0.62, Module Builder-Strip 4R-36 2x1</v>
      </c>
      <c r="C454" s="135">
        <v>0.62</v>
      </c>
      <c r="D454" s="131" t="s">
        <v>440</v>
      </c>
      <c r="E454" s="131" t="s">
        <v>338</v>
      </c>
      <c r="F454" s="131" t="s">
        <v>202</v>
      </c>
      <c r="G454" s="131" t="str">
        <f t="shared" si="99"/>
        <v>Module Builder-Strip 4R-36 2x1</v>
      </c>
      <c r="H454" s="244">
        <v>34700</v>
      </c>
      <c r="I454" s="170">
        <v>18</v>
      </c>
      <c r="J454" s="170">
        <v>3.6</v>
      </c>
      <c r="K454" s="170">
        <v>70</v>
      </c>
      <c r="L454" s="171">
        <f t="shared" si="113"/>
        <v>0.18187830687830689</v>
      </c>
      <c r="M454" s="170">
        <v>35</v>
      </c>
      <c r="N454" s="170">
        <v>50</v>
      </c>
      <c r="O454" s="170">
        <v>10</v>
      </c>
      <c r="P454" s="170">
        <v>200</v>
      </c>
      <c r="Q454" s="17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8">
        <v>682</v>
      </c>
      <c r="B455" s="170" t="str">
        <f t="shared" si="98"/>
        <v>0.63, Module Builder-Strip 6R-36</v>
      </c>
      <c r="C455" s="135">
        <v>0.63</v>
      </c>
      <c r="D455" s="131" t="s">
        <v>440</v>
      </c>
      <c r="E455" s="131" t="s">
        <v>338</v>
      </c>
      <c r="F455" s="131" t="s">
        <v>200</v>
      </c>
      <c r="G455" s="131" t="str">
        <f t="shared" si="99"/>
        <v>Module Builder-Strip 6R-36</v>
      </c>
      <c r="H455" s="244">
        <v>34700</v>
      </c>
      <c r="I455" s="170">
        <v>18</v>
      </c>
      <c r="J455" s="170">
        <v>3.6</v>
      </c>
      <c r="K455" s="170">
        <v>70</v>
      </c>
      <c r="L455" s="171">
        <f t="shared" si="113"/>
        <v>0.18187830687830689</v>
      </c>
      <c r="M455" s="170">
        <v>35</v>
      </c>
      <c r="N455" s="170">
        <v>50</v>
      </c>
      <c r="O455" s="170">
        <v>10</v>
      </c>
      <c r="P455" s="170">
        <v>200</v>
      </c>
      <c r="Q455" s="17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8">
        <v>497</v>
      </c>
      <c r="B456" s="170" t="str">
        <f t="shared" si="98"/>
        <v>0.64, Module Builder-Strip 19' Bcast</v>
      </c>
      <c r="C456" s="135">
        <v>0.64</v>
      </c>
      <c r="D456" s="131" t="s">
        <v>440</v>
      </c>
      <c r="E456" s="131" t="s">
        <v>338</v>
      </c>
      <c r="F456" s="131" t="s">
        <v>68</v>
      </c>
      <c r="G456" s="131" t="str">
        <f t="shared" si="99"/>
        <v>Module Builder-Strip 19' Bcast</v>
      </c>
      <c r="H456" s="244">
        <v>34700</v>
      </c>
      <c r="I456" s="170">
        <v>19</v>
      </c>
      <c r="J456" s="170">
        <v>3.6</v>
      </c>
      <c r="K456" s="170">
        <v>70</v>
      </c>
      <c r="L456" s="171">
        <f t="shared" si="113"/>
        <v>0.17230576441102755</v>
      </c>
      <c r="M456" s="170">
        <v>35</v>
      </c>
      <c r="N456" s="170">
        <v>50</v>
      </c>
      <c r="O456" s="170">
        <v>10</v>
      </c>
      <c r="P456" s="170">
        <v>200</v>
      </c>
      <c r="Q456" s="17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8">
        <v>684</v>
      </c>
      <c r="B457" s="170" t="str">
        <f t="shared" ref="B457:B477" si="116">CONCATENATE(C457,D457,E457,F457)</f>
        <v>0.65, Module Builder-Strip 8R-36</v>
      </c>
      <c r="C457" s="135">
        <v>0.65</v>
      </c>
      <c r="D457" s="131" t="s">
        <v>440</v>
      </c>
      <c r="E457" s="131" t="s">
        <v>338</v>
      </c>
      <c r="F457" s="131" t="s">
        <v>199</v>
      </c>
      <c r="G457" s="131" t="str">
        <f t="shared" ref="G457:G477" si="117">CONCATENATE(E457,F457)</f>
        <v>Module Builder-Strip 8R-36</v>
      </c>
      <c r="H457" s="244">
        <v>34700</v>
      </c>
      <c r="I457" s="170">
        <v>24</v>
      </c>
      <c r="J457" s="170">
        <v>3.6</v>
      </c>
      <c r="K457" s="170">
        <v>70</v>
      </c>
      <c r="L457" s="171">
        <f t="shared" si="113"/>
        <v>0.13640873015873017</v>
      </c>
      <c r="M457" s="170">
        <v>35</v>
      </c>
      <c r="N457" s="170">
        <v>50</v>
      </c>
      <c r="O457" s="170">
        <v>10</v>
      </c>
      <c r="P457" s="170">
        <v>200</v>
      </c>
      <c r="Q457" s="17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8">
        <v>525</v>
      </c>
      <c r="B458" s="170" t="str">
        <f t="shared" si="116"/>
        <v>0.66, Peanut Cond. &amp; Lifter 6-Row</v>
      </c>
      <c r="C458" s="135">
        <v>0.66</v>
      </c>
      <c r="D458" s="131" t="s">
        <v>440</v>
      </c>
      <c r="E458" s="131" t="s">
        <v>339</v>
      </c>
      <c r="F458" s="131" t="s">
        <v>46</v>
      </c>
      <c r="G458" s="131" t="str">
        <f t="shared" si="117"/>
        <v>Peanut Cond. &amp; Lifter 6-Row</v>
      </c>
      <c r="H458" s="244">
        <v>15200</v>
      </c>
      <c r="I458" s="170">
        <v>18</v>
      </c>
      <c r="J458" s="170">
        <v>3.5</v>
      </c>
      <c r="K458" s="170">
        <v>70</v>
      </c>
      <c r="L458" s="171">
        <f t="shared" si="113"/>
        <v>0.18707482993197277</v>
      </c>
      <c r="M458" s="170">
        <v>30</v>
      </c>
      <c r="N458" s="170">
        <v>80</v>
      </c>
      <c r="O458" s="170">
        <v>12</v>
      </c>
      <c r="P458" s="170">
        <v>100</v>
      </c>
      <c r="Q458" s="17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8">
        <v>523</v>
      </c>
      <c r="B459" s="170" t="str">
        <f t="shared" si="116"/>
        <v>0.67, Peanut Conditioner 6-Row</v>
      </c>
      <c r="C459" s="135">
        <v>0.67</v>
      </c>
      <c r="D459" s="131" t="s">
        <v>440</v>
      </c>
      <c r="E459" s="131" t="s">
        <v>340</v>
      </c>
      <c r="F459" s="131" t="s">
        <v>46</v>
      </c>
      <c r="G459" s="131" t="str">
        <f t="shared" si="117"/>
        <v>Peanut Conditioner 6-Row</v>
      </c>
      <c r="H459" s="244">
        <v>25200</v>
      </c>
      <c r="I459" s="170">
        <v>18</v>
      </c>
      <c r="J459" s="170">
        <v>3.5</v>
      </c>
      <c r="K459" s="170">
        <v>70</v>
      </c>
      <c r="L459" s="171">
        <f t="shared" si="113"/>
        <v>0.18707482993197277</v>
      </c>
      <c r="M459" s="170">
        <v>30</v>
      </c>
      <c r="N459" s="170">
        <v>80</v>
      </c>
      <c r="O459" s="170">
        <v>12</v>
      </c>
      <c r="P459" s="170">
        <v>100</v>
      </c>
      <c r="Q459" s="17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8">
        <v>570</v>
      </c>
      <c r="B460" s="170" t="str">
        <f t="shared" si="116"/>
        <v>0.68, Peanut Dig/Inverter 4R-30</v>
      </c>
      <c r="C460" s="135">
        <v>0.68</v>
      </c>
      <c r="D460" s="131" t="s">
        <v>440</v>
      </c>
      <c r="E460" s="131" t="s">
        <v>438</v>
      </c>
      <c r="F460" s="131" t="s">
        <v>0</v>
      </c>
      <c r="G460" s="131" t="str">
        <f t="shared" si="117"/>
        <v>Peanut Dig/Inverter 4R-30</v>
      </c>
      <c r="H460" s="244">
        <v>45800</v>
      </c>
      <c r="I460" s="170">
        <v>10</v>
      </c>
      <c r="J460" s="170">
        <v>3.5</v>
      </c>
      <c r="K460" s="170">
        <v>70</v>
      </c>
      <c r="L460" s="171">
        <f t="shared" si="113"/>
        <v>0.33673469387755101</v>
      </c>
      <c r="M460" s="170">
        <v>30</v>
      </c>
      <c r="N460" s="170">
        <v>80</v>
      </c>
      <c r="O460" s="170">
        <v>12</v>
      </c>
      <c r="P460" s="170">
        <v>100</v>
      </c>
      <c r="Q460" s="17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8">
        <v>520</v>
      </c>
      <c r="B461" s="170" t="str">
        <f t="shared" si="116"/>
        <v>0.69, Peanut Dig/Inverter 4R-36</v>
      </c>
      <c r="C461" s="135">
        <v>0.69</v>
      </c>
      <c r="D461" s="131" t="s">
        <v>440</v>
      </c>
      <c r="E461" s="131" t="s">
        <v>438</v>
      </c>
      <c r="F461" s="131" t="s">
        <v>73</v>
      </c>
      <c r="G461" s="131" t="str">
        <f t="shared" si="117"/>
        <v>Peanut Dig/Inverter 4R-36</v>
      </c>
      <c r="H461" s="244">
        <v>45800</v>
      </c>
      <c r="I461" s="170">
        <v>12</v>
      </c>
      <c r="J461" s="170">
        <v>3.5</v>
      </c>
      <c r="K461" s="170">
        <v>70</v>
      </c>
      <c r="L461" s="171">
        <f t="shared" si="113"/>
        <v>0.28061224489795922</v>
      </c>
      <c r="M461" s="170">
        <v>30</v>
      </c>
      <c r="N461" s="170">
        <v>80</v>
      </c>
      <c r="O461" s="170">
        <v>12</v>
      </c>
      <c r="P461" s="170">
        <v>100</v>
      </c>
      <c r="Q461" s="17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8">
        <v>521</v>
      </c>
      <c r="B462" s="170" t="str">
        <f t="shared" si="116"/>
        <v>0.7, Peanut Dig/Inverter 6R-36</v>
      </c>
      <c r="C462" s="135">
        <v>0.7</v>
      </c>
      <c r="D462" s="131" t="s">
        <v>440</v>
      </c>
      <c r="E462" s="131" t="s">
        <v>438</v>
      </c>
      <c r="F462" s="131" t="s">
        <v>200</v>
      </c>
      <c r="G462" s="131" t="str">
        <f t="shared" si="117"/>
        <v>Peanut Dig/Inverter 6R-36</v>
      </c>
      <c r="H462" s="244">
        <v>64700</v>
      </c>
      <c r="I462" s="170">
        <v>18</v>
      </c>
      <c r="J462" s="170">
        <v>3.5</v>
      </c>
      <c r="K462" s="170">
        <v>70</v>
      </c>
      <c r="L462" s="171">
        <f t="shared" si="113"/>
        <v>0.18707482993197277</v>
      </c>
      <c r="M462" s="170">
        <v>30</v>
      </c>
      <c r="N462" s="170">
        <v>80</v>
      </c>
      <c r="O462" s="170">
        <v>12</v>
      </c>
      <c r="P462" s="170">
        <v>100</v>
      </c>
      <c r="Q462" s="17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8">
        <v>526</v>
      </c>
      <c r="B463" s="170" t="str">
        <f t="shared" si="116"/>
        <v>0.71, Peanut Dump Cart 6-Row</v>
      </c>
      <c r="C463" s="135">
        <v>0.71</v>
      </c>
      <c r="D463" s="131" t="s">
        <v>440</v>
      </c>
      <c r="E463" s="131" t="s">
        <v>341</v>
      </c>
      <c r="F463" s="131" t="s">
        <v>46</v>
      </c>
      <c r="G463" s="131" t="str">
        <f t="shared" si="117"/>
        <v>Peanut Dump Cart 6-Row</v>
      </c>
      <c r="H463" s="244">
        <v>70000</v>
      </c>
      <c r="I463" s="170">
        <v>18</v>
      </c>
      <c r="J463" s="170">
        <v>2.5</v>
      </c>
      <c r="K463" s="170">
        <v>60</v>
      </c>
      <c r="L463" s="171">
        <f t="shared" si="113"/>
        <v>0.30555555555555552</v>
      </c>
      <c r="M463" s="170">
        <v>30</v>
      </c>
      <c r="N463" s="170">
        <v>50</v>
      </c>
      <c r="O463" s="170">
        <v>10</v>
      </c>
      <c r="P463" s="170">
        <v>150</v>
      </c>
      <c r="Q463" s="17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8">
        <v>524</v>
      </c>
      <c r="B464" s="170" t="str">
        <f t="shared" si="116"/>
        <v>0.72, Peanut Lifter 6-Row</v>
      </c>
      <c r="C464" s="135">
        <v>0.72</v>
      </c>
      <c r="D464" s="131" t="s">
        <v>440</v>
      </c>
      <c r="E464" s="131" t="s">
        <v>342</v>
      </c>
      <c r="F464" s="131" t="s">
        <v>46</v>
      </c>
      <c r="G464" s="131" t="str">
        <f t="shared" si="117"/>
        <v>Peanut Lifter 6-Row</v>
      </c>
      <c r="H464" s="244">
        <v>10100</v>
      </c>
      <c r="I464" s="170">
        <v>18</v>
      </c>
      <c r="J464" s="170">
        <v>3.5</v>
      </c>
      <c r="K464" s="170">
        <v>60</v>
      </c>
      <c r="L464" s="171">
        <f t="shared" si="113"/>
        <v>0.21825396825396828</v>
      </c>
      <c r="M464" s="170">
        <v>30</v>
      </c>
      <c r="N464" s="170">
        <v>80</v>
      </c>
      <c r="O464" s="170">
        <v>12</v>
      </c>
      <c r="P464" s="170">
        <v>100</v>
      </c>
      <c r="Q464" s="17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8"/>
      <c r="B465" s="170" t="str">
        <f t="shared" si="116"/>
        <v>0.73, Peanut Wagon 14'</v>
      </c>
      <c r="C465" s="135">
        <v>0.73</v>
      </c>
      <c r="D465" s="131" t="s">
        <v>440</v>
      </c>
      <c r="E465" s="131" t="s">
        <v>435</v>
      </c>
      <c r="F465" s="131" t="s">
        <v>12</v>
      </c>
      <c r="G465" s="131" t="str">
        <f t="shared" si="117"/>
        <v>Peanut Wagon 14'</v>
      </c>
      <c r="H465" s="248">
        <v>5700</v>
      </c>
      <c r="I465" s="170">
        <v>6</v>
      </c>
      <c r="J465" s="170">
        <v>2.5</v>
      </c>
      <c r="K465" s="170">
        <v>60</v>
      </c>
      <c r="L465" s="171">
        <f t="shared" si="113"/>
        <v>0.91666666666666674</v>
      </c>
      <c r="M465" s="170">
        <v>20</v>
      </c>
      <c r="N465" s="170">
        <v>80</v>
      </c>
      <c r="O465" s="170">
        <v>12</v>
      </c>
      <c r="P465" s="170">
        <v>150</v>
      </c>
      <c r="Q465" s="17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8"/>
      <c r="B466" s="170" t="str">
        <f t="shared" si="116"/>
        <v>0.74, Peanut Wagon 21'</v>
      </c>
      <c r="C466" s="135">
        <v>0.74</v>
      </c>
      <c r="D466" s="131" t="s">
        <v>440</v>
      </c>
      <c r="E466" s="131" t="s">
        <v>435</v>
      </c>
      <c r="F466" s="131" t="s">
        <v>39</v>
      </c>
      <c r="G466" s="131" t="str">
        <f t="shared" si="117"/>
        <v>Peanut Wagon 21'</v>
      </c>
      <c r="H466" s="248">
        <v>8600</v>
      </c>
      <c r="I466" s="170">
        <v>12</v>
      </c>
      <c r="J466" s="170">
        <v>2.5</v>
      </c>
      <c r="K466" s="170">
        <v>60</v>
      </c>
      <c r="L466" s="171">
        <f t="shared" si="113"/>
        <v>0.45833333333333337</v>
      </c>
      <c r="M466" s="170">
        <v>20</v>
      </c>
      <c r="N466" s="170">
        <v>80</v>
      </c>
      <c r="O466" s="170">
        <v>12</v>
      </c>
      <c r="P466" s="170">
        <v>150</v>
      </c>
      <c r="Q466" s="17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8"/>
      <c r="B467" s="170" t="str">
        <f t="shared" si="116"/>
        <v>0.75, Peanut Wagon 28'</v>
      </c>
      <c r="C467" s="135">
        <v>0.75</v>
      </c>
      <c r="D467" s="131" t="s">
        <v>440</v>
      </c>
      <c r="E467" s="131" t="s">
        <v>435</v>
      </c>
      <c r="F467" s="131" t="s">
        <v>87</v>
      </c>
      <c r="G467" s="131" t="str">
        <f t="shared" si="117"/>
        <v>Peanut Wagon 28'</v>
      </c>
      <c r="H467" s="248">
        <v>10000</v>
      </c>
      <c r="I467" s="170">
        <v>18</v>
      </c>
      <c r="J467" s="170">
        <v>2.5</v>
      </c>
      <c r="K467" s="170">
        <v>60</v>
      </c>
      <c r="L467" s="171">
        <f t="shared" si="113"/>
        <v>0.30555555555555552</v>
      </c>
      <c r="M467" s="170">
        <v>20</v>
      </c>
      <c r="N467" s="170">
        <v>80</v>
      </c>
      <c r="O467" s="170">
        <v>12</v>
      </c>
      <c r="P467" s="170">
        <v>150</v>
      </c>
      <c r="Q467" s="17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8"/>
      <c r="B468" s="170" t="str">
        <f t="shared" si="116"/>
        <v>0.76, Pull-type Peanut Combine 2R-36</v>
      </c>
      <c r="C468" s="135">
        <v>0.76</v>
      </c>
      <c r="D468" s="131" t="s">
        <v>440</v>
      </c>
      <c r="E468" s="131" t="s">
        <v>436</v>
      </c>
      <c r="F468" s="131" t="s">
        <v>437</v>
      </c>
      <c r="G468" s="131" t="str">
        <f t="shared" si="117"/>
        <v>Pull-type Peanut Combine 2R-36</v>
      </c>
      <c r="H468" s="248">
        <v>165000</v>
      </c>
      <c r="I468" s="170">
        <v>6</v>
      </c>
      <c r="J468" s="170">
        <v>2.5</v>
      </c>
      <c r="K468" s="170">
        <v>60</v>
      </c>
      <c r="L468" s="171">
        <f t="shared" si="113"/>
        <v>0.91666666666666674</v>
      </c>
      <c r="M468" s="170">
        <v>20</v>
      </c>
      <c r="N468" s="170">
        <v>40</v>
      </c>
      <c r="O468" s="170">
        <v>10</v>
      </c>
      <c r="P468" s="170">
        <v>150</v>
      </c>
      <c r="Q468" s="17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8"/>
      <c r="B469" s="170" t="str">
        <f t="shared" si="116"/>
        <v>0.77, Pull-type Peanut Combine 4R-36</v>
      </c>
      <c r="C469" s="135">
        <v>0.77</v>
      </c>
      <c r="D469" s="131" t="s">
        <v>440</v>
      </c>
      <c r="E469" s="131" t="s">
        <v>436</v>
      </c>
      <c r="F469" s="131" t="s">
        <v>73</v>
      </c>
      <c r="G469" s="131" t="str">
        <f t="shared" si="117"/>
        <v>Pull-type Peanut Combine 4R-36</v>
      </c>
      <c r="H469" s="244">
        <v>181000</v>
      </c>
      <c r="I469" s="170">
        <v>12</v>
      </c>
      <c r="J469" s="170">
        <v>2.5</v>
      </c>
      <c r="K469" s="170">
        <v>60</v>
      </c>
      <c r="L469" s="171">
        <f t="shared" si="113"/>
        <v>0.45833333333333337</v>
      </c>
      <c r="M469" s="170">
        <v>20</v>
      </c>
      <c r="N469" s="170">
        <v>40</v>
      </c>
      <c r="O469" s="170">
        <v>10</v>
      </c>
      <c r="P469" s="170">
        <v>150</v>
      </c>
      <c r="Q469" s="17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8"/>
      <c r="B470" s="170" t="str">
        <f t="shared" si="116"/>
        <v>0.78, Pull-type Peanut Combine 6R-36</v>
      </c>
      <c r="C470" s="135">
        <v>0.78</v>
      </c>
      <c r="D470" s="131" t="s">
        <v>440</v>
      </c>
      <c r="E470" s="131" t="s">
        <v>436</v>
      </c>
      <c r="F470" s="131" t="s">
        <v>200</v>
      </c>
      <c r="G470" s="131" t="str">
        <f t="shared" si="117"/>
        <v>Pull-type Peanut Combine 6R-36</v>
      </c>
      <c r="H470" s="244">
        <v>197000</v>
      </c>
      <c r="I470" s="170">
        <v>18</v>
      </c>
      <c r="J470" s="170">
        <v>2.5</v>
      </c>
      <c r="K470" s="170">
        <v>60</v>
      </c>
      <c r="L470" s="171">
        <f t="shared" si="113"/>
        <v>0.30555555555555552</v>
      </c>
      <c r="M470" s="170">
        <v>20</v>
      </c>
      <c r="N470" s="170">
        <v>40</v>
      </c>
      <c r="O470" s="170">
        <v>10</v>
      </c>
      <c r="P470" s="170">
        <v>150</v>
      </c>
      <c r="Q470" s="17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8">
        <v>200</v>
      </c>
      <c r="B471" s="170" t="str">
        <f t="shared" si="116"/>
        <v>0.79, Stalk Shredder 14'</v>
      </c>
      <c r="C471" s="135">
        <v>0.79</v>
      </c>
      <c r="D471" s="131" t="s">
        <v>440</v>
      </c>
      <c r="E471" s="131" t="s">
        <v>343</v>
      </c>
      <c r="F471" s="131" t="s">
        <v>12</v>
      </c>
      <c r="G471" s="131" t="str">
        <f t="shared" si="117"/>
        <v>Stalk Shredder 14'</v>
      </c>
      <c r="H471" s="244">
        <v>37500</v>
      </c>
      <c r="I471" s="170">
        <v>14</v>
      </c>
      <c r="J471" s="170">
        <v>6.25</v>
      </c>
      <c r="K471" s="170">
        <v>80</v>
      </c>
      <c r="L471" s="171">
        <f t="shared" si="113"/>
        <v>0.11785714285714287</v>
      </c>
      <c r="M471" s="170">
        <v>30</v>
      </c>
      <c r="N471" s="170">
        <v>175</v>
      </c>
      <c r="O471" s="170">
        <v>10</v>
      </c>
      <c r="P471" s="170">
        <v>200</v>
      </c>
      <c r="Q471" s="17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8">
        <v>267</v>
      </c>
      <c r="B472" s="170" t="str">
        <f t="shared" si="116"/>
        <v>0.8, Stalk Shredder Flex 20'</v>
      </c>
      <c r="C472" s="135">
        <v>0.8</v>
      </c>
      <c r="D472" s="131" t="s">
        <v>440</v>
      </c>
      <c r="E472" s="131" t="s">
        <v>533</v>
      </c>
      <c r="F472" s="131" t="s">
        <v>8</v>
      </c>
      <c r="G472" s="131" t="str">
        <f t="shared" si="117"/>
        <v>Stalk Shredder Flex 20'</v>
      </c>
      <c r="H472" s="244">
        <v>33100</v>
      </c>
      <c r="I472" s="170">
        <v>20</v>
      </c>
      <c r="J472" s="170">
        <v>6.25</v>
      </c>
      <c r="K472" s="170">
        <v>80</v>
      </c>
      <c r="L472" s="171">
        <f t="shared" si="113"/>
        <v>8.2500000000000004E-2</v>
      </c>
      <c r="M472" s="170">
        <v>30</v>
      </c>
      <c r="N472" s="170">
        <v>175</v>
      </c>
      <c r="O472" s="170">
        <v>10</v>
      </c>
      <c r="P472" s="170">
        <v>200</v>
      </c>
      <c r="Q472" s="17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8">
        <v>479</v>
      </c>
      <c r="B473" s="170" t="str">
        <f t="shared" si="116"/>
        <v>0.81, Stalk Shredder-Flail 12'</v>
      </c>
      <c r="C473" s="135">
        <v>0.81</v>
      </c>
      <c r="D473" s="131" t="s">
        <v>440</v>
      </c>
      <c r="E473" s="131" t="s">
        <v>344</v>
      </c>
      <c r="F473" s="131" t="s">
        <v>11</v>
      </c>
      <c r="G473" s="131" t="str">
        <f t="shared" si="117"/>
        <v>Stalk Shredder-Flail 12'</v>
      </c>
      <c r="H473" s="244">
        <v>32200</v>
      </c>
      <c r="I473" s="170">
        <v>12</v>
      </c>
      <c r="J473" s="170">
        <v>6.25</v>
      </c>
      <c r="K473" s="170">
        <v>80</v>
      </c>
      <c r="L473" s="171">
        <f t="shared" si="113"/>
        <v>0.13750000000000001</v>
      </c>
      <c r="M473" s="170">
        <v>30</v>
      </c>
      <c r="N473" s="170">
        <v>175</v>
      </c>
      <c r="O473" s="170">
        <v>10</v>
      </c>
      <c r="P473" s="170">
        <v>200</v>
      </c>
      <c r="Q473" s="17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8">
        <v>563</v>
      </c>
      <c r="B474" s="170" t="str">
        <f t="shared" si="116"/>
        <v>0.82, Stalk Shredder-Flail 15'</v>
      </c>
      <c r="C474" s="135">
        <v>0.82</v>
      </c>
      <c r="D474" s="131" t="s">
        <v>440</v>
      </c>
      <c r="E474" s="131" t="s">
        <v>344</v>
      </c>
      <c r="F474" s="131" t="s">
        <v>10</v>
      </c>
      <c r="G474" s="131" t="str">
        <f t="shared" si="117"/>
        <v>Stalk Shredder-Flail 15'</v>
      </c>
      <c r="H474" s="244">
        <v>35700</v>
      </c>
      <c r="I474" s="170">
        <v>15</v>
      </c>
      <c r="J474" s="170">
        <v>6.25</v>
      </c>
      <c r="K474" s="170">
        <v>80</v>
      </c>
      <c r="L474" s="171">
        <f t="shared" si="113"/>
        <v>0.10999999999999999</v>
      </c>
      <c r="M474" s="170">
        <v>30</v>
      </c>
      <c r="N474" s="170">
        <v>175</v>
      </c>
      <c r="O474" s="170">
        <v>10</v>
      </c>
      <c r="P474" s="170">
        <v>200</v>
      </c>
      <c r="Q474" s="17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8">
        <v>564</v>
      </c>
      <c r="B475" s="170" t="str">
        <f t="shared" si="116"/>
        <v>0.83, Stalk Shredder-Flail 18'</v>
      </c>
      <c r="C475" s="135">
        <v>0.83</v>
      </c>
      <c r="D475" s="131" t="s">
        <v>440</v>
      </c>
      <c r="E475" s="131" t="s">
        <v>344</v>
      </c>
      <c r="F475" s="131" t="s">
        <v>9</v>
      </c>
      <c r="G475" s="131" t="str">
        <f t="shared" si="117"/>
        <v>Stalk Shredder-Flail 18'</v>
      </c>
      <c r="H475" s="244">
        <v>53400</v>
      </c>
      <c r="I475" s="170">
        <v>18</v>
      </c>
      <c r="J475" s="170">
        <v>6.25</v>
      </c>
      <c r="K475" s="170">
        <v>80</v>
      </c>
      <c r="L475" s="171">
        <f t="shared" si="113"/>
        <v>9.1666666666666674E-2</v>
      </c>
      <c r="M475" s="170">
        <v>30</v>
      </c>
      <c r="N475" s="170">
        <v>175</v>
      </c>
      <c r="O475" s="170">
        <v>10</v>
      </c>
      <c r="P475" s="170">
        <v>200</v>
      </c>
      <c r="Q475" s="17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8">
        <v>482</v>
      </c>
      <c r="B476" s="170" t="str">
        <f t="shared" si="116"/>
        <v>0.84, Stalk Shredder-Flail 20'</v>
      </c>
      <c r="C476" s="135">
        <v>0.84</v>
      </c>
      <c r="D476" s="131" t="s">
        <v>440</v>
      </c>
      <c r="E476" s="131" t="s">
        <v>344</v>
      </c>
      <c r="F476" s="131" t="s">
        <v>8</v>
      </c>
      <c r="G476" s="131" t="str">
        <f t="shared" si="117"/>
        <v>Stalk Shredder-Flail 20'</v>
      </c>
      <c r="H476" s="244">
        <v>47500</v>
      </c>
      <c r="I476" s="170">
        <v>20</v>
      </c>
      <c r="J476" s="170">
        <v>6.25</v>
      </c>
      <c r="K476" s="170">
        <v>80</v>
      </c>
      <c r="L476" s="171">
        <f t="shared" si="113"/>
        <v>8.2500000000000004E-2</v>
      </c>
      <c r="M476" s="170">
        <v>30</v>
      </c>
      <c r="N476" s="170">
        <v>175</v>
      </c>
      <c r="O476" s="170">
        <v>10</v>
      </c>
      <c r="P476" s="170">
        <v>200</v>
      </c>
      <c r="Q476" s="17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8">
        <v>565</v>
      </c>
      <c r="B477" s="170" t="str">
        <f t="shared" si="116"/>
        <v>0.85, Stalk Shredder-Flail 25'</v>
      </c>
      <c r="C477" s="135">
        <v>0.85</v>
      </c>
      <c r="D477" s="131" t="s">
        <v>440</v>
      </c>
      <c r="E477" s="131" t="s">
        <v>344</v>
      </c>
      <c r="F477" s="131" t="s">
        <v>7</v>
      </c>
      <c r="G477" s="131" t="str">
        <f t="shared" si="117"/>
        <v>Stalk Shredder-Flail 25'</v>
      </c>
      <c r="H477" s="244">
        <v>72200</v>
      </c>
      <c r="I477" s="170">
        <v>25</v>
      </c>
      <c r="J477" s="170">
        <v>6.25</v>
      </c>
      <c r="K477" s="170">
        <v>80</v>
      </c>
      <c r="L477" s="171">
        <f t="shared" si="113"/>
        <v>6.6000000000000003E-2</v>
      </c>
      <c r="M477" s="170">
        <v>30</v>
      </c>
      <c r="N477" s="170">
        <v>175</v>
      </c>
      <c r="O477" s="170">
        <v>10</v>
      </c>
      <c r="P477" s="170">
        <v>200</v>
      </c>
      <c r="Q477" s="17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31"/>
    </row>
    <row r="479" spans="1:32" x14ac:dyDescent="0.2">
      <c r="D479" s="131"/>
    </row>
    <row r="480" spans="1:32" x14ac:dyDescent="0.2">
      <c r="D480" s="131"/>
    </row>
    <row r="481" spans="4:4" x14ac:dyDescent="0.2">
      <c r="D481" s="131"/>
    </row>
    <row r="482" spans="4:4" x14ac:dyDescent="0.2">
      <c r="D482" s="131"/>
    </row>
    <row r="483" spans="4:4" x14ac:dyDescent="0.2">
      <c r="D483" s="131"/>
    </row>
    <row r="484" spans="4:4" x14ac:dyDescent="0.2">
      <c r="D484" s="131"/>
    </row>
    <row r="485" spans="4:4" x14ac:dyDescent="0.2">
      <c r="D485" s="131"/>
    </row>
    <row r="486" spans="4:4" x14ac:dyDescent="0.2">
      <c r="D486" s="131"/>
    </row>
    <row r="487" spans="4:4" x14ac:dyDescent="0.2">
      <c r="D487" s="131"/>
    </row>
    <row r="488" spans="4:4" x14ac:dyDescent="0.2">
      <c r="D488" s="131"/>
    </row>
    <row r="489" spans="4:4" x14ac:dyDescent="0.2">
      <c r="D489" s="131"/>
    </row>
    <row r="490" spans="4:4" x14ac:dyDescent="0.2">
      <c r="D490" s="131"/>
    </row>
    <row r="491" spans="4:4" x14ac:dyDescent="0.2">
      <c r="D491" s="131"/>
    </row>
    <row r="492" spans="4:4" x14ac:dyDescent="0.2">
      <c r="D492" s="131"/>
    </row>
    <row r="493" spans="4:4" x14ac:dyDescent="0.2">
      <c r="D493" s="131"/>
    </row>
    <row r="494" spans="4:4" x14ac:dyDescent="0.2">
      <c r="D494" s="131"/>
    </row>
    <row r="495" spans="4:4" x14ac:dyDescent="0.2">
      <c r="D495" s="131"/>
    </row>
    <row r="496" spans="4:4" x14ac:dyDescent="0.2">
      <c r="D496" s="131"/>
    </row>
    <row r="497" spans="4:4" x14ac:dyDescent="0.2">
      <c r="D497" s="131"/>
    </row>
    <row r="498" spans="4:4" x14ac:dyDescent="0.2">
      <c r="D498" s="131"/>
    </row>
    <row r="499" spans="4:4" x14ac:dyDescent="0.2">
      <c r="D499" s="131"/>
    </row>
    <row r="517" spans="4:4" x14ac:dyDescent="0.2">
      <c r="D517" s="135" t="s">
        <v>63</v>
      </c>
    </row>
    <row r="518" spans="4:4" x14ac:dyDescent="0.2">
      <c r="D518" s="135" t="s">
        <v>63</v>
      </c>
    </row>
    <row r="519" spans="4:4" x14ac:dyDescent="0.2">
      <c r="D519" s="135" t="s">
        <v>63</v>
      </c>
    </row>
    <row r="520" spans="4:4" x14ac:dyDescent="0.2">
      <c r="D520" s="135" t="s">
        <v>63</v>
      </c>
    </row>
    <row r="521" spans="4:4" x14ac:dyDescent="0.2">
      <c r="D521" s="135" t="s">
        <v>63</v>
      </c>
    </row>
    <row r="522" spans="4:4" x14ac:dyDescent="0.2">
      <c r="D522" s="135" t="s">
        <v>63</v>
      </c>
    </row>
    <row r="523" spans="4:4" x14ac:dyDescent="0.2">
      <c r="D523" s="135" t="s">
        <v>63</v>
      </c>
    </row>
    <row r="524" spans="4:4" x14ac:dyDescent="0.2">
      <c r="D524" s="135" t="s">
        <v>63</v>
      </c>
    </row>
    <row r="525" spans="4:4" x14ac:dyDescent="0.2">
      <c r="D525" s="135" t="s">
        <v>63</v>
      </c>
    </row>
    <row r="526" spans="4:4" x14ac:dyDescent="0.2">
      <c r="D526" s="135" t="s">
        <v>63</v>
      </c>
    </row>
    <row r="527" spans="4:4" x14ac:dyDescent="0.2">
      <c r="D527" s="135" t="s">
        <v>63</v>
      </c>
    </row>
    <row r="528" spans="4:4" x14ac:dyDescent="0.2">
      <c r="D528" s="135" t="s">
        <v>63</v>
      </c>
    </row>
    <row r="529" spans="4:4" x14ac:dyDescent="0.2">
      <c r="D529" s="135" t="s">
        <v>63</v>
      </c>
    </row>
    <row r="530" spans="4:4" x14ac:dyDescent="0.2">
      <c r="D530" s="135" t="s">
        <v>63</v>
      </c>
    </row>
    <row r="531" spans="4:4" x14ac:dyDescent="0.2">
      <c r="D531" s="135" t="s">
        <v>63</v>
      </c>
    </row>
    <row r="532" spans="4:4" x14ac:dyDescent="0.2">
      <c r="D532" s="135" t="s">
        <v>63</v>
      </c>
    </row>
    <row r="533" spans="4:4" x14ac:dyDescent="0.2">
      <c r="D533" s="135" t="s">
        <v>63</v>
      </c>
    </row>
    <row r="534" spans="4:4" x14ac:dyDescent="0.2">
      <c r="D534" s="135" t="s">
        <v>63</v>
      </c>
    </row>
    <row r="535" spans="4:4" x14ac:dyDescent="0.2">
      <c r="D535" s="135" t="s">
        <v>63</v>
      </c>
    </row>
    <row r="536" spans="4:4" x14ac:dyDescent="0.2">
      <c r="D536" s="135" t="s">
        <v>63</v>
      </c>
    </row>
    <row r="537" spans="4:4" x14ac:dyDescent="0.2">
      <c r="D537" s="135" t="s">
        <v>63</v>
      </c>
    </row>
    <row r="538" spans="4:4" x14ac:dyDescent="0.2">
      <c r="D538" s="135" t="s">
        <v>63</v>
      </c>
    </row>
    <row r="539" spans="4:4" x14ac:dyDescent="0.2">
      <c r="D539" s="135" t="s">
        <v>63</v>
      </c>
    </row>
    <row r="540" spans="4:4" x14ac:dyDescent="0.2">
      <c r="D540" s="135" t="s">
        <v>63</v>
      </c>
    </row>
    <row r="541" spans="4:4" x14ac:dyDescent="0.2">
      <c r="D541" s="135" t="s">
        <v>63</v>
      </c>
    </row>
    <row r="542" spans="4:4" x14ac:dyDescent="0.2">
      <c r="D542" s="135" t="s">
        <v>63</v>
      </c>
    </row>
    <row r="543" spans="4:4" x14ac:dyDescent="0.2">
      <c r="D543" s="135" t="s">
        <v>63</v>
      </c>
    </row>
    <row r="544" spans="4:4" x14ac:dyDescent="0.2">
      <c r="D544" s="135" t="s">
        <v>63</v>
      </c>
    </row>
    <row r="545" spans="4:4" x14ac:dyDescent="0.2">
      <c r="D545" s="135" t="s">
        <v>63</v>
      </c>
    </row>
    <row r="546" spans="4:4" x14ac:dyDescent="0.2">
      <c r="D546" s="135" t="s">
        <v>63</v>
      </c>
    </row>
    <row r="547" spans="4:4" x14ac:dyDescent="0.2">
      <c r="D547" s="135" t="s">
        <v>63</v>
      </c>
    </row>
    <row r="548" spans="4:4" x14ac:dyDescent="0.2">
      <c r="D548" s="135" t="s">
        <v>63</v>
      </c>
    </row>
    <row r="549" spans="4:4" x14ac:dyDescent="0.2">
      <c r="D549" s="135" t="s">
        <v>63</v>
      </c>
    </row>
    <row r="550" spans="4:4" x14ac:dyDescent="0.2">
      <c r="D550" s="135" t="s">
        <v>63</v>
      </c>
    </row>
    <row r="551" spans="4:4" x14ac:dyDescent="0.2">
      <c r="D551" s="135" t="s">
        <v>63</v>
      </c>
    </row>
    <row r="552" spans="4:4" x14ac:dyDescent="0.2">
      <c r="D552" s="135" t="s">
        <v>63</v>
      </c>
    </row>
    <row r="553" spans="4:4" x14ac:dyDescent="0.2">
      <c r="D553" s="135" t="s">
        <v>63</v>
      </c>
    </row>
    <row r="554" spans="4:4" x14ac:dyDescent="0.2">
      <c r="D554" s="135" t="s">
        <v>63</v>
      </c>
    </row>
    <row r="555" spans="4:4" x14ac:dyDescent="0.2">
      <c r="D555" s="135" t="s">
        <v>63</v>
      </c>
    </row>
    <row r="556" spans="4:4" x14ac:dyDescent="0.2">
      <c r="D556" s="135" t="s">
        <v>63</v>
      </c>
    </row>
    <row r="557" spans="4:4" x14ac:dyDescent="0.2">
      <c r="D557" s="135" t="s">
        <v>63</v>
      </c>
    </row>
    <row r="558" spans="4:4" x14ac:dyDescent="0.2">
      <c r="D558" s="135" t="s">
        <v>63</v>
      </c>
    </row>
    <row r="559" spans="4:4" x14ac:dyDescent="0.2">
      <c r="D559" s="135" t="s">
        <v>63</v>
      </c>
    </row>
    <row r="560" spans="4:4" x14ac:dyDescent="0.2">
      <c r="D560" s="13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70" bestFit="1" customWidth="1"/>
    <col min="2" max="2" width="32.1640625" style="170" bestFit="1" customWidth="1"/>
    <col min="3" max="3" width="3.1640625" style="155" bestFit="1" customWidth="1"/>
    <col min="4" max="4" width="2" style="131" bestFit="1" customWidth="1"/>
    <col min="5" max="5" width="12.5" style="131" bestFit="1" customWidth="1"/>
    <col min="6" max="6" width="6.33203125" style="131" bestFit="1" customWidth="1"/>
    <col min="7" max="7" width="17.5" style="131" bestFit="1" customWidth="1"/>
    <col min="8" max="8" width="13.83203125" style="186" customWidth="1"/>
    <col min="9" max="9" width="8" style="170" bestFit="1" customWidth="1"/>
    <col min="10" max="10" width="5.1640625" style="170" bestFit="1" customWidth="1"/>
    <col min="11" max="11" width="5.6640625" style="170" bestFit="1" customWidth="1"/>
    <col min="12" max="12" width="5.33203125" style="170" bestFit="1" customWidth="1"/>
    <col min="13" max="13" width="5.5" style="170" bestFit="1" customWidth="1"/>
    <col min="14" max="14" width="4.6640625" style="170" bestFit="1" customWidth="1"/>
    <col min="15" max="16" width="5.33203125" style="170" bestFit="1" customWidth="1"/>
    <col min="17" max="17" width="9" style="170" bestFit="1" customWidth="1"/>
    <col min="18" max="18" width="7.6640625" style="170" bestFit="1" customWidth="1"/>
    <col min="19" max="19" width="10" style="170" bestFit="1" customWidth="1"/>
    <col min="20" max="20" width="9" style="170" bestFit="1" customWidth="1"/>
    <col min="21" max="21" width="10" style="170" bestFit="1" customWidth="1"/>
    <col min="22" max="22" width="9" style="170" bestFit="1" customWidth="1"/>
    <col min="23" max="23" width="8.83203125" style="170"/>
    <col min="24" max="24" width="9" style="170" bestFit="1" customWidth="1"/>
    <col min="25" max="25" width="8.6640625" style="170" bestFit="1" customWidth="1"/>
    <col min="26" max="28" width="6" style="193" bestFit="1" customWidth="1"/>
    <col min="29" max="29" width="5" style="193" bestFit="1" customWidth="1"/>
    <col min="30" max="30" width="4.5" style="193" bestFit="1" customWidth="1"/>
    <col min="31" max="31" width="5.5" style="193" bestFit="1" customWidth="1"/>
    <col min="32" max="32" width="9.5" style="170" bestFit="1" customWidth="1"/>
    <col min="33" max="16384" width="8.83203125" style="170"/>
  </cols>
  <sheetData>
    <row r="1" spans="1:31" x14ac:dyDescent="0.2">
      <c r="A1" s="236" t="s">
        <v>446</v>
      </c>
      <c r="B1" s="236"/>
      <c r="C1" s="147">
        <v>2</v>
      </c>
      <c r="D1" s="131">
        <v>3</v>
      </c>
      <c r="E1" s="131">
        <v>4</v>
      </c>
      <c r="F1" s="131">
        <v>5</v>
      </c>
      <c r="G1" s="131">
        <v>6</v>
      </c>
      <c r="H1" s="186">
        <v>7</v>
      </c>
      <c r="I1" s="170">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row>
    <row r="2" spans="1:31" x14ac:dyDescent="0.2">
      <c r="B2" s="194"/>
      <c r="C2" s="195"/>
      <c r="D2" s="196"/>
      <c r="E2" s="197"/>
      <c r="O2" s="242" t="s">
        <v>159</v>
      </c>
      <c r="P2" s="242"/>
      <c r="Q2" s="235" t="s">
        <v>124</v>
      </c>
      <c r="R2" s="235"/>
    </row>
    <row r="3" spans="1:31" s="11" customFormat="1" ht="10.25" customHeight="1" x14ac:dyDescent="0.15">
      <c r="A3" s="22" t="s">
        <v>439</v>
      </c>
      <c r="B3" s="22" t="s">
        <v>122</v>
      </c>
      <c r="C3" s="154" t="s">
        <v>123</v>
      </c>
      <c r="D3" s="133" t="s">
        <v>441</v>
      </c>
      <c r="E3" s="134" t="s">
        <v>121</v>
      </c>
      <c r="F3" s="134" t="s">
        <v>120</v>
      </c>
      <c r="G3" s="134" t="s">
        <v>442</v>
      </c>
      <c r="H3" s="187"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198" t="s">
        <v>449</v>
      </c>
      <c r="AA3" s="198" t="s">
        <v>448</v>
      </c>
      <c r="AB3" s="199" t="s">
        <v>450</v>
      </c>
      <c r="AC3" s="198" t="s">
        <v>451</v>
      </c>
      <c r="AD3" s="198" t="s">
        <v>452</v>
      </c>
      <c r="AE3" s="198" t="s">
        <v>453</v>
      </c>
    </row>
    <row r="4" spans="1:31" x14ac:dyDescent="0.2">
      <c r="B4" s="170" t="str">
        <f>CONCATENATE(C4,D4,E4,F4)</f>
        <v>0.01, Combine (200-249 hp) 240 hp</v>
      </c>
      <c r="C4" s="135">
        <v>0.01</v>
      </c>
      <c r="D4" s="131" t="s">
        <v>440</v>
      </c>
      <c r="E4" s="131" t="s">
        <v>422</v>
      </c>
      <c r="F4" s="131" t="s">
        <v>423</v>
      </c>
      <c r="G4" s="131" t="str">
        <f>CONCATENATE(E4,F4)</f>
        <v>Combine (200-249 hp) 240 hp</v>
      </c>
      <c r="H4" s="186">
        <v>418000</v>
      </c>
      <c r="I4" s="170">
        <v>12.35</v>
      </c>
      <c r="J4" s="170">
        <v>30</v>
      </c>
      <c r="K4" s="170">
        <v>25</v>
      </c>
      <c r="L4" s="170">
        <v>12</v>
      </c>
      <c r="M4" s="170">
        <v>200</v>
      </c>
      <c r="N4" s="17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00">
        <f>((1.132-0.165*(L4^0.5)-0.0079*(M4^0.5))^2)*H4</f>
        <v>84156.782239090142</v>
      </c>
      <c r="AA4" s="200">
        <f>(H4-Z4)/L4</f>
        <v>27820.268146742488</v>
      </c>
      <c r="AB4" s="200">
        <f t="shared" ref="AB4:AB43" si="0">(Z4+H4)*intir</f>
        <v>45194.110401518112</v>
      </c>
      <c r="AC4" s="200">
        <f t="shared" ref="AC4:AC43" si="1">(Z4+H4)*itr</f>
        <v>12051.762773738163</v>
      </c>
      <c r="AD4" s="200">
        <f>(AA4+AB4+AC4)/M4</f>
        <v>425.3307066099938</v>
      </c>
      <c r="AE4" s="201">
        <f>AD4-Y4</f>
        <v>148.54503994332714</v>
      </c>
    </row>
    <row r="5" spans="1:31" x14ac:dyDescent="0.2">
      <c r="A5" s="170">
        <v>46</v>
      </c>
      <c r="B5" s="170" t="str">
        <f>CONCATENATE(C5,D5,E5,F5)</f>
        <v>0.02, Combine (250-299 hp) 265 hp</v>
      </c>
      <c r="C5" s="135">
        <v>0.02</v>
      </c>
      <c r="D5" s="131" t="s">
        <v>440</v>
      </c>
      <c r="E5" s="131" t="s">
        <v>204</v>
      </c>
      <c r="F5" s="131" t="s">
        <v>158</v>
      </c>
      <c r="G5" s="131" t="str">
        <f t="shared" ref="G5:G43" si="2">CONCATENATE(E5,F5)</f>
        <v>Combine (250-299 hp) 265 hp</v>
      </c>
      <c r="H5" s="188">
        <v>463000</v>
      </c>
      <c r="I5" s="170">
        <v>13.64</v>
      </c>
      <c r="J5" s="170">
        <v>30</v>
      </c>
      <c r="K5" s="170">
        <v>25</v>
      </c>
      <c r="L5" s="170">
        <v>12</v>
      </c>
      <c r="M5" s="170">
        <v>200</v>
      </c>
      <c r="N5" s="17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00">
        <f t="shared" ref="Z5:Z11" si="3">((1.132-0.165*(L5^0.5)-0.0079*(M5^0.5))^2)*H5</f>
        <v>93216.722910762517</v>
      </c>
      <c r="AA5" s="200">
        <f t="shared" ref="AA5:AA43" si="4">(H5-Z5)/L5</f>
        <v>30815.273090769788</v>
      </c>
      <c r="AB5" s="200">
        <f t="shared" si="0"/>
        <v>50059.505061968623</v>
      </c>
      <c r="AC5" s="200">
        <f t="shared" si="1"/>
        <v>13349.201349858302</v>
      </c>
      <c r="AD5" s="200">
        <f t="shared" ref="AD5:AD43" si="5">(AA5+AB5+AC5)/M5</f>
        <v>471.11989751298353</v>
      </c>
      <c r="AE5" s="201">
        <f t="shared" ref="AE5:AE43" si="6">AD5-Y5</f>
        <v>164.53673084631686</v>
      </c>
    </row>
    <row r="6" spans="1:31" x14ac:dyDescent="0.2">
      <c r="A6" s="170">
        <v>47</v>
      </c>
      <c r="B6" s="170" t="str">
        <f t="shared" ref="B6:B43" si="7">CONCATENATE(C6,D6,E6,F6)</f>
        <v>0.03, Combine (300-349 hp) 325 hp</v>
      </c>
      <c r="C6" s="135">
        <v>0.03</v>
      </c>
      <c r="D6" s="131" t="s">
        <v>440</v>
      </c>
      <c r="E6" s="131" t="s">
        <v>205</v>
      </c>
      <c r="F6" s="131" t="s">
        <v>157</v>
      </c>
      <c r="G6" s="131" t="str">
        <f t="shared" si="2"/>
        <v>Combine (300-349 hp) 325 hp</v>
      </c>
      <c r="H6" s="188">
        <v>538000</v>
      </c>
      <c r="I6" s="170">
        <v>16.73</v>
      </c>
      <c r="J6" s="170">
        <v>30</v>
      </c>
      <c r="K6" s="170">
        <v>25</v>
      </c>
      <c r="L6" s="170">
        <v>12</v>
      </c>
      <c r="M6" s="170">
        <v>300</v>
      </c>
      <c r="N6" s="17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00">
        <f t="shared" si="3"/>
        <v>96533.082518903466</v>
      </c>
      <c r="AA6" s="200">
        <f t="shared" si="4"/>
        <v>36788.909790091377</v>
      </c>
      <c r="AB6" s="200">
        <f t="shared" si="0"/>
        <v>57107.977426701305</v>
      </c>
      <c r="AC6" s="200">
        <f t="shared" si="1"/>
        <v>15228.793980453682</v>
      </c>
      <c r="AD6" s="200">
        <f t="shared" si="5"/>
        <v>363.75227065748788</v>
      </c>
      <c r="AE6" s="201">
        <f t="shared" si="6"/>
        <v>126.25515954637677</v>
      </c>
    </row>
    <row r="7" spans="1:31" x14ac:dyDescent="0.2">
      <c r="A7" s="170">
        <v>48</v>
      </c>
      <c r="B7" s="170" t="str">
        <f t="shared" si="7"/>
        <v>0.04, Combine (350-399 hp) 355 hp</v>
      </c>
      <c r="C7" s="135">
        <v>0.04</v>
      </c>
      <c r="D7" s="131" t="s">
        <v>440</v>
      </c>
      <c r="E7" s="131" t="s">
        <v>206</v>
      </c>
      <c r="F7" s="131" t="s">
        <v>156</v>
      </c>
      <c r="G7" s="131" t="str">
        <f t="shared" si="2"/>
        <v>Combine (350-399 hp) 355 hp</v>
      </c>
      <c r="H7" s="188">
        <v>556000</v>
      </c>
      <c r="I7" s="170">
        <v>18.27</v>
      </c>
      <c r="J7" s="170">
        <v>30</v>
      </c>
      <c r="K7" s="170">
        <v>25</v>
      </c>
      <c r="L7" s="170">
        <v>12</v>
      </c>
      <c r="M7" s="170">
        <v>300</v>
      </c>
      <c r="N7" s="17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00">
        <f t="shared" si="3"/>
        <v>99762.813904294278</v>
      </c>
      <c r="AA7" s="200">
        <f t="shared" si="4"/>
        <v>38019.765507975477</v>
      </c>
      <c r="AB7" s="200">
        <f t="shared" si="0"/>
        <v>59018.65325138648</v>
      </c>
      <c r="AC7" s="200">
        <f t="shared" si="1"/>
        <v>15738.307533703062</v>
      </c>
      <c r="AD7" s="200">
        <f t="shared" si="5"/>
        <v>375.92242097688342</v>
      </c>
      <c r="AE7" s="201">
        <f t="shared" si="6"/>
        <v>130.47930986577231</v>
      </c>
    </row>
    <row r="8" spans="1:31" x14ac:dyDescent="0.2">
      <c r="A8" s="170">
        <v>62</v>
      </c>
      <c r="B8" s="170" t="str">
        <f t="shared" si="7"/>
        <v>0.05, Combine (400-449 hp) 425 hp</v>
      </c>
      <c r="C8" s="135">
        <v>0.05</v>
      </c>
      <c r="D8" s="131" t="s">
        <v>440</v>
      </c>
      <c r="E8" s="131" t="s">
        <v>207</v>
      </c>
      <c r="F8" s="131" t="s">
        <v>155</v>
      </c>
      <c r="G8" s="131" t="str">
        <f t="shared" si="2"/>
        <v>Combine (400-449 hp) 425 hp</v>
      </c>
      <c r="H8" s="188">
        <v>562000</v>
      </c>
      <c r="I8" s="170">
        <v>21.876000000000001</v>
      </c>
      <c r="J8" s="170">
        <v>30</v>
      </c>
      <c r="K8" s="170">
        <v>25</v>
      </c>
      <c r="L8" s="170">
        <v>12</v>
      </c>
      <c r="M8" s="170">
        <v>300</v>
      </c>
      <c r="N8" s="17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00">
        <f t="shared" si="3"/>
        <v>100839.39103275789</v>
      </c>
      <c r="AA8" s="200">
        <f t="shared" si="4"/>
        <v>38430.050747270179</v>
      </c>
      <c r="AB8" s="200">
        <f t="shared" si="0"/>
        <v>59655.545192948215</v>
      </c>
      <c r="AC8" s="200">
        <f t="shared" si="1"/>
        <v>15908.14538478619</v>
      </c>
      <c r="AD8" s="200">
        <f t="shared" si="5"/>
        <v>379.97913775001524</v>
      </c>
      <c r="AE8" s="201">
        <f t="shared" si="6"/>
        <v>131.88735997223745</v>
      </c>
    </row>
    <row r="9" spans="1:31" x14ac:dyDescent="0.2">
      <c r="A9" s="170">
        <v>63</v>
      </c>
      <c r="B9" s="170" t="str">
        <f t="shared" si="7"/>
        <v>0.06, Combine (450-499 hp) 475 hp</v>
      </c>
      <c r="C9" s="135">
        <v>0.06</v>
      </c>
      <c r="D9" s="131" t="s">
        <v>440</v>
      </c>
      <c r="E9" s="131" t="s">
        <v>243</v>
      </c>
      <c r="F9" s="131" t="s">
        <v>154</v>
      </c>
      <c r="G9" s="131" t="str">
        <f t="shared" si="2"/>
        <v>Combine (450-499 hp) 475 hp</v>
      </c>
      <c r="H9" s="188">
        <v>592000</v>
      </c>
      <c r="I9" s="170">
        <v>24.449000000000002</v>
      </c>
      <c r="J9" s="170">
        <v>30</v>
      </c>
      <c r="K9" s="170">
        <v>25</v>
      </c>
      <c r="L9" s="170">
        <v>12</v>
      </c>
      <c r="M9" s="170">
        <v>300</v>
      </c>
      <c r="N9" s="17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00">
        <f t="shared" si="3"/>
        <v>106222.27667507593</v>
      </c>
      <c r="AA9" s="200">
        <f t="shared" si="4"/>
        <v>40481.47694374367</v>
      </c>
      <c r="AB9" s="200">
        <f t="shared" si="0"/>
        <v>62840.004900756838</v>
      </c>
      <c r="AC9" s="200">
        <f t="shared" si="1"/>
        <v>16757.334640201825</v>
      </c>
      <c r="AD9" s="200">
        <f t="shared" si="5"/>
        <v>400.26272161567442</v>
      </c>
      <c r="AE9" s="201">
        <f t="shared" si="6"/>
        <v>138.92761050456329</v>
      </c>
    </row>
    <row r="10" spans="1:31" x14ac:dyDescent="0.2">
      <c r="A10" s="170">
        <v>45</v>
      </c>
      <c r="B10" s="170" t="str">
        <f t="shared" si="7"/>
        <v>0.07, Cotton Stripper 173 hp</v>
      </c>
      <c r="C10" s="135">
        <v>7.0000000000000007E-2</v>
      </c>
      <c r="D10" s="131" t="s">
        <v>440</v>
      </c>
      <c r="E10" s="131" t="s">
        <v>208</v>
      </c>
      <c r="F10" s="131" t="s">
        <v>153</v>
      </c>
      <c r="G10" s="131" t="str">
        <f t="shared" si="2"/>
        <v>Cotton Stripper 173 hp</v>
      </c>
      <c r="H10" s="186">
        <v>205000</v>
      </c>
      <c r="I10" s="170">
        <v>8.08</v>
      </c>
      <c r="J10" s="170">
        <v>30</v>
      </c>
      <c r="K10" s="170">
        <v>25</v>
      </c>
      <c r="L10" s="170">
        <v>8</v>
      </c>
      <c r="M10" s="170">
        <v>200</v>
      </c>
      <c r="N10" s="17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00">
        <f t="shared" si="3"/>
        <v>62823.927385442214</v>
      </c>
      <c r="AA10" s="200">
        <f t="shared" si="4"/>
        <v>17772.009076819722</v>
      </c>
      <c r="AB10" s="200">
        <f t="shared" si="0"/>
        <v>24104.153464689796</v>
      </c>
      <c r="AC10" s="200">
        <f t="shared" si="1"/>
        <v>6427.7742572506131</v>
      </c>
      <c r="AD10" s="200">
        <f t="shared" si="5"/>
        <v>241.51968399380064</v>
      </c>
      <c r="AE10" s="201">
        <f t="shared" si="6"/>
        <v>75.879683993800654</v>
      </c>
    </row>
    <row r="11" spans="1:31" x14ac:dyDescent="0.2">
      <c r="A11" s="170">
        <v>64</v>
      </c>
      <c r="B11" s="170" t="str">
        <f t="shared" si="7"/>
        <v>0.08, Tractor (20-39 hp) MFWD 30</v>
      </c>
      <c r="C11" s="135">
        <v>0.08</v>
      </c>
      <c r="D11" s="131" t="s">
        <v>440</v>
      </c>
      <c r="E11" s="131" t="s">
        <v>244</v>
      </c>
      <c r="F11" s="131" t="s">
        <v>152</v>
      </c>
      <c r="G11" s="131" t="str">
        <f t="shared" si="2"/>
        <v>Tractor (20-39 hp) MFWD 30</v>
      </c>
      <c r="H11" s="189">
        <v>38500</v>
      </c>
      <c r="I11" s="170">
        <v>1.544</v>
      </c>
      <c r="J11" s="170">
        <v>20</v>
      </c>
      <c r="K11" s="170">
        <v>75</v>
      </c>
      <c r="L11" s="170">
        <v>14</v>
      </c>
      <c r="M11" s="170">
        <v>600</v>
      </c>
      <c r="N11" s="17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00">
        <f t="shared" si="3"/>
        <v>3969.9669970150858</v>
      </c>
      <c r="AA11" s="200">
        <f t="shared" si="4"/>
        <v>2466.4309287846368</v>
      </c>
      <c r="AB11" s="200">
        <f t="shared" si="0"/>
        <v>3822.2970297313577</v>
      </c>
      <c r="AC11" s="200">
        <f t="shared" si="1"/>
        <v>1019.2792079283621</v>
      </c>
      <c r="AD11" s="200">
        <f t="shared" si="5"/>
        <v>12.180011944073927</v>
      </c>
      <c r="AE11" s="201">
        <f t="shared" si="6"/>
        <v>4.1243452774072615</v>
      </c>
    </row>
    <row r="12" spans="1:31" x14ac:dyDescent="0.2">
      <c r="A12" s="170">
        <v>65</v>
      </c>
      <c r="B12" s="170" t="str">
        <f t="shared" si="7"/>
        <v>0.09, Tractor (20-39 hp) MFWD 30</v>
      </c>
      <c r="C12" s="135">
        <v>0.09</v>
      </c>
      <c r="D12" s="131" t="s">
        <v>440</v>
      </c>
      <c r="E12" s="131" t="s">
        <v>244</v>
      </c>
      <c r="F12" s="131" t="s">
        <v>152</v>
      </c>
      <c r="G12" s="131" t="str">
        <f t="shared" si="2"/>
        <v>Tractor (20-39 hp) MFWD 30</v>
      </c>
      <c r="H12" s="189">
        <v>28100</v>
      </c>
      <c r="I12" s="170">
        <v>1.544</v>
      </c>
      <c r="J12" s="170">
        <v>20</v>
      </c>
      <c r="K12" s="170">
        <v>75</v>
      </c>
      <c r="L12" s="170">
        <v>14</v>
      </c>
      <c r="M12" s="170">
        <v>600</v>
      </c>
      <c r="N12" s="17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00">
        <f>((0.981-0.093*(L12^0.5)-0.0058*(M12^0.5))^2)*H12</f>
        <v>6773.1470534754735</v>
      </c>
      <c r="AA12" s="200">
        <f t="shared" si="4"/>
        <v>1523.3466390374663</v>
      </c>
      <c r="AB12" s="200">
        <f t="shared" si="0"/>
        <v>3138.5832348127929</v>
      </c>
      <c r="AC12" s="200">
        <f t="shared" si="1"/>
        <v>836.95552928341147</v>
      </c>
      <c r="AD12" s="200">
        <f t="shared" si="5"/>
        <v>9.164809005222784</v>
      </c>
      <c r="AE12" s="201">
        <f t="shared" si="6"/>
        <v>3.2852185290323082</v>
      </c>
    </row>
    <row r="13" spans="1:31" x14ac:dyDescent="0.2">
      <c r="A13" s="170">
        <v>36</v>
      </c>
      <c r="B13" s="170" t="str">
        <f t="shared" si="7"/>
        <v>0.1, Tractor (40-59 hp) 2WD 50</v>
      </c>
      <c r="C13" s="135">
        <v>0.1</v>
      </c>
      <c r="D13" s="131" t="s">
        <v>440</v>
      </c>
      <c r="E13" s="131" t="s">
        <v>245</v>
      </c>
      <c r="F13" s="131" t="s">
        <v>151</v>
      </c>
      <c r="G13" s="131" t="str">
        <f t="shared" si="2"/>
        <v>Tractor (40-59 hp) 2WD 50</v>
      </c>
      <c r="H13" s="189">
        <v>39900</v>
      </c>
      <c r="I13" s="170">
        <v>2.5735999999999999</v>
      </c>
      <c r="J13" s="170">
        <v>20</v>
      </c>
      <c r="K13" s="170">
        <v>75</v>
      </c>
      <c r="L13" s="170">
        <v>14</v>
      </c>
      <c r="M13" s="170">
        <v>600</v>
      </c>
      <c r="N13" s="17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00">
        <f t="shared" ref="Z13:Z20" si="18">((0.981-0.093*(L13^0.5)-0.0058*(M13^0.5))^2)*H13</f>
        <v>9617.386741411794</v>
      </c>
      <c r="AA13" s="200">
        <f t="shared" si="4"/>
        <v>2163.043804184872</v>
      </c>
      <c r="AB13" s="200">
        <f t="shared" si="0"/>
        <v>4456.5648067270613</v>
      </c>
      <c r="AC13" s="200">
        <f t="shared" si="1"/>
        <v>1188.4172817938831</v>
      </c>
      <c r="AD13" s="200">
        <f t="shared" si="5"/>
        <v>13.013376487843027</v>
      </c>
      <c r="AE13" s="201">
        <f t="shared" si="6"/>
        <v>4.6647764878430262</v>
      </c>
    </row>
    <row r="14" spans="1:31" x14ac:dyDescent="0.2">
      <c r="A14" s="170">
        <v>37</v>
      </c>
      <c r="B14" s="170" t="str">
        <f t="shared" si="7"/>
        <v>0.11, Tractor (40-59 hp) MFWD 50</v>
      </c>
      <c r="C14" s="135">
        <v>0.11</v>
      </c>
      <c r="D14" s="131" t="s">
        <v>440</v>
      </c>
      <c r="E14" s="131" t="s">
        <v>245</v>
      </c>
      <c r="F14" s="131" t="s">
        <v>150</v>
      </c>
      <c r="G14" s="131" t="str">
        <f t="shared" si="2"/>
        <v>Tractor (40-59 hp) MFWD 50</v>
      </c>
      <c r="H14" s="189">
        <v>50600</v>
      </c>
      <c r="I14" s="170">
        <v>2.5735999999999999</v>
      </c>
      <c r="J14" s="170">
        <v>20</v>
      </c>
      <c r="K14" s="170">
        <v>75</v>
      </c>
      <c r="L14" s="170">
        <v>14</v>
      </c>
      <c r="M14" s="170">
        <v>600</v>
      </c>
      <c r="N14" s="17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00">
        <f t="shared" si="18"/>
        <v>12196.485441489644</v>
      </c>
      <c r="AA14" s="200">
        <f t="shared" si="4"/>
        <v>2743.1081827507401</v>
      </c>
      <c r="AB14" s="200">
        <f t="shared" si="0"/>
        <v>5651.6836897340672</v>
      </c>
      <c r="AC14" s="200">
        <f t="shared" si="1"/>
        <v>1507.1156505957513</v>
      </c>
      <c r="AD14" s="200">
        <f t="shared" si="5"/>
        <v>16.503179205134266</v>
      </c>
      <c r="AE14" s="201">
        <f t="shared" si="6"/>
        <v>5.9157315860866451</v>
      </c>
    </row>
    <row r="15" spans="1:31" x14ac:dyDescent="0.2">
      <c r="A15" s="170">
        <v>1</v>
      </c>
      <c r="B15" s="170" t="str">
        <f t="shared" si="7"/>
        <v>0.12, Tractor (40-59 hp) 2WD 50</v>
      </c>
      <c r="C15" s="135">
        <v>0.12</v>
      </c>
      <c r="D15" s="131" t="s">
        <v>440</v>
      </c>
      <c r="E15" s="131" t="s">
        <v>245</v>
      </c>
      <c r="F15" s="131" t="s">
        <v>151</v>
      </c>
      <c r="G15" s="131" t="str">
        <f t="shared" si="2"/>
        <v>Tractor (40-59 hp) 2WD 50</v>
      </c>
      <c r="H15" s="189">
        <v>29100</v>
      </c>
      <c r="I15" s="170">
        <v>2.5735999999999999</v>
      </c>
      <c r="J15" s="170">
        <v>20</v>
      </c>
      <c r="K15" s="170">
        <v>75</v>
      </c>
      <c r="L15" s="170">
        <v>14</v>
      </c>
      <c r="M15" s="170">
        <v>600</v>
      </c>
      <c r="N15" s="17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00">
        <f t="shared" si="18"/>
        <v>7014.1843151649928</v>
      </c>
      <c r="AA15" s="200">
        <f t="shared" si="4"/>
        <v>1577.5582632025005</v>
      </c>
      <c r="AB15" s="200">
        <f t="shared" si="0"/>
        <v>3250.2765883648494</v>
      </c>
      <c r="AC15" s="200">
        <f t="shared" si="1"/>
        <v>866.74042356395989</v>
      </c>
      <c r="AD15" s="200">
        <f t="shared" si="5"/>
        <v>9.4909587918855163</v>
      </c>
      <c r="AE15" s="201">
        <f t="shared" si="6"/>
        <v>3.4021302204569448</v>
      </c>
    </row>
    <row r="16" spans="1:31" x14ac:dyDescent="0.2">
      <c r="A16" s="170">
        <v>35</v>
      </c>
      <c r="B16" s="170" t="str">
        <f t="shared" si="7"/>
        <v>0.13, Tractor (40-59 hp) MFWD 50</v>
      </c>
      <c r="C16" s="135">
        <v>0.13</v>
      </c>
      <c r="D16" s="131" t="s">
        <v>440</v>
      </c>
      <c r="E16" s="131" t="s">
        <v>245</v>
      </c>
      <c r="F16" s="131" t="s">
        <v>150</v>
      </c>
      <c r="G16" s="131" t="str">
        <f t="shared" si="2"/>
        <v>Tractor (40-59 hp) MFWD 50</v>
      </c>
      <c r="H16" s="189">
        <v>33800</v>
      </c>
      <c r="I16" s="170">
        <v>2.5735999999999999</v>
      </c>
      <c r="J16" s="170">
        <v>20</v>
      </c>
      <c r="K16" s="170">
        <v>75</v>
      </c>
      <c r="L16" s="170">
        <v>14</v>
      </c>
      <c r="M16" s="170">
        <v>600</v>
      </c>
      <c r="N16" s="17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00">
        <f t="shared" si="18"/>
        <v>8147.0594451057304</v>
      </c>
      <c r="AA16" s="200">
        <f t="shared" si="4"/>
        <v>1832.3528967781622</v>
      </c>
      <c r="AB16" s="200">
        <f t="shared" si="0"/>
        <v>3775.2353500595159</v>
      </c>
      <c r="AC16" s="200">
        <f t="shared" si="1"/>
        <v>1006.7294266825376</v>
      </c>
      <c r="AD16" s="200">
        <f t="shared" si="5"/>
        <v>11.02386278920036</v>
      </c>
      <c r="AE16" s="201">
        <f t="shared" si="6"/>
        <v>3.9516151701527402</v>
      </c>
    </row>
    <row r="17" spans="1:31" x14ac:dyDescent="0.2">
      <c r="A17" s="170">
        <v>38</v>
      </c>
      <c r="B17" s="170" t="str">
        <f t="shared" si="7"/>
        <v>0.14, Tractor (60-89 hp) 2WD 75</v>
      </c>
      <c r="C17" s="135">
        <v>0.14000000000000001</v>
      </c>
      <c r="D17" s="131" t="s">
        <v>440</v>
      </c>
      <c r="E17" s="131" t="s">
        <v>246</v>
      </c>
      <c r="F17" s="131" t="s">
        <v>149</v>
      </c>
      <c r="G17" s="131" t="str">
        <f t="shared" si="2"/>
        <v>Tractor (60-89 hp) 2WD 75</v>
      </c>
      <c r="H17" s="189">
        <v>69500</v>
      </c>
      <c r="I17" s="170">
        <v>3.8603999999999998</v>
      </c>
      <c r="J17" s="170">
        <v>20</v>
      </c>
      <c r="K17" s="170">
        <v>75</v>
      </c>
      <c r="L17" s="170">
        <v>14</v>
      </c>
      <c r="M17" s="170">
        <v>600</v>
      </c>
      <c r="N17" s="17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00">
        <f t="shared" si="18"/>
        <v>16752.089687421547</v>
      </c>
      <c r="AA17" s="200">
        <f t="shared" si="4"/>
        <v>3767.7078794698896</v>
      </c>
      <c r="AB17" s="200">
        <f t="shared" si="0"/>
        <v>7762.6880718679386</v>
      </c>
      <c r="AC17" s="200">
        <f t="shared" si="1"/>
        <v>2070.0501524981169</v>
      </c>
      <c r="AD17" s="200">
        <f t="shared" si="5"/>
        <v>22.66741017305991</v>
      </c>
      <c r="AE17" s="201">
        <f t="shared" si="6"/>
        <v>8.1253625540122894</v>
      </c>
    </row>
    <row r="18" spans="1:31" x14ac:dyDescent="0.2">
      <c r="A18" s="170">
        <v>40</v>
      </c>
      <c r="B18" s="170" t="str">
        <f t="shared" si="7"/>
        <v>0.15, Tractor (60-89 hp) MFWD 75</v>
      </c>
      <c r="C18" s="135">
        <v>0.15</v>
      </c>
      <c r="D18" s="131" t="s">
        <v>440</v>
      </c>
      <c r="E18" s="131" t="s">
        <v>246</v>
      </c>
      <c r="F18" s="131" t="s">
        <v>148</v>
      </c>
      <c r="G18" s="131" t="str">
        <f t="shared" si="2"/>
        <v>Tractor (60-89 hp) MFWD 75</v>
      </c>
      <c r="H18" s="189">
        <v>79000</v>
      </c>
      <c r="I18" s="170">
        <v>3.8603999999999998</v>
      </c>
      <c r="J18" s="170">
        <v>20</v>
      </c>
      <c r="K18" s="170">
        <v>75</v>
      </c>
      <c r="L18" s="170">
        <v>14</v>
      </c>
      <c r="M18" s="170">
        <v>600</v>
      </c>
      <c r="N18" s="17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00">
        <f t="shared" si="18"/>
        <v>19041.943673471971</v>
      </c>
      <c r="AA18" s="200">
        <f t="shared" si="4"/>
        <v>4282.7183090377166</v>
      </c>
      <c r="AB18" s="200">
        <f t="shared" si="0"/>
        <v>8823.774930612477</v>
      </c>
      <c r="AC18" s="200">
        <f t="shared" si="1"/>
        <v>2353.0066481633276</v>
      </c>
      <c r="AD18" s="200">
        <f t="shared" si="5"/>
        <v>25.76583314635587</v>
      </c>
      <c r="AE18" s="201">
        <f t="shared" si="6"/>
        <v>9.2360236225463481</v>
      </c>
    </row>
    <row r="19" spans="1:31" x14ac:dyDescent="0.2">
      <c r="A19" s="170">
        <v>2</v>
      </c>
      <c r="B19" s="170" t="str">
        <f t="shared" si="7"/>
        <v>0.16, Tractor (60-89 hp) 2WD 75</v>
      </c>
      <c r="C19" s="135">
        <v>0.16</v>
      </c>
      <c r="D19" s="131" t="s">
        <v>440</v>
      </c>
      <c r="E19" s="131" t="s">
        <v>246</v>
      </c>
      <c r="F19" s="131" t="s">
        <v>149</v>
      </c>
      <c r="G19" s="131" t="str">
        <f t="shared" si="2"/>
        <v>Tractor (60-89 hp) 2WD 75</v>
      </c>
      <c r="H19" s="189">
        <v>60100</v>
      </c>
      <c r="I19" s="170">
        <v>3.8603999999999998</v>
      </c>
      <c r="J19" s="170">
        <v>20</v>
      </c>
      <c r="K19" s="170">
        <v>75</v>
      </c>
      <c r="L19" s="170">
        <v>14</v>
      </c>
      <c r="M19" s="170">
        <v>600</v>
      </c>
      <c r="N19" s="17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00">
        <f t="shared" si="18"/>
        <v>14486.33942754007</v>
      </c>
      <c r="AA19" s="200">
        <f t="shared" si="4"/>
        <v>3258.1186123185662</v>
      </c>
      <c r="AB19" s="200">
        <f t="shared" si="0"/>
        <v>6712.7705484786056</v>
      </c>
      <c r="AC19" s="200">
        <f t="shared" si="1"/>
        <v>1790.0721462609615</v>
      </c>
      <c r="AD19" s="200">
        <f t="shared" si="5"/>
        <v>19.60160217843022</v>
      </c>
      <c r="AE19" s="201">
        <f t="shared" si="6"/>
        <v>7.0263926546206967</v>
      </c>
    </row>
    <row r="20" spans="1:31" x14ac:dyDescent="0.2">
      <c r="A20" s="170">
        <v>39</v>
      </c>
      <c r="B20" s="170" t="str">
        <f t="shared" si="7"/>
        <v>0.17, Tractor (60-89 hp) MFWD 75</v>
      </c>
      <c r="C20" s="135">
        <v>0.17</v>
      </c>
      <c r="D20" s="131" t="s">
        <v>440</v>
      </c>
      <c r="E20" s="131" t="s">
        <v>246</v>
      </c>
      <c r="F20" s="131" t="s">
        <v>148</v>
      </c>
      <c r="G20" s="131" t="str">
        <f t="shared" si="2"/>
        <v>Tractor (60-89 hp) MFWD 75</v>
      </c>
      <c r="H20" s="189">
        <v>53400</v>
      </c>
      <c r="I20" s="170">
        <v>3.8603999999999998</v>
      </c>
      <c r="J20" s="170">
        <v>20</v>
      </c>
      <c r="K20" s="170">
        <v>75</v>
      </c>
      <c r="L20" s="170">
        <v>14</v>
      </c>
      <c r="M20" s="170">
        <v>600</v>
      </c>
      <c r="N20" s="17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00">
        <f t="shared" si="18"/>
        <v>12871.389774220295</v>
      </c>
      <c r="AA20" s="200">
        <f t="shared" si="4"/>
        <v>2894.9007304128359</v>
      </c>
      <c r="AB20" s="200">
        <f t="shared" si="0"/>
        <v>5964.4250796798269</v>
      </c>
      <c r="AC20" s="200">
        <f t="shared" si="1"/>
        <v>1590.5133545812871</v>
      </c>
      <c r="AD20" s="200">
        <f t="shared" si="5"/>
        <v>17.416398607789919</v>
      </c>
      <c r="AE20" s="201">
        <f t="shared" si="6"/>
        <v>6.2430843220756334</v>
      </c>
    </row>
    <row r="21" spans="1:31" x14ac:dyDescent="0.2">
      <c r="A21" s="170">
        <v>42</v>
      </c>
      <c r="B21" s="170" t="str">
        <f t="shared" si="7"/>
        <v>0.18, Tractor (90-119 hp) 2WD 105</v>
      </c>
      <c r="C21" s="135">
        <v>0.18</v>
      </c>
      <c r="D21" s="131" t="s">
        <v>440</v>
      </c>
      <c r="E21" s="131" t="s">
        <v>247</v>
      </c>
      <c r="F21" s="131" t="s">
        <v>147</v>
      </c>
      <c r="G21" s="131" t="str">
        <f t="shared" si="2"/>
        <v>Tractor (90-119 hp) 2WD 105</v>
      </c>
      <c r="H21" s="189">
        <v>96900</v>
      </c>
      <c r="I21" s="170">
        <v>5.4046000000000003</v>
      </c>
      <c r="J21" s="170">
        <v>20</v>
      </c>
      <c r="K21" s="170">
        <v>60</v>
      </c>
      <c r="L21" s="170">
        <v>14</v>
      </c>
      <c r="M21" s="170">
        <v>600</v>
      </c>
      <c r="N21" s="17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00">
        <f>((0.942-0.1*(L21^0.5)-0.0008*(M21^0.5))^2)*H21</f>
        <v>29124.775743669485</v>
      </c>
      <c r="AA21" s="200">
        <f t="shared" si="4"/>
        <v>4841.0874468807515</v>
      </c>
      <c r="AB21" s="200">
        <f t="shared" si="0"/>
        <v>11342.229816930252</v>
      </c>
      <c r="AC21" s="200">
        <f t="shared" si="1"/>
        <v>3024.5946178480676</v>
      </c>
      <c r="AD21" s="200">
        <f t="shared" si="5"/>
        <v>32.013186469431787</v>
      </c>
      <c r="AE21" s="201">
        <f t="shared" si="6"/>
        <v>11.738015040860358</v>
      </c>
    </row>
    <row r="22" spans="1:31" x14ac:dyDescent="0.2">
      <c r="A22" s="170">
        <v>43</v>
      </c>
      <c r="B22" s="170" t="str">
        <f t="shared" si="7"/>
        <v>0.19, Tractor (90-119 hp) MFWD 105</v>
      </c>
      <c r="C22" s="135">
        <v>0.19</v>
      </c>
      <c r="D22" s="131" t="s">
        <v>440</v>
      </c>
      <c r="E22" s="131" t="s">
        <v>247</v>
      </c>
      <c r="F22" s="131" t="s">
        <v>146</v>
      </c>
      <c r="G22" s="131" t="str">
        <f t="shared" si="2"/>
        <v>Tractor (90-119 hp) MFWD 105</v>
      </c>
      <c r="H22" s="189">
        <v>109900</v>
      </c>
      <c r="I22" s="170">
        <v>5.4046000000000003</v>
      </c>
      <c r="J22" s="170">
        <v>20</v>
      </c>
      <c r="K22" s="170">
        <v>60</v>
      </c>
      <c r="L22" s="170">
        <v>14</v>
      </c>
      <c r="M22" s="170">
        <v>600</v>
      </c>
      <c r="N22" s="17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00">
        <f t="shared" ref="Z22:Z28" si="19">((0.942-0.1*(L22^0.5)-0.0008*(M22^0.5))^2)*H22</f>
        <v>33032.124398650943</v>
      </c>
      <c r="AA22" s="200">
        <f t="shared" si="4"/>
        <v>5490.5625429535039</v>
      </c>
      <c r="AB22" s="200">
        <f t="shared" si="0"/>
        <v>12863.891195878585</v>
      </c>
      <c r="AC22" s="200">
        <f t="shared" si="1"/>
        <v>3430.3709855676229</v>
      </c>
      <c r="AD22" s="200">
        <f t="shared" si="5"/>
        <v>36.308041207332856</v>
      </c>
      <c r="AE22" s="201">
        <f t="shared" si="6"/>
        <v>13.312774540666194</v>
      </c>
    </row>
    <row r="23" spans="1:31" x14ac:dyDescent="0.2">
      <c r="A23" s="170">
        <v>3</v>
      </c>
      <c r="B23" s="170" t="str">
        <f t="shared" si="7"/>
        <v>0.2, Tractor (90-119 hp) 2WD 105</v>
      </c>
      <c r="C23" s="135">
        <v>0.2</v>
      </c>
      <c r="D23" s="131" t="s">
        <v>440</v>
      </c>
      <c r="E23" s="131" t="s">
        <v>247</v>
      </c>
      <c r="F23" s="131" t="s">
        <v>147</v>
      </c>
      <c r="G23" s="131" t="str">
        <f t="shared" si="2"/>
        <v>Tractor (90-119 hp) 2WD 105</v>
      </c>
      <c r="H23" s="189">
        <v>91600</v>
      </c>
      <c r="I23" s="170">
        <v>5.4046000000000003</v>
      </c>
      <c r="J23" s="170">
        <v>20</v>
      </c>
      <c r="K23" s="170">
        <v>60</v>
      </c>
      <c r="L23" s="170">
        <v>14</v>
      </c>
      <c r="M23" s="170">
        <v>600</v>
      </c>
      <c r="N23" s="17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00">
        <f t="shared" si="19"/>
        <v>27531.779753561659</v>
      </c>
      <c r="AA23" s="200">
        <f t="shared" si="4"/>
        <v>4576.3014461741677</v>
      </c>
      <c r="AB23" s="200">
        <f t="shared" si="0"/>
        <v>10721.860177820548</v>
      </c>
      <c r="AC23" s="200">
        <f t="shared" si="1"/>
        <v>2859.1627140854798</v>
      </c>
      <c r="AD23" s="200">
        <f t="shared" si="5"/>
        <v>30.262207230133658</v>
      </c>
      <c r="AE23" s="201">
        <f t="shared" si="6"/>
        <v>11.09599770632413</v>
      </c>
    </row>
    <row r="24" spans="1:31" x14ac:dyDescent="0.2">
      <c r="A24" s="170">
        <v>41</v>
      </c>
      <c r="B24" s="170" t="str">
        <f t="shared" si="7"/>
        <v>0.21, Tractor (90-119 hp) MFWD 105</v>
      </c>
      <c r="C24" s="135">
        <v>0.21</v>
      </c>
      <c r="D24" s="131" t="s">
        <v>440</v>
      </c>
      <c r="E24" s="131" t="s">
        <v>247</v>
      </c>
      <c r="F24" s="131" t="s">
        <v>146</v>
      </c>
      <c r="G24" s="131" t="str">
        <f t="shared" si="2"/>
        <v>Tractor (90-119 hp) MFWD 105</v>
      </c>
      <c r="H24" s="189">
        <v>97400</v>
      </c>
      <c r="I24" s="170">
        <v>5.4046000000000003</v>
      </c>
      <c r="J24" s="170">
        <v>20</v>
      </c>
      <c r="K24" s="170">
        <v>60</v>
      </c>
      <c r="L24" s="170">
        <v>14</v>
      </c>
      <c r="M24" s="170">
        <v>600</v>
      </c>
      <c r="N24" s="17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00">
        <f t="shared" si="19"/>
        <v>29275.058384245694</v>
      </c>
      <c r="AA24" s="200">
        <f t="shared" si="4"/>
        <v>4866.0672582681646</v>
      </c>
      <c r="AB24" s="200">
        <f t="shared" si="0"/>
        <v>11400.755254582113</v>
      </c>
      <c r="AC24" s="200">
        <f t="shared" si="1"/>
        <v>3040.201401221897</v>
      </c>
      <c r="AD24" s="200">
        <f t="shared" si="5"/>
        <v>32.17837319012029</v>
      </c>
      <c r="AE24" s="201">
        <f t="shared" si="6"/>
        <v>11.798582713929815</v>
      </c>
    </row>
    <row r="25" spans="1:31" x14ac:dyDescent="0.2">
      <c r="A25" s="170">
        <v>4</v>
      </c>
      <c r="B25" s="170" t="str">
        <f t="shared" si="7"/>
        <v>0.22, Tractor (120-139 hp) 2WD 130</v>
      </c>
      <c r="C25" s="135">
        <v>0.22</v>
      </c>
      <c r="D25" s="131" t="s">
        <v>440</v>
      </c>
      <c r="E25" s="131" t="s">
        <v>248</v>
      </c>
      <c r="F25" s="131" t="s">
        <v>145</v>
      </c>
      <c r="G25" s="131" t="str">
        <f t="shared" si="2"/>
        <v>Tractor (120-139 hp) 2WD 130</v>
      </c>
      <c r="H25" s="243">
        <v>127900</v>
      </c>
      <c r="I25" s="170">
        <v>6.6913999999999998</v>
      </c>
      <c r="J25" s="170">
        <v>20</v>
      </c>
      <c r="K25" s="170">
        <v>60</v>
      </c>
      <c r="L25" s="170">
        <v>14</v>
      </c>
      <c r="M25" s="170">
        <v>600</v>
      </c>
      <c r="N25" s="17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00">
        <f t="shared" si="19"/>
        <v>38442.299459394504</v>
      </c>
      <c r="AA25" s="200">
        <f t="shared" si="4"/>
        <v>6389.8357529003924</v>
      </c>
      <c r="AB25" s="200">
        <f t="shared" si="0"/>
        <v>14970.806951345505</v>
      </c>
      <c r="AC25" s="200">
        <f t="shared" si="1"/>
        <v>3992.2151870254684</v>
      </c>
      <c r="AD25" s="200">
        <f t="shared" si="5"/>
        <v>42.25476315211894</v>
      </c>
      <c r="AE25" s="201">
        <f t="shared" si="6"/>
        <v>15.493210771166559</v>
      </c>
    </row>
    <row r="26" spans="1:31" x14ac:dyDescent="0.2">
      <c r="A26" s="170">
        <v>44</v>
      </c>
      <c r="B26" s="170" t="str">
        <f t="shared" si="7"/>
        <v>0.23, Tractor (120-139 hp) MFWD 130</v>
      </c>
      <c r="C26" s="135">
        <v>0.23</v>
      </c>
      <c r="D26" s="131" t="s">
        <v>440</v>
      </c>
      <c r="E26" s="131" t="s">
        <v>248</v>
      </c>
      <c r="F26" s="131" t="s">
        <v>144</v>
      </c>
      <c r="G26" s="131" t="str">
        <f t="shared" si="2"/>
        <v>Tractor (120-139 hp) MFWD 130</v>
      </c>
      <c r="H26" s="243">
        <v>165700</v>
      </c>
      <c r="I26" s="170">
        <v>6.6913999999999998</v>
      </c>
      <c r="J26" s="170">
        <v>20</v>
      </c>
      <c r="K26" s="170">
        <v>60</v>
      </c>
      <c r="L26" s="170">
        <v>14</v>
      </c>
      <c r="M26" s="170">
        <v>600</v>
      </c>
      <c r="N26" s="17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00">
        <f t="shared" si="19"/>
        <v>49803.667086955975</v>
      </c>
      <c r="AA26" s="200">
        <f t="shared" si="4"/>
        <v>8278.3094937888582</v>
      </c>
      <c r="AB26" s="200">
        <f t="shared" si="0"/>
        <v>19395.330037826036</v>
      </c>
      <c r="AC26" s="200">
        <f t="shared" si="1"/>
        <v>5172.0880100869435</v>
      </c>
      <c r="AD26" s="200">
        <f t="shared" si="5"/>
        <v>54.742879236169735</v>
      </c>
      <c r="AE26" s="201">
        <f t="shared" si="6"/>
        <v>20.072126855217348</v>
      </c>
    </row>
    <row r="27" spans="1:31" x14ac:dyDescent="0.2">
      <c r="A27" s="170">
        <v>5</v>
      </c>
      <c r="B27" s="170" t="str">
        <f t="shared" si="7"/>
        <v>0.24, Tractor (140-159 hp) 2WD 150</v>
      </c>
      <c r="C27" s="135">
        <v>0.24</v>
      </c>
      <c r="D27" s="131" t="s">
        <v>440</v>
      </c>
      <c r="E27" s="131" t="s">
        <v>249</v>
      </c>
      <c r="F27" s="131" t="s">
        <v>143</v>
      </c>
      <c r="G27" s="131" t="str">
        <f t="shared" si="2"/>
        <v>Tractor (140-159 hp) 2WD 150</v>
      </c>
      <c r="H27" s="243">
        <v>152300</v>
      </c>
      <c r="I27" s="170">
        <v>7.7209000000000003</v>
      </c>
      <c r="J27" s="170">
        <v>20</v>
      </c>
      <c r="K27" s="170">
        <v>60</v>
      </c>
      <c r="L27" s="170">
        <v>14</v>
      </c>
      <c r="M27" s="170">
        <v>600</v>
      </c>
      <c r="N27" s="17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00">
        <f t="shared" si="19"/>
        <v>45776.092319513547</v>
      </c>
      <c r="AA27" s="200">
        <f t="shared" si="4"/>
        <v>7608.8505486061749</v>
      </c>
      <c r="AB27" s="200">
        <f t="shared" si="0"/>
        <v>17826.84830875622</v>
      </c>
      <c r="AC27" s="200">
        <f t="shared" si="1"/>
        <v>4753.8262156683259</v>
      </c>
      <c r="AD27" s="200">
        <f t="shared" si="5"/>
        <v>50.315875121717873</v>
      </c>
      <c r="AE27" s="201">
        <f t="shared" si="6"/>
        <v>18.448913216955972</v>
      </c>
    </row>
    <row r="28" spans="1:31" x14ac:dyDescent="0.2">
      <c r="A28" s="170">
        <v>18</v>
      </c>
      <c r="B28" s="170" t="str">
        <f t="shared" si="7"/>
        <v>0.25, Tractor (140-159 hp) MFWD 150</v>
      </c>
      <c r="C28" s="135">
        <v>0.25</v>
      </c>
      <c r="D28" s="131" t="s">
        <v>440</v>
      </c>
      <c r="E28" s="131" t="s">
        <v>249</v>
      </c>
      <c r="F28" s="131" t="s">
        <v>142</v>
      </c>
      <c r="G28" s="131" t="str">
        <f t="shared" si="2"/>
        <v>Tractor (140-159 hp) MFWD 150</v>
      </c>
      <c r="H28" s="243">
        <v>179700</v>
      </c>
      <c r="I28" s="170">
        <v>7.7209000000000003</v>
      </c>
      <c r="J28" s="170">
        <v>20</v>
      </c>
      <c r="K28" s="170">
        <v>60</v>
      </c>
      <c r="L28" s="170">
        <v>14</v>
      </c>
      <c r="M28" s="170">
        <v>600</v>
      </c>
      <c r="N28" s="17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00">
        <f t="shared" si="19"/>
        <v>54011.58102308985</v>
      </c>
      <c r="AA28" s="200">
        <f t="shared" si="4"/>
        <v>8977.7442126364385</v>
      </c>
      <c r="AB28" s="200">
        <f t="shared" si="0"/>
        <v>21034.042292078087</v>
      </c>
      <c r="AC28" s="200">
        <f t="shared" si="1"/>
        <v>5609.0779445541566</v>
      </c>
      <c r="AD28" s="200">
        <f t="shared" si="5"/>
        <v>59.368107415447803</v>
      </c>
      <c r="AE28" s="201">
        <f t="shared" si="6"/>
        <v>21.768021701162084</v>
      </c>
    </row>
    <row r="29" spans="1:31" x14ac:dyDescent="0.2">
      <c r="A29" s="170">
        <v>6</v>
      </c>
      <c r="B29" s="170" t="str">
        <f t="shared" si="7"/>
        <v>0.26, Tractor (160-179 hp) 2WD 170</v>
      </c>
      <c r="C29" s="135">
        <v>0.26</v>
      </c>
      <c r="D29" s="131" t="s">
        <v>440</v>
      </c>
      <c r="E29" s="131" t="s">
        <v>250</v>
      </c>
      <c r="F29" s="131" t="s">
        <v>141</v>
      </c>
      <c r="G29" s="131" t="str">
        <f t="shared" si="2"/>
        <v>Tractor (160-179 hp) 2WD 170</v>
      </c>
      <c r="H29" s="243">
        <v>207000</v>
      </c>
      <c r="I29" s="170">
        <v>8.7502999999999993</v>
      </c>
      <c r="J29" s="170">
        <v>20</v>
      </c>
      <c r="K29" s="170">
        <v>60</v>
      </c>
      <c r="L29" s="170">
        <v>14</v>
      </c>
      <c r="M29" s="170">
        <v>600</v>
      </c>
      <c r="N29" s="17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00">
        <f>((0.976-0.119*(L29^0.5)-0.0019*(M29^0.5))^2)*H29</f>
        <v>48531.569784799816</v>
      </c>
      <c r="AA29" s="200">
        <f t="shared" si="4"/>
        <v>11319.173586800012</v>
      </c>
      <c r="AB29" s="200">
        <f t="shared" si="0"/>
        <v>22997.841280631983</v>
      </c>
      <c r="AC29" s="200">
        <f t="shared" si="1"/>
        <v>6132.7576748351958</v>
      </c>
      <c r="AD29" s="200">
        <f t="shared" si="5"/>
        <v>67.416287570445306</v>
      </c>
      <c r="AE29" s="201">
        <f t="shared" si="6"/>
        <v>24.104001856159591</v>
      </c>
    </row>
    <row r="30" spans="1:31" x14ac:dyDescent="0.2">
      <c r="A30" s="170">
        <v>19</v>
      </c>
      <c r="B30" s="170" t="str">
        <f t="shared" si="7"/>
        <v>0.27, Tractor (160-179 hp) MFWD 170</v>
      </c>
      <c r="C30" s="135">
        <v>0.27</v>
      </c>
      <c r="D30" s="131" t="s">
        <v>440</v>
      </c>
      <c r="E30" s="131" t="s">
        <v>250</v>
      </c>
      <c r="F30" s="131" t="s">
        <v>140</v>
      </c>
      <c r="G30" s="131" t="str">
        <f t="shared" si="2"/>
        <v>Tractor (160-179 hp) MFWD 170</v>
      </c>
      <c r="H30" s="188">
        <v>217000</v>
      </c>
      <c r="I30" s="170">
        <v>8.7502999999999993</v>
      </c>
      <c r="J30" s="170">
        <v>20</v>
      </c>
      <c r="K30" s="170">
        <v>60</v>
      </c>
      <c r="L30" s="170">
        <v>14</v>
      </c>
      <c r="M30" s="170">
        <v>600</v>
      </c>
      <c r="N30" s="17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00">
        <f t="shared" ref="Z30:Z40" si="20">((0.976-0.119*(L30^0.5)-0.0019*(M30^0.5))^2)*H30</f>
        <v>50876.090064258744</v>
      </c>
      <c r="AA30" s="200">
        <f t="shared" si="4"/>
        <v>11865.993566838661</v>
      </c>
      <c r="AB30" s="200">
        <f t="shared" si="0"/>
        <v>24108.848105783283</v>
      </c>
      <c r="AC30" s="200">
        <f t="shared" si="1"/>
        <v>6429.0261615422096</v>
      </c>
      <c r="AD30" s="200">
        <f t="shared" si="5"/>
        <v>70.673113056940252</v>
      </c>
      <c r="AE30" s="201">
        <f t="shared" si="6"/>
        <v>25.268446390273589</v>
      </c>
    </row>
    <row r="31" spans="1:31" x14ac:dyDescent="0.2">
      <c r="A31" s="170">
        <v>21</v>
      </c>
      <c r="B31" s="170" t="str">
        <f t="shared" si="7"/>
        <v>0.28, Tractor (180-199 hp) MFWD 190</v>
      </c>
      <c r="C31" s="135">
        <v>0.28000000000000003</v>
      </c>
      <c r="D31" s="131" t="s">
        <v>440</v>
      </c>
      <c r="E31" s="131" t="s">
        <v>251</v>
      </c>
      <c r="F31" s="131" t="s">
        <v>139</v>
      </c>
      <c r="G31" s="131" t="str">
        <f t="shared" si="2"/>
        <v>Tractor (180-199 hp) MFWD 190</v>
      </c>
      <c r="H31" s="243">
        <v>274000</v>
      </c>
      <c r="I31" s="170">
        <v>9.7797999999999998</v>
      </c>
      <c r="J31" s="170">
        <v>20</v>
      </c>
      <c r="K31" s="170">
        <v>60</v>
      </c>
      <c r="L31" s="170">
        <v>14</v>
      </c>
      <c r="M31" s="170">
        <v>600</v>
      </c>
      <c r="N31" s="17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00">
        <f t="shared" si="20"/>
        <v>64239.855657174638</v>
      </c>
      <c r="AA31" s="200">
        <f t="shared" si="4"/>
        <v>14982.867453058954</v>
      </c>
      <c r="AB31" s="200">
        <f t="shared" si="0"/>
        <v>30441.587009145718</v>
      </c>
      <c r="AC31" s="200">
        <f t="shared" si="1"/>
        <v>8117.7565357721924</v>
      </c>
      <c r="AD31" s="200">
        <f t="shared" si="5"/>
        <v>89.237018329961444</v>
      </c>
      <c r="AE31" s="201">
        <f t="shared" si="6"/>
        <v>31.905780234723352</v>
      </c>
    </row>
    <row r="32" spans="1:31" x14ac:dyDescent="0.2">
      <c r="A32" s="170">
        <v>9</v>
      </c>
      <c r="B32" s="170" t="str">
        <f t="shared" si="7"/>
        <v>0.29, Tractor (200-249 hp) MFWD 225</v>
      </c>
      <c r="C32" s="135">
        <v>0.28999999999999998</v>
      </c>
      <c r="D32" s="131" t="s">
        <v>440</v>
      </c>
      <c r="E32" s="131" t="s">
        <v>252</v>
      </c>
      <c r="F32" s="131" t="s">
        <v>138</v>
      </c>
      <c r="G32" s="131" t="str">
        <f t="shared" si="2"/>
        <v>Tractor (200-249 hp) MFWD 225</v>
      </c>
      <c r="H32" s="243">
        <v>327000</v>
      </c>
      <c r="I32" s="170">
        <v>11.581300000000001</v>
      </c>
      <c r="J32" s="170">
        <v>20</v>
      </c>
      <c r="K32" s="170">
        <v>60</v>
      </c>
      <c r="L32" s="170">
        <v>14</v>
      </c>
      <c r="M32" s="170">
        <v>600</v>
      </c>
      <c r="N32" s="17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00">
        <f t="shared" si="20"/>
        <v>76665.813138306956</v>
      </c>
      <c r="AA32" s="200">
        <f t="shared" si="4"/>
        <v>17881.01334726379</v>
      </c>
      <c r="AB32" s="200">
        <f t="shared" si="0"/>
        <v>36329.923182447623</v>
      </c>
      <c r="AC32" s="200">
        <f t="shared" si="1"/>
        <v>9687.9795153193663</v>
      </c>
      <c r="AD32" s="200">
        <f t="shared" si="5"/>
        <v>106.49819340838464</v>
      </c>
      <c r="AE32" s="201">
        <f t="shared" si="6"/>
        <v>38.077336265527478</v>
      </c>
    </row>
    <row r="33" spans="1:31" x14ac:dyDescent="0.2">
      <c r="A33" s="170">
        <v>22</v>
      </c>
      <c r="B33" s="170" t="str">
        <f t="shared" si="7"/>
        <v>0.3, Tractor (200-249 hp) Track 225</v>
      </c>
      <c r="C33" s="135">
        <v>0.3</v>
      </c>
      <c r="D33" s="131" t="s">
        <v>440</v>
      </c>
      <c r="E33" s="131" t="s">
        <v>252</v>
      </c>
      <c r="F33" s="131" t="s">
        <v>137</v>
      </c>
      <c r="G33" s="131" t="str">
        <f t="shared" si="2"/>
        <v>Tractor (200-249 hp) Track 225</v>
      </c>
      <c r="H33" s="186">
        <v>277000</v>
      </c>
      <c r="I33" s="170">
        <v>11.581300000000001</v>
      </c>
      <c r="J33" s="170">
        <v>20</v>
      </c>
      <c r="K33" s="170">
        <v>60</v>
      </c>
      <c r="L33" s="170">
        <v>14</v>
      </c>
      <c r="M33" s="170">
        <v>600</v>
      </c>
      <c r="N33" s="17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00">
        <f t="shared" si="20"/>
        <v>64943.211741012317</v>
      </c>
      <c r="AA33" s="200">
        <f t="shared" si="4"/>
        <v>15146.913447070549</v>
      </c>
      <c r="AB33" s="200">
        <f t="shared" si="0"/>
        <v>30774.889056691103</v>
      </c>
      <c r="AC33" s="200">
        <f t="shared" si="1"/>
        <v>8206.6370817842944</v>
      </c>
      <c r="AD33" s="200">
        <f t="shared" si="5"/>
        <v>90.214065975909904</v>
      </c>
      <c r="AE33" s="201">
        <f t="shared" si="6"/>
        <v>32.255113594957521</v>
      </c>
    </row>
    <row r="34" spans="1:31" x14ac:dyDescent="0.2">
      <c r="A34" s="170">
        <v>23</v>
      </c>
      <c r="B34" s="170" t="str">
        <f t="shared" si="7"/>
        <v>0.31, Tractor (250-349 hp) 4WD 300</v>
      </c>
      <c r="C34" s="135">
        <v>0.31</v>
      </c>
      <c r="D34" s="131" t="s">
        <v>440</v>
      </c>
      <c r="E34" s="131" t="s">
        <v>253</v>
      </c>
      <c r="F34" s="131" t="s">
        <v>136</v>
      </c>
      <c r="G34" s="131" t="str">
        <f t="shared" si="2"/>
        <v>Tractor (250-349 hp) 4WD 300</v>
      </c>
      <c r="H34" s="186">
        <v>452000</v>
      </c>
      <c r="I34" s="170">
        <v>15.441800000000001</v>
      </c>
      <c r="J34" s="170">
        <v>20</v>
      </c>
      <c r="K34" s="170">
        <v>60</v>
      </c>
      <c r="L34" s="170">
        <v>14</v>
      </c>
      <c r="M34" s="170">
        <v>600</v>
      </c>
      <c r="N34" s="17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00">
        <f t="shared" si="20"/>
        <v>105972.31663154357</v>
      </c>
      <c r="AA34" s="200">
        <f t="shared" si="4"/>
        <v>24716.263097746887</v>
      </c>
      <c r="AB34" s="200">
        <f t="shared" si="0"/>
        <v>50217.50849683892</v>
      </c>
      <c r="AC34" s="200">
        <f t="shared" si="1"/>
        <v>13391.335599157046</v>
      </c>
      <c r="AD34" s="200">
        <f t="shared" si="5"/>
        <v>147.20851198957141</v>
      </c>
      <c r="AE34" s="201">
        <f t="shared" si="6"/>
        <v>52.632892941952349</v>
      </c>
    </row>
    <row r="35" spans="1:31" x14ac:dyDescent="0.2">
      <c r="A35" s="170">
        <v>61</v>
      </c>
      <c r="B35" s="170" t="str">
        <f t="shared" si="7"/>
        <v>0.32, Tractor (250-349 hp) MFWD 300</v>
      </c>
      <c r="C35" s="135">
        <v>0.32</v>
      </c>
      <c r="D35" s="131" t="s">
        <v>440</v>
      </c>
      <c r="E35" s="131" t="s">
        <v>253</v>
      </c>
      <c r="F35" s="131" t="s">
        <v>135</v>
      </c>
      <c r="G35" s="131" t="str">
        <f t="shared" si="2"/>
        <v>Tractor (250-349 hp) MFWD 300</v>
      </c>
      <c r="H35" s="186">
        <v>392000</v>
      </c>
      <c r="I35" s="170">
        <v>15.441800000000001</v>
      </c>
      <c r="J35" s="170">
        <v>20</v>
      </c>
      <c r="K35" s="170">
        <v>60</v>
      </c>
      <c r="L35" s="170">
        <v>14</v>
      </c>
      <c r="M35" s="170">
        <v>600</v>
      </c>
      <c r="N35" s="17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00">
        <f t="shared" si="20"/>
        <v>91905.19495479</v>
      </c>
      <c r="AA35" s="200">
        <f t="shared" si="4"/>
        <v>21435.343217515001</v>
      </c>
      <c r="AB35" s="200">
        <f t="shared" si="0"/>
        <v>43551.467545931097</v>
      </c>
      <c r="AC35" s="200">
        <f t="shared" si="1"/>
        <v>11613.724678914959</v>
      </c>
      <c r="AD35" s="200">
        <f t="shared" si="5"/>
        <v>127.66755907060175</v>
      </c>
      <c r="AE35" s="201">
        <f t="shared" si="6"/>
        <v>45.646225737268409</v>
      </c>
    </row>
    <row r="36" spans="1:31" x14ac:dyDescent="0.2">
      <c r="A36" s="170">
        <v>24</v>
      </c>
      <c r="B36" s="170" t="str">
        <f t="shared" si="7"/>
        <v>0.33, Tractor (250-349 hp) Track 300</v>
      </c>
      <c r="C36" s="135">
        <v>0.33</v>
      </c>
      <c r="D36" s="131" t="s">
        <v>440</v>
      </c>
      <c r="E36" s="131" t="s">
        <v>253</v>
      </c>
      <c r="F36" s="131" t="s">
        <v>134</v>
      </c>
      <c r="G36" s="131" t="str">
        <f t="shared" si="2"/>
        <v>Tractor (250-349 hp) Track 300</v>
      </c>
      <c r="H36" s="186">
        <v>329000</v>
      </c>
      <c r="I36" s="170">
        <v>15.441800000000001</v>
      </c>
      <c r="J36" s="170">
        <v>20</v>
      </c>
      <c r="K36" s="170">
        <v>60</v>
      </c>
      <c r="L36" s="170">
        <v>14</v>
      </c>
      <c r="M36" s="170">
        <v>600</v>
      </c>
      <c r="N36" s="17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00">
        <f t="shared" si="20"/>
        <v>77134.717194198747</v>
      </c>
      <c r="AA36" s="200">
        <f t="shared" si="4"/>
        <v>17990.377343271517</v>
      </c>
      <c r="AB36" s="200">
        <f t="shared" si="0"/>
        <v>36552.124547477884</v>
      </c>
      <c r="AC36" s="200">
        <f t="shared" si="1"/>
        <v>9747.2332126607707</v>
      </c>
      <c r="AD36" s="200">
        <f t="shared" si="5"/>
        <v>107.14955850568363</v>
      </c>
      <c r="AE36" s="201">
        <f t="shared" si="6"/>
        <v>38.3102251723503</v>
      </c>
    </row>
    <row r="37" spans="1:31" x14ac:dyDescent="0.2">
      <c r="A37" s="170">
        <v>25</v>
      </c>
      <c r="B37" s="170" t="str">
        <f t="shared" si="7"/>
        <v>0.34, Tractor (350-449 hp) 4WD 400</v>
      </c>
      <c r="C37" s="135">
        <v>0.34</v>
      </c>
      <c r="D37" s="131" t="s">
        <v>440</v>
      </c>
      <c r="E37" s="131" t="s">
        <v>254</v>
      </c>
      <c r="F37" s="131" t="s">
        <v>133</v>
      </c>
      <c r="G37" s="131" t="str">
        <f t="shared" si="2"/>
        <v>Tractor (350-449 hp) 4WD 400</v>
      </c>
      <c r="H37" s="186">
        <v>501000</v>
      </c>
      <c r="I37" s="170">
        <v>20.588999999999999</v>
      </c>
      <c r="J37" s="170">
        <v>20</v>
      </c>
      <c r="K37" s="170">
        <v>60</v>
      </c>
      <c r="L37" s="170">
        <v>14</v>
      </c>
      <c r="M37" s="170">
        <v>600</v>
      </c>
      <c r="N37" s="17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00">
        <f t="shared" si="20"/>
        <v>117460.46600089231</v>
      </c>
      <c r="AA37" s="200">
        <f t="shared" si="4"/>
        <v>27395.680999936263</v>
      </c>
      <c r="AB37" s="200">
        <f t="shared" si="0"/>
        <v>55661.441940080309</v>
      </c>
      <c r="AC37" s="200">
        <f t="shared" si="1"/>
        <v>14843.051184021417</v>
      </c>
      <c r="AD37" s="200">
        <f t="shared" si="5"/>
        <v>163.16695687339666</v>
      </c>
      <c r="AE37" s="201">
        <f t="shared" si="6"/>
        <v>58.338671159110945</v>
      </c>
    </row>
    <row r="38" spans="1:31" x14ac:dyDescent="0.2">
      <c r="A38" s="170">
        <v>26</v>
      </c>
      <c r="B38" s="170" t="str">
        <f t="shared" si="7"/>
        <v>0.35, Tractor (350-449 hp) Track 400</v>
      </c>
      <c r="C38" s="135">
        <v>0.35</v>
      </c>
      <c r="D38" s="131" t="s">
        <v>440</v>
      </c>
      <c r="E38" s="131" t="s">
        <v>254</v>
      </c>
      <c r="F38" s="131" t="s">
        <v>132</v>
      </c>
      <c r="G38" s="131" t="str">
        <f t="shared" si="2"/>
        <v>Tractor (350-449 hp) Track 400</v>
      </c>
      <c r="H38" s="186">
        <v>635000</v>
      </c>
      <c r="I38" s="170">
        <v>20.588999999999999</v>
      </c>
      <c r="J38" s="170">
        <v>20</v>
      </c>
      <c r="K38" s="170">
        <v>60</v>
      </c>
      <c r="L38" s="170">
        <v>14</v>
      </c>
      <c r="M38" s="170">
        <v>600</v>
      </c>
      <c r="N38" s="17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00">
        <f t="shared" si="20"/>
        <v>148877.03774564195</v>
      </c>
      <c r="AA38" s="200">
        <f t="shared" si="4"/>
        <v>34723.068732454143</v>
      </c>
      <c r="AB38" s="200">
        <f t="shared" si="0"/>
        <v>70548.933397107772</v>
      </c>
      <c r="AC38" s="200">
        <f t="shared" si="1"/>
        <v>18813.048905895408</v>
      </c>
      <c r="AD38" s="200">
        <f t="shared" si="5"/>
        <v>206.80841839242888</v>
      </c>
      <c r="AE38" s="201">
        <f t="shared" si="6"/>
        <v>73.94222791623838</v>
      </c>
    </row>
    <row r="39" spans="1:31" x14ac:dyDescent="0.2">
      <c r="A39" s="170">
        <v>56</v>
      </c>
      <c r="B39" s="170" t="str">
        <f t="shared" si="7"/>
        <v>0.36, Tractor (450-550 hp) 4WD 500</v>
      </c>
      <c r="C39" s="135">
        <v>0.36</v>
      </c>
      <c r="D39" s="131" t="s">
        <v>440</v>
      </c>
      <c r="E39" s="131" t="s">
        <v>255</v>
      </c>
      <c r="F39" s="131" t="s">
        <v>131</v>
      </c>
      <c r="G39" s="131" t="str">
        <f t="shared" si="2"/>
        <v>Tractor (450-550 hp) 4WD 500</v>
      </c>
      <c r="H39" s="186">
        <v>577000</v>
      </c>
      <c r="I39" s="170">
        <v>25.736000000000001</v>
      </c>
      <c r="J39" s="170">
        <v>20</v>
      </c>
      <c r="K39" s="170">
        <v>60</v>
      </c>
      <c r="L39" s="170">
        <v>14</v>
      </c>
      <c r="M39" s="170">
        <v>600</v>
      </c>
      <c r="N39" s="17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00">
        <f t="shared" si="20"/>
        <v>135278.82012478018</v>
      </c>
      <c r="AA39" s="200">
        <f t="shared" si="4"/>
        <v>31551.512848229988</v>
      </c>
      <c r="AB39" s="200">
        <f t="shared" si="0"/>
        <v>64105.09381123021</v>
      </c>
      <c r="AC39" s="200">
        <f t="shared" si="1"/>
        <v>17094.691682994726</v>
      </c>
      <c r="AD39" s="200">
        <f t="shared" si="5"/>
        <v>187.91883057075822</v>
      </c>
      <c r="AE39" s="201">
        <f t="shared" si="6"/>
        <v>67.188449618377277</v>
      </c>
    </row>
    <row r="40" spans="1:31" x14ac:dyDescent="0.2">
      <c r="A40" s="170">
        <v>55</v>
      </c>
      <c r="B40" s="170" t="str">
        <f t="shared" si="7"/>
        <v>0.37, Tractor (450-550 hp) Track 500</v>
      </c>
      <c r="C40" s="135">
        <v>0.37</v>
      </c>
      <c r="D40" s="131" t="s">
        <v>440</v>
      </c>
      <c r="E40" s="131" t="s">
        <v>255</v>
      </c>
      <c r="F40" s="131" t="s">
        <v>130</v>
      </c>
      <c r="G40" s="131" t="str">
        <f t="shared" si="2"/>
        <v>Tractor (450-550 hp) Track 500</v>
      </c>
      <c r="H40" s="186">
        <v>683000</v>
      </c>
      <c r="I40" s="170">
        <v>25.736000000000001</v>
      </c>
      <c r="J40" s="170">
        <v>20</v>
      </c>
      <c r="K40" s="170">
        <v>60</v>
      </c>
      <c r="L40" s="170">
        <v>14</v>
      </c>
      <c r="M40" s="170">
        <v>600</v>
      </c>
      <c r="N40" s="17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00">
        <f t="shared" si="20"/>
        <v>160130.7350870448</v>
      </c>
      <c r="AA40" s="200">
        <f t="shared" si="4"/>
        <v>37347.804636639659</v>
      </c>
      <c r="AB40" s="200">
        <f t="shared" si="0"/>
        <v>75881.766157834019</v>
      </c>
      <c r="AC40" s="200">
        <f t="shared" si="1"/>
        <v>20235.137642089074</v>
      </c>
      <c r="AD40" s="200">
        <f t="shared" si="5"/>
        <v>222.44118072760457</v>
      </c>
      <c r="AE40" s="201">
        <f t="shared" si="6"/>
        <v>79.531561679985543</v>
      </c>
    </row>
    <row r="41" spans="1:31" x14ac:dyDescent="0.2">
      <c r="A41" s="170">
        <v>68</v>
      </c>
      <c r="B41" s="170" t="str">
        <f t="shared" si="7"/>
        <v>0.38, Utility Vehicle 900 CC</v>
      </c>
      <c r="C41" s="135">
        <v>0.38</v>
      </c>
      <c r="D41" s="131" t="s">
        <v>440</v>
      </c>
      <c r="E41" s="131" t="s">
        <v>209</v>
      </c>
      <c r="F41" s="131" t="s">
        <v>534</v>
      </c>
      <c r="G41" s="131" t="str">
        <f t="shared" si="2"/>
        <v>Utility Vehicle 900 CC</v>
      </c>
      <c r="H41" s="186">
        <v>18700</v>
      </c>
      <c r="I41" s="170">
        <v>0.9</v>
      </c>
      <c r="J41" s="170">
        <v>30</v>
      </c>
      <c r="K41" s="170">
        <v>25</v>
      </c>
      <c r="L41" s="170">
        <v>14</v>
      </c>
      <c r="M41" s="170">
        <v>200</v>
      </c>
      <c r="N41" s="17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00">
        <f>((0.786-0.063*(L41^0.5)-0.0033*(M41^0.5))^2)*H41</f>
        <v>4742.6854762520643</v>
      </c>
      <c r="AA41" s="200">
        <f t="shared" si="4"/>
        <v>996.95103741056687</v>
      </c>
      <c r="AB41" s="200">
        <f t="shared" si="0"/>
        <v>2109.8416928626857</v>
      </c>
      <c r="AC41" s="200">
        <f t="shared" si="1"/>
        <v>562.62445143004959</v>
      </c>
      <c r="AD41" s="200">
        <f t="shared" si="5"/>
        <v>18.347085908516512</v>
      </c>
      <c r="AE41" s="201">
        <f t="shared" si="6"/>
        <v>6.7437359085165109</v>
      </c>
    </row>
    <row r="42" spans="1:31" x14ac:dyDescent="0.2">
      <c r="A42" s="170">
        <v>66</v>
      </c>
      <c r="B42" s="170" t="str">
        <f t="shared" si="7"/>
        <v>0.39, Utility Vehicle 600 CC</v>
      </c>
      <c r="C42" s="135">
        <v>0.39</v>
      </c>
      <c r="D42" s="131" t="s">
        <v>440</v>
      </c>
      <c r="E42" s="131" t="s">
        <v>209</v>
      </c>
      <c r="F42" s="131" t="s">
        <v>129</v>
      </c>
      <c r="G42" s="131" t="str">
        <f t="shared" si="2"/>
        <v>Utility Vehicle 600 CC</v>
      </c>
      <c r="H42" s="202">
        <v>8340</v>
      </c>
      <c r="I42" s="170">
        <v>0.5</v>
      </c>
      <c r="J42" s="170">
        <v>30</v>
      </c>
      <c r="K42" s="170">
        <v>25</v>
      </c>
      <c r="L42" s="170">
        <v>14</v>
      </c>
      <c r="M42" s="170">
        <v>200</v>
      </c>
      <c r="N42" s="17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00">
        <f t="shared" ref="Z42:Z43" si="21">((0.786-0.063*(L42^0.5)-0.0033*(M42^0.5))^2)*H42</f>
        <v>2115.1869984995838</v>
      </c>
      <c r="AA42" s="200">
        <f t="shared" si="4"/>
        <v>444.62950010717259</v>
      </c>
      <c r="AB42" s="200">
        <f t="shared" si="0"/>
        <v>940.96682986496239</v>
      </c>
      <c r="AC42" s="200">
        <f t="shared" si="1"/>
        <v>250.92448796399</v>
      </c>
      <c r="AD42" s="200">
        <f t="shared" si="5"/>
        <v>8.1826040896806251</v>
      </c>
      <c r="AE42" s="201">
        <f t="shared" si="6"/>
        <v>3.007634089680626</v>
      </c>
    </row>
    <row r="43" spans="1:31" x14ac:dyDescent="0.2">
      <c r="A43" s="170">
        <v>67</v>
      </c>
      <c r="B43" s="170" t="str">
        <f t="shared" si="7"/>
        <v>0.4, Utility Vehicle 800 CC</v>
      </c>
      <c r="C43" s="135">
        <v>0.4</v>
      </c>
      <c r="D43" s="131" t="s">
        <v>440</v>
      </c>
      <c r="E43" s="131" t="s">
        <v>209</v>
      </c>
      <c r="F43" s="131" t="s">
        <v>128</v>
      </c>
      <c r="G43" s="131" t="str">
        <f t="shared" si="2"/>
        <v>Utility Vehicle 800 CC</v>
      </c>
      <c r="H43" s="186">
        <v>12200</v>
      </c>
      <c r="I43" s="170">
        <v>0.7</v>
      </c>
      <c r="J43" s="170">
        <v>30</v>
      </c>
      <c r="K43" s="170">
        <v>25</v>
      </c>
      <c r="L43" s="170">
        <v>14</v>
      </c>
      <c r="M43" s="170">
        <v>200</v>
      </c>
      <c r="N43" s="17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00">
        <f t="shared" si="21"/>
        <v>3094.1584390521489</v>
      </c>
      <c r="AA43" s="200">
        <f t="shared" si="4"/>
        <v>650.41725435341789</v>
      </c>
      <c r="AB43" s="200">
        <f t="shared" si="0"/>
        <v>1376.4742595146934</v>
      </c>
      <c r="AC43" s="200">
        <f t="shared" si="1"/>
        <v>367.05980253725158</v>
      </c>
      <c r="AD43" s="200">
        <f t="shared" si="5"/>
        <v>11.969756582026815</v>
      </c>
      <c r="AE43" s="201">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H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70" bestFit="1" customWidth="1"/>
    <col min="2" max="2" width="33.83203125" style="170" bestFit="1" customWidth="1"/>
    <col min="3" max="3" width="3.5" style="131" bestFit="1" customWidth="1"/>
    <col min="4" max="4" width="2" style="131" bestFit="1" customWidth="1"/>
    <col min="5" max="5" width="12.5" style="131" bestFit="1" customWidth="1"/>
    <col min="6" max="6" width="7" style="131" bestFit="1" customWidth="1"/>
    <col min="7" max="7" width="18.5" style="131" bestFit="1" customWidth="1"/>
    <col min="8" max="8" width="10.83203125" style="186" customWidth="1"/>
    <col min="9" max="9" width="6.5" style="24" bestFit="1" customWidth="1"/>
    <col min="10" max="11" width="5.5" style="170" bestFit="1" customWidth="1"/>
    <col min="12" max="12" width="3" style="170" bestFit="1" customWidth="1"/>
    <col min="13" max="13" width="7.5" style="170" bestFit="1" customWidth="1"/>
    <col min="14" max="14" width="5.1640625" style="170" bestFit="1" customWidth="1"/>
    <col min="15" max="15" width="5.6640625" style="170" bestFit="1" customWidth="1"/>
    <col min="16" max="16" width="5.33203125" style="170" bestFit="1" customWidth="1"/>
    <col min="17" max="18" width="5.5" style="170" bestFit="1" customWidth="1"/>
    <col min="19" max="20" width="5.33203125" style="170" bestFit="1" customWidth="1"/>
    <col min="21" max="22" width="4.5" style="170" bestFit="1" customWidth="1"/>
    <col min="23" max="23" width="9.33203125" style="170" bestFit="1" customWidth="1"/>
    <col min="24" max="24" width="8.5" style="170" bestFit="1" customWidth="1"/>
    <col min="25" max="25" width="9" style="170" bestFit="1" customWidth="1"/>
    <col min="26" max="26" width="7.6640625" style="3" bestFit="1" customWidth="1"/>
    <col min="27" max="27" width="10" style="170" bestFit="1" customWidth="1"/>
    <col min="28" max="28" width="9" style="170" bestFit="1" customWidth="1"/>
    <col min="29" max="29" width="10" style="170" bestFit="1" customWidth="1"/>
    <col min="30" max="30" width="9" style="170" bestFit="1" customWidth="1"/>
    <col min="31" max="31" width="8.83203125" style="170" bestFit="1" customWidth="1"/>
    <col min="32" max="32" width="9" style="170" bestFit="1" customWidth="1"/>
    <col min="33" max="33" width="8.6640625" style="3" bestFit="1" customWidth="1"/>
    <col min="34" max="16384" width="8.83203125" style="170"/>
  </cols>
  <sheetData>
    <row r="1" spans="1:36" x14ac:dyDescent="0.2">
      <c r="A1" s="236" t="s">
        <v>445</v>
      </c>
      <c r="B1" s="236"/>
      <c r="C1" s="131">
        <v>2</v>
      </c>
      <c r="D1" s="131">
        <v>3</v>
      </c>
      <c r="E1" s="131">
        <v>4</v>
      </c>
      <c r="F1" s="131">
        <v>5</v>
      </c>
      <c r="G1" s="170">
        <v>6</v>
      </c>
      <c r="H1" s="186">
        <v>7</v>
      </c>
      <c r="I1" s="25">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c r="Z1" s="3">
        <v>25</v>
      </c>
      <c r="AA1" s="170">
        <v>26</v>
      </c>
      <c r="AB1" s="170">
        <v>27</v>
      </c>
      <c r="AC1" s="170">
        <v>28</v>
      </c>
      <c r="AD1" s="170">
        <v>29</v>
      </c>
      <c r="AE1" s="170">
        <v>30</v>
      </c>
      <c r="AF1" s="170">
        <v>31</v>
      </c>
      <c r="AG1" s="3">
        <v>32</v>
      </c>
    </row>
    <row r="2" spans="1:36" x14ac:dyDescent="0.2">
      <c r="B2" s="194"/>
      <c r="C2" s="196"/>
      <c r="D2" s="196"/>
      <c r="E2" s="192"/>
      <c r="S2" s="234" t="s">
        <v>125</v>
      </c>
      <c r="T2" s="234"/>
      <c r="U2" s="234"/>
      <c r="V2" s="234"/>
      <c r="W2" s="234"/>
      <c r="X2" s="234"/>
      <c r="Y2" s="235" t="s">
        <v>124</v>
      </c>
      <c r="Z2" s="235"/>
    </row>
    <row r="3" spans="1:36" s="11" customFormat="1" ht="10.25" customHeight="1" x14ac:dyDescent="0.15">
      <c r="A3" s="22" t="s">
        <v>439</v>
      </c>
      <c r="B3" s="22" t="s">
        <v>122</v>
      </c>
      <c r="C3" s="133" t="s">
        <v>123</v>
      </c>
      <c r="D3" s="133" t="s">
        <v>441</v>
      </c>
      <c r="E3" s="134" t="s">
        <v>121</v>
      </c>
      <c r="F3" s="134" t="s">
        <v>120</v>
      </c>
      <c r="G3" s="134" t="s">
        <v>442</v>
      </c>
      <c r="H3" s="187"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52" t="s">
        <v>102</v>
      </c>
      <c r="AA3" s="14" t="s">
        <v>101</v>
      </c>
      <c r="AB3" s="14" t="s">
        <v>100</v>
      </c>
      <c r="AC3" s="14" t="s">
        <v>99</v>
      </c>
      <c r="AD3" s="14" t="s">
        <v>98</v>
      </c>
      <c r="AE3" s="13" t="s">
        <v>97</v>
      </c>
      <c r="AF3" s="13" t="s">
        <v>96</v>
      </c>
      <c r="AG3" s="153" t="s">
        <v>95</v>
      </c>
      <c r="AJ3" s="12"/>
    </row>
    <row r="4" spans="1:36" x14ac:dyDescent="0.2">
      <c r="A4" s="170">
        <v>92</v>
      </c>
      <c r="B4" s="170" t="str">
        <f t="shared" ref="B4:B24" si="0">CONCATENATE(C4,D4,E4,F4)</f>
        <v>0.04, Cotton Picker 4R-36 (255)</v>
      </c>
      <c r="C4" s="131">
        <v>0.04</v>
      </c>
      <c r="D4" s="131" t="s">
        <v>440</v>
      </c>
      <c r="E4" s="147" t="s">
        <v>210</v>
      </c>
      <c r="F4" s="147" t="s">
        <v>222</v>
      </c>
      <c r="G4" s="131" t="str">
        <f t="shared" ref="G4:G36" si="1">CONCATENATE(E4,F4)</f>
        <v>Cotton Picker 4R-36 (255)</v>
      </c>
      <c r="H4" s="170">
        <v>268000</v>
      </c>
      <c r="I4" s="24">
        <v>13.12548</v>
      </c>
      <c r="J4" s="27">
        <v>12</v>
      </c>
      <c r="K4" s="26">
        <v>3.6</v>
      </c>
      <c r="L4" s="25">
        <v>70</v>
      </c>
      <c r="M4" s="171">
        <f t="shared" ref="M4:M24" si="2">1/((J4*K4*L4/100*5280)/43560)</f>
        <v>0.27281746031746035</v>
      </c>
      <c r="N4" s="170">
        <v>30</v>
      </c>
      <c r="O4" s="170">
        <v>25</v>
      </c>
      <c r="P4" s="170">
        <v>8</v>
      </c>
      <c r="Q4" s="17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03">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70">
        <v>45</v>
      </c>
      <c r="B5" s="170" t="str">
        <f t="shared" si="0"/>
        <v>0.05, Cotton Picker 4R-36 (350)</v>
      </c>
      <c r="C5" s="131">
        <v>0.05</v>
      </c>
      <c r="D5" s="131" t="s">
        <v>440</v>
      </c>
      <c r="E5" s="147" t="s">
        <v>210</v>
      </c>
      <c r="F5" s="147" t="s">
        <v>223</v>
      </c>
      <c r="G5" s="131" t="str">
        <f t="shared" si="1"/>
        <v>Cotton Picker 4R-36 (350)</v>
      </c>
      <c r="H5" s="170">
        <v>351000</v>
      </c>
      <c r="I5" s="24">
        <v>18.015000000000001</v>
      </c>
      <c r="J5" s="27">
        <v>12</v>
      </c>
      <c r="K5" s="26">
        <v>3.6</v>
      </c>
      <c r="L5" s="25">
        <v>70</v>
      </c>
      <c r="M5" s="171">
        <f t="shared" si="2"/>
        <v>0.27281746031746035</v>
      </c>
      <c r="N5" s="170">
        <v>30</v>
      </c>
      <c r="O5" s="170">
        <v>25</v>
      </c>
      <c r="P5" s="170">
        <v>8</v>
      </c>
      <c r="Q5" s="170">
        <v>200</v>
      </c>
      <c r="R5" s="24">
        <v>0</v>
      </c>
      <c r="S5" s="9">
        <f t="shared" si="3"/>
        <v>1600</v>
      </c>
      <c r="T5" s="9">
        <v>1</v>
      </c>
      <c r="U5" s="10">
        <v>0.6</v>
      </c>
      <c r="V5" s="10">
        <v>1.85</v>
      </c>
      <c r="W5" s="23">
        <f t="shared" si="4"/>
        <v>10724.174173363073</v>
      </c>
      <c r="X5" s="23">
        <f t="shared" si="5"/>
        <v>53.620870866815366</v>
      </c>
      <c r="Y5" s="6">
        <f t="shared" si="6"/>
        <v>10968.75</v>
      </c>
      <c r="Z5" s="203">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70">
        <v>51</v>
      </c>
      <c r="B6" s="170" t="str">
        <f t="shared" si="0"/>
        <v>0.09, Cotton Picker 6R-36 (355)</v>
      </c>
      <c r="C6" s="131">
        <v>0.09</v>
      </c>
      <c r="D6" s="131" t="s">
        <v>440</v>
      </c>
      <c r="E6" s="147" t="s">
        <v>210</v>
      </c>
      <c r="F6" s="147" t="s">
        <v>226</v>
      </c>
      <c r="G6" s="131" t="str">
        <f t="shared" si="1"/>
        <v>Cotton Picker 6R-36 (355)</v>
      </c>
      <c r="H6" s="170">
        <v>465000</v>
      </c>
      <c r="I6" s="24">
        <v>18.273</v>
      </c>
      <c r="J6" s="27">
        <v>18</v>
      </c>
      <c r="K6" s="26">
        <v>3.6</v>
      </c>
      <c r="L6" s="25">
        <v>70</v>
      </c>
      <c r="M6" s="171">
        <f t="shared" si="2"/>
        <v>0.18187830687830689</v>
      </c>
      <c r="N6" s="170">
        <v>30</v>
      </c>
      <c r="O6" s="170">
        <v>25</v>
      </c>
      <c r="P6" s="170">
        <v>8</v>
      </c>
      <c r="Q6" s="170">
        <v>200</v>
      </c>
      <c r="R6" s="24">
        <v>0</v>
      </c>
      <c r="S6" s="9">
        <f t="shared" si="3"/>
        <v>1600</v>
      </c>
      <c r="T6" s="9">
        <v>1</v>
      </c>
      <c r="U6" s="10">
        <v>0.6</v>
      </c>
      <c r="V6" s="10">
        <v>1.85</v>
      </c>
      <c r="W6" s="23">
        <f t="shared" si="4"/>
        <v>14207.239289498088</v>
      </c>
      <c r="X6" s="23">
        <f t="shared" si="5"/>
        <v>71.03619644749044</v>
      </c>
      <c r="Y6" s="6">
        <f t="shared" si="6"/>
        <v>14531.25</v>
      </c>
      <c r="Z6" s="203">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70">
        <v>102</v>
      </c>
      <c r="B7" s="170" t="str">
        <f t="shared" si="0"/>
        <v>0.1, Cotton Picker/Module 4R-36 (365)</v>
      </c>
      <c r="C7" s="131">
        <v>0.1</v>
      </c>
      <c r="D7" s="131" t="s">
        <v>440</v>
      </c>
      <c r="E7" s="147" t="s">
        <v>211</v>
      </c>
      <c r="F7" s="147" t="s">
        <v>227</v>
      </c>
      <c r="G7" s="131" t="str">
        <f t="shared" si="1"/>
        <v>Cotton Picker/Module 4R-36 (365)</v>
      </c>
      <c r="H7" s="189">
        <v>536000</v>
      </c>
      <c r="I7" s="24">
        <v>18.786999999999999</v>
      </c>
      <c r="J7" s="27">
        <v>12</v>
      </c>
      <c r="K7" s="26">
        <v>3.6</v>
      </c>
      <c r="L7" s="25">
        <v>70</v>
      </c>
      <c r="M7" s="171">
        <f t="shared" si="2"/>
        <v>0.27281746031746035</v>
      </c>
      <c r="N7" s="170">
        <v>30</v>
      </c>
      <c r="O7" s="170">
        <v>25</v>
      </c>
      <c r="P7" s="170">
        <v>8</v>
      </c>
      <c r="Q7" s="170">
        <v>200</v>
      </c>
      <c r="R7" s="24">
        <v>0</v>
      </c>
      <c r="S7" s="9">
        <f t="shared" si="3"/>
        <v>1600</v>
      </c>
      <c r="T7" s="9">
        <v>1</v>
      </c>
      <c r="U7" s="10">
        <v>0.6</v>
      </c>
      <c r="V7" s="10">
        <v>1.85</v>
      </c>
      <c r="W7" s="23">
        <f t="shared" si="4"/>
        <v>16376.516686389194</v>
      </c>
      <c r="X7" s="23">
        <f t="shared" si="5"/>
        <v>81.882583431945974</v>
      </c>
      <c r="Y7" s="6">
        <f t="shared" si="6"/>
        <v>16750</v>
      </c>
      <c r="Z7" s="203">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70">
        <v>55</v>
      </c>
      <c r="B8" s="170" t="str">
        <f t="shared" si="0"/>
        <v>0.13, Cotton Picker/Module 6R-36 (365)</v>
      </c>
      <c r="C8" s="131">
        <v>0.13</v>
      </c>
      <c r="D8" s="131" t="s">
        <v>440</v>
      </c>
      <c r="E8" s="147" t="s">
        <v>211</v>
      </c>
      <c r="F8" s="147" t="s">
        <v>228</v>
      </c>
      <c r="G8" s="131" t="str">
        <f t="shared" si="1"/>
        <v>Cotton Picker/Module 6R-36 (365)</v>
      </c>
      <c r="H8" s="189">
        <v>1081000</v>
      </c>
      <c r="I8" s="24">
        <v>18.786999999999999</v>
      </c>
      <c r="J8" s="27">
        <v>18</v>
      </c>
      <c r="K8" s="26">
        <v>3.6</v>
      </c>
      <c r="L8" s="25">
        <v>70</v>
      </c>
      <c r="M8" s="171">
        <f t="shared" si="2"/>
        <v>0.18187830687830689</v>
      </c>
      <c r="N8" s="170">
        <v>30</v>
      </c>
      <c r="O8" s="170">
        <v>25</v>
      </c>
      <c r="P8" s="170">
        <v>8</v>
      </c>
      <c r="Q8" s="170">
        <v>200</v>
      </c>
      <c r="R8" s="24">
        <v>0</v>
      </c>
      <c r="S8" s="9">
        <f t="shared" si="3"/>
        <v>1600</v>
      </c>
      <c r="T8" s="9">
        <v>1</v>
      </c>
      <c r="U8" s="10">
        <v>0.6</v>
      </c>
      <c r="V8" s="10">
        <v>1.85</v>
      </c>
      <c r="W8" s="23">
        <f t="shared" si="4"/>
        <v>33028.012197736418</v>
      </c>
      <c r="X8" s="23">
        <f t="shared" si="5"/>
        <v>165.14006098868208</v>
      </c>
      <c r="Y8" s="6">
        <f t="shared" si="6"/>
        <v>33781.25</v>
      </c>
      <c r="Z8" s="203">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70">
        <v>84</v>
      </c>
      <c r="B9" s="170" t="str">
        <f t="shared" si="0"/>
        <v>0.14, Cotton Picker/Module 6R-36 (500)</v>
      </c>
      <c r="C9" s="131">
        <v>0.14000000000000001</v>
      </c>
      <c r="D9" s="131" t="s">
        <v>440</v>
      </c>
      <c r="E9" s="147" t="s">
        <v>211</v>
      </c>
      <c r="F9" s="147" t="s">
        <v>229</v>
      </c>
      <c r="G9" s="131" t="str">
        <f t="shared" si="1"/>
        <v>Cotton Picker/Module 6R-36 (500)</v>
      </c>
      <c r="H9" s="189">
        <v>1084000</v>
      </c>
      <c r="I9" s="24">
        <v>25.736000000000001</v>
      </c>
      <c r="J9" s="27">
        <v>18</v>
      </c>
      <c r="K9" s="26">
        <v>3.6</v>
      </c>
      <c r="L9" s="25">
        <v>70</v>
      </c>
      <c r="M9" s="171">
        <f t="shared" si="2"/>
        <v>0.18187830687830689</v>
      </c>
      <c r="N9" s="170">
        <v>30</v>
      </c>
      <c r="O9" s="170">
        <v>25</v>
      </c>
      <c r="P9" s="170">
        <v>8</v>
      </c>
      <c r="Q9" s="170">
        <v>200</v>
      </c>
      <c r="R9" s="24">
        <v>0</v>
      </c>
      <c r="S9" s="9">
        <f t="shared" si="3"/>
        <v>1600</v>
      </c>
      <c r="T9" s="9">
        <v>1</v>
      </c>
      <c r="U9" s="10">
        <v>0.6</v>
      </c>
      <c r="V9" s="10">
        <v>1.85</v>
      </c>
      <c r="W9" s="23">
        <f t="shared" si="4"/>
        <v>33119.671806055761</v>
      </c>
      <c r="X9" s="23">
        <f t="shared" si="5"/>
        <v>165.5983590302788</v>
      </c>
      <c r="Y9" s="6">
        <f t="shared" si="6"/>
        <v>33875</v>
      </c>
      <c r="Z9" s="203">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70">
        <v>107</v>
      </c>
      <c r="B10" s="170" t="str">
        <f t="shared" si="0"/>
        <v xml:space="preserve">0.15, Backhoe 2WD Cab </v>
      </c>
      <c r="C10" s="131">
        <v>0.15</v>
      </c>
      <c r="D10" s="131" t="s">
        <v>440</v>
      </c>
      <c r="E10" s="147" t="s">
        <v>455</v>
      </c>
      <c r="F10" s="147" t="s">
        <v>454</v>
      </c>
      <c r="G10" s="131" t="str">
        <f t="shared" si="1"/>
        <v xml:space="preserve">Backhoe 2WD Cab </v>
      </c>
      <c r="H10" s="170">
        <v>94600.000000000015</v>
      </c>
      <c r="I10" s="24">
        <v>2.125</v>
      </c>
      <c r="J10" s="27">
        <v>2</v>
      </c>
      <c r="K10" s="26">
        <v>10</v>
      </c>
      <c r="L10" s="25">
        <v>80</v>
      </c>
      <c r="M10" s="171">
        <f t="shared" si="2"/>
        <v>0.515625</v>
      </c>
      <c r="N10" s="170">
        <v>30</v>
      </c>
      <c r="O10" s="170">
        <v>15</v>
      </c>
      <c r="P10" s="170">
        <v>15</v>
      </c>
      <c r="Q10" s="170">
        <v>150</v>
      </c>
      <c r="R10" s="24">
        <v>0</v>
      </c>
      <c r="S10" s="9">
        <f t="shared" si="3"/>
        <v>2250</v>
      </c>
      <c r="T10" s="9">
        <v>1</v>
      </c>
      <c r="U10" s="10">
        <v>0.7</v>
      </c>
      <c r="V10" s="10">
        <v>2.25</v>
      </c>
      <c r="W10" s="23">
        <f t="shared" si="4"/>
        <v>927.24501951096784</v>
      </c>
      <c r="X10" s="8">
        <f t="shared" si="5"/>
        <v>6.1816334634064525</v>
      </c>
      <c r="Y10" s="6">
        <f t="shared" si="6"/>
        <v>946.00000000000011</v>
      </c>
      <c r="Z10" s="203">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70">
        <v>22</v>
      </c>
      <c r="B11" s="170" t="str">
        <f t="shared" si="0"/>
        <v>0.16, Dry Applicator SP 70' 300 cu ft</v>
      </c>
      <c r="C11" s="131">
        <v>0.16</v>
      </c>
      <c r="D11" s="131" t="s">
        <v>440</v>
      </c>
      <c r="E11" s="147" t="s">
        <v>212</v>
      </c>
      <c r="F11" s="147" t="s">
        <v>230</v>
      </c>
      <c r="G11" s="131" t="str">
        <f t="shared" si="1"/>
        <v>Dry Applicator SP 70' 300 cu ft</v>
      </c>
      <c r="H11" s="186">
        <v>491000</v>
      </c>
      <c r="I11" s="24">
        <v>16.984999999999999</v>
      </c>
      <c r="J11" s="27">
        <v>70</v>
      </c>
      <c r="K11" s="26">
        <v>12</v>
      </c>
      <c r="L11" s="25">
        <v>65</v>
      </c>
      <c r="M11" s="171">
        <f t="shared" si="2"/>
        <v>1.5109890109890108E-2</v>
      </c>
      <c r="N11" s="170">
        <v>30</v>
      </c>
      <c r="O11" s="170">
        <v>15</v>
      </c>
      <c r="P11" s="170">
        <v>8</v>
      </c>
      <c r="Q11" s="170">
        <v>350</v>
      </c>
      <c r="R11" s="24">
        <v>0</v>
      </c>
      <c r="S11" s="9">
        <f t="shared" si="3"/>
        <v>2800</v>
      </c>
      <c r="T11" s="9">
        <v>1</v>
      </c>
      <c r="U11" s="10">
        <v>0.4</v>
      </c>
      <c r="V11" s="10">
        <v>1.4</v>
      </c>
      <c r="W11" s="23">
        <f t="shared" si="4"/>
        <v>45168.612035563965</v>
      </c>
      <c r="X11" s="23">
        <f t="shared" si="5"/>
        <v>129.05317724446846</v>
      </c>
      <c r="Y11" s="6">
        <f t="shared" si="6"/>
        <v>9206.25</v>
      </c>
      <c r="Z11" s="203">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70">
        <v>85</v>
      </c>
      <c r="B12" s="170" t="str">
        <f t="shared" si="0"/>
        <v>0.17, Sprayer  110 Gal 30' 50 hp</v>
      </c>
      <c r="C12" s="131">
        <v>0.17</v>
      </c>
      <c r="D12" s="131" t="s">
        <v>440</v>
      </c>
      <c r="E12" s="147" t="s">
        <v>213</v>
      </c>
      <c r="F12" s="147" t="s">
        <v>231</v>
      </c>
      <c r="G12" s="131" t="str">
        <f t="shared" si="1"/>
        <v>Sprayer  110 Gal 30' 50 hp</v>
      </c>
      <c r="H12" s="170">
        <v>55000.000000000007</v>
      </c>
      <c r="I12" s="24">
        <v>2.419</v>
      </c>
      <c r="J12" s="27">
        <v>30</v>
      </c>
      <c r="K12" s="26">
        <v>12</v>
      </c>
      <c r="L12" s="25">
        <v>65</v>
      </c>
      <c r="M12" s="171">
        <f t="shared" si="2"/>
        <v>3.5256410256410256E-2</v>
      </c>
      <c r="N12" s="170">
        <v>30</v>
      </c>
      <c r="O12" s="170">
        <v>15</v>
      </c>
      <c r="P12" s="170">
        <v>8</v>
      </c>
      <c r="Q12" s="170">
        <v>350</v>
      </c>
      <c r="R12" s="24">
        <v>0</v>
      </c>
      <c r="S12" s="9">
        <f t="shared" si="3"/>
        <v>2800</v>
      </c>
      <c r="T12" s="9">
        <v>1</v>
      </c>
      <c r="U12" s="10">
        <v>0.2</v>
      </c>
      <c r="V12" s="10">
        <v>2.25</v>
      </c>
      <c r="W12" s="23">
        <f t="shared" si="4"/>
        <v>1036.4438644548852</v>
      </c>
      <c r="X12" s="23">
        <f t="shared" si="5"/>
        <v>2.9612681841568147</v>
      </c>
      <c r="Y12" s="6">
        <f t="shared" si="6"/>
        <v>1031.2500000000002</v>
      </c>
      <c r="Z12" s="203">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70">
        <v>72</v>
      </c>
      <c r="B13" s="170" t="str">
        <f t="shared" si="0"/>
        <v>0.18, Sprayer  300-450 gal 60' 125 hp</v>
      </c>
      <c r="C13" s="131">
        <v>0.18</v>
      </c>
      <c r="D13" s="131" t="s">
        <v>440</v>
      </c>
      <c r="E13" s="147" t="s">
        <v>214</v>
      </c>
      <c r="F13" s="147" t="s">
        <v>232</v>
      </c>
      <c r="G13" s="131" t="str">
        <f t="shared" si="1"/>
        <v>Sprayer  300-450 gal 60' 125 hp</v>
      </c>
      <c r="H13" s="170">
        <v>128700.00000000001</v>
      </c>
      <c r="I13" s="24">
        <v>5.6619999999999999</v>
      </c>
      <c r="J13" s="27">
        <v>60</v>
      </c>
      <c r="K13" s="26">
        <v>12</v>
      </c>
      <c r="L13" s="25">
        <v>65</v>
      </c>
      <c r="M13" s="171">
        <f t="shared" si="2"/>
        <v>1.7628205128205128E-2</v>
      </c>
      <c r="N13" s="170">
        <v>30</v>
      </c>
      <c r="O13" s="170">
        <v>15</v>
      </c>
      <c r="P13" s="170">
        <v>8</v>
      </c>
      <c r="Q13" s="170">
        <v>350</v>
      </c>
      <c r="R13" s="24">
        <v>0</v>
      </c>
      <c r="S13" s="9">
        <f t="shared" si="3"/>
        <v>2800</v>
      </c>
      <c r="T13" s="9">
        <v>1</v>
      </c>
      <c r="U13" s="10">
        <v>0.2</v>
      </c>
      <c r="V13" s="10">
        <v>2.25</v>
      </c>
      <c r="W13" s="23">
        <f t="shared" si="4"/>
        <v>2425.2786428244312</v>
      </c>
      <c r="X13" s="23">
        <f t="shared" si="5"/>
        <v>6.9293675509269468</v>
      </c>
      <c r="Y13" s="6">
        <f t="shared" si="6"/>
        <v>2413.1250000000005</v>
      </c>
      <c r="Z13" s="203">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04">
        <f t="shared" si="14"/>
        <v>59.422628571428575</v>
      </c>
    </row>
    <row r="14" spans="1:36" x14ac:dyDescent="0.2">
      <c r="A14" s="170">
        <v>99</v>
      </c>
      <c r="B14" s="170" t="str">
        <f t="shared" si="0"/>
        <v>0.19, Sprayer  300-450 gal 80' 125 hp</v>
      </c>
      <c r="C14" s="131">
        <v>0.19</v>
      </c>
      <c r="D14" s="131" t="s">
        <v>440</v>
      </c>
      <c r="E14" s="147" t="s">
        <v>214</v>
      </c>
      <c r="F14" s="147" t="s">
        <v>233</v>
      </c>
      <c r="G14" s="131" t="str">
        <f t="shared" si="1"/>
        <v>Sprayer  300-450 gal 80' 125 hp</v>
      </c>
      <c r="H14" s="170">
        <v>132000</v>
      </c>
      <c r="I14" s="24">
        <v>6.4340000000000002</v>
      </c>
      <c r="J14" s="27">
        <v>80</v>
      </c>
      <c r="K14" s="26">
        <v>12</v>
      </c>
      <c r="L14" s="25">
        <v>65</v>
      </c>
      <c r="M14" s="171">
        <f t="shared" si="2"/>
        <v>1.3221153846153846E-2</v>
      </c>
      <c r="N14" s="170">
        <v>30</v>
      </c>
      <c r="O14" s="170">
        <v>15</v>
      </c>
      <c r="P14" s="170">
        <v>8</v>
      </c>
      <c r="Q14" s="170">
        <v>350</v>
      </c>
      <c r="R14" s="24">
        <v>0</v>
      </c>
      <c r="S14" s="9">
        <f t="shared" si="3"/>
        <v>2800</v>
      </c>
      <c r="T14" s="9">
        <v>1</v>
      </c>
      <c r="U14" s="10">
        <v>0.2</v>
      </c>
      <c r="V14" s="10">
        <v>2.25</v>
      </c>
      <c r="W14" s="23">
        <f t="shared" si="4"/>
        <v>2487.4652746917241</v>
      </c>
      <c r="X14" s="23">
        <f t="shared" si="5"/>
        <v>7.1070436419763547</v>
      </c>
      <c r="Y14" s="6">
        <f t="shared" si="6"/>
        <v>2475</v>
      </c>
      <c r="Z14" s="203">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70">
        <v>48</v>
      </c>
      <c r="B15" s="170" t="str">
        <f t="shared" si="0"/>
        <v>0.2, Sprayer  600-750 gal 60' 175 hp</v>
      </c>
      <c r="C15" s="131">
        <v>0.2</v>
      </c>
      <c r="D15" s="131" t="s">
        <v>440</v>
      </c>
      <c r="E15" s="147" t="s">
        <v>215</v>
      </c>
      <c r="F15" s="147" t="s">
        <v>234</v>
      </c>
      <c r="G15" s="131" t="str">
        <f t="shared" si="1"/>
        <v>Sprayer  600-750 gal 60' 175 hp</v>
      </c>
      <c r="H15">
        <v>216000</v>
      </c>
      <c r="I15" s="24">
        <v>9</v>
      </c>
      <c r="J15" s="27">
        <v>60</v>
      </c>
      <c r="K15" s="26">
        <v>12</v>
      </c>
      <c r="L15" s="25">
        <v>65</v>
      </c>
      <c r="M15" s="171">
        <f t="shared" si="2"/>
        <v>1.7628205128205128E-2</v>
      </c>
      <c r="N15" s="170">
        <v>30</v>
      </c>
      <c r="O15" s="170">
        <v>15</v>
      </c>
      <c r="P15" s="170">
        <v>8</v>
      </c>
      <c r="Q15" s="170">
        <v>350</v>
      </c>
      <c r="R15" s="24">
        <v>0</v>
      </c>
      <c r="S15" s="9">
        <f t="shared" si="3"/>
        <v>2800</v>
      </c>
      <c r="T15" s="9">
        <v>1</v>
      </c>
      <c r="U15" s="10">
        <v>0.2</v>
      </c>
      <c r="V15" s="10">
        <v>2.25</v>
      </c>
      <c r="W15" s="23">
        <f t="shared" si="4"/>
        <v>4070.3977222228209</v>
      </c>
      <c r="X15" s="23">
        <f t="shared" si="5"/>
        <v>11.629707777779489</v>
      </c>
      <c r="Y15" s="6">
        <f t="shared" si="6"/>
        <v>4050</v>
      </c>
      <c r="Z15" s="203">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70">
        <v>104</v>
      </c>
      <c r="B16" s="170" t="str">
        <f t="shared" si="0"/>
        <v>0.21, Sprayer  600-825 gal 80' 175 hp</v>
      </c>
      <c r="C16" s="131">
        <v>0.21</v>
      </c>
      <c r="D16" s="131" t="s">
        <v>440</v>
      </c>
      <c r="E16" s="147" t="s">
        <v>216</v>
      </c>
      <c r="F16" s="147" t="s">
        <v>235</v>
      </c>
      <c r="G16" s="131" t="str">
        <f t="shared" si="1"/>
        <v>Sprayer  600-825 gal 80' 175 hp</v>
      </c>
      <c r="H16" s="189">
        <v>273000</v>
      </c>
      <c r="I16" s="24">
        <v>11.811999999999999</v>
      </c>
      <c r="J16" s="27">
        <v>80</v>
      </c>
      <c r="K16" s="26">
        <v>12</v>
      </c>
      <c r="L16" s="25">
        <v>65</v>
      </c>
      <c r="M16" s="171">
        <f t="shared" si="2"/>
        <v>1.3221153846153846E-2</v>
      </c>
      <c r="N16" s="170">
        <v>30</v>
      </c>
      <c r="O16" s="170">
        <v>15</v>
      </c>
      <c r="P16" s="170">
        <v>8</v>
      </c>
      <c r="Q16" s="170">
        <v>350</v>
      </c>
      <c r="R16" s="24">
        <v>0</v>
      </c>
      <c r="S16" s="9">
        <f t="shared" si="3"/>
        <v>2800</v>
      </c>
      <c r="T16" s="9">
        <v>1</v>
      </c>
      <c r="U16" s="10">
        <v>0.2</v>
      </c>
      <c r="V16" s="10">
        <v>2.25</v>
      </c>
      <c r="W16" s="23">
        <f t="shared" si="4"/>
        <v>5144.5304544760656</v>
      </c>
      <c r="X16" s="23">
        <f t="shared" si="5"/>
        <v>14.698658441360188</v>
      </c>
      <c r="Y16" s="6">
        <f t="shared" si="6"/>
        <v>5118.75</v>
      </c>
      <c r="Z16" s="203">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70">
        <v>31</v>
      </c>
      <c r="B17" s="170" t="str">
        <f t="shared" si="0"/>
        <v>0.22, Sprayer  600-825 gal 90' 250 hp</v>
      </c>
      <c r="C17" s="131">
        <v>0.22</v>
      </c>
      <c r="D17" s="131" t="s">
        <v>440</v>
      </c>
      <c r="E17" s="147" t="s">
        <v>216</v>
      </c>
      <c r="F17" s="147" t="s">
        <v>236</v>
      </c>
      <c r="G17" s="131" t="str">
        <f t="shared" si="1"/>
        <v>Sprayer  600-825 gal 90' 250 hp</v>
      </c>
      <c r="H17" s="189">
        <v>351000</v>
      </c>
      <c r="I17" s="24">
        <v>12.739000000000001</v>
      </c>
      <c r="J17" s="27">
        <v>90</v>
      </c>
      <c r="K17" s="26">
        <v>12</v>
      </c>
      <c r="L17" s="25">
        <v>65</v>
      </c>
      <c r="M17" s="171">
        <f t="shared" si="2"/>
        <v>1.1752136752136752E-2</v>
      </c>
      <c r="N17" s="170">
        <v>30</v>
      </c>
      <c r="O17" s="170">
        <v>15</v>
      </c>
      <c r="P17" s="170">
        <v>8</v>
      </c>
      <c r="Q17" s="170">
        <v>350</v>
      </c>
      <c r="R17" s="24">
        <v>0</v>
      </c>
      <c r="S17" s="9">
        <f t="shared" si="3"/>
        <v>2800</v>
      </c>
      <c r="T17" s="9">
        <v>1</v>
      </c>
      <c r="U17" s="10">
        <v>0.2</v>
      </c>
      <c r="V17" s="10">
        <v>2.25</v>
      </c>
      <c r="W17" s="23">
        <f t="shared" si="4"/>
        <v>6614.3962986120841</v>
      </c>
      <c r="X17" s="23">
        <f t="shared" si="5"/>
        <v>18.89827513889167</v>
      </c>
      <c r="Y17" s="6">
        <f t="shared" si="6"/>
        <v>6581.25</v>
      </c>
      <c r="Z17" s="203">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70">
        <v>93</v>
      </c>
      <c r="B18" s="170" t="str">
        <f t="shared" si="0"/>
        <v>0.23, Sprayer  800 gal 80' 250 hp</v>
      </c>
      <c r="C18" s="131">
        <v>0.23</v>
      </c>
      <c r="D18" s="131" t="s">
        <v>440</v>
      </c>
      <c r="E18" s="147" t="s">
        <v>217</v>
      </c>
      <c r="F18" s="147" t="s">
        <v>237</v>
      </c>
      <c r="G18" s="131" t="str">
        <f t="shared" si="1"/>
        <v>Sprayer  800 gal 80' 250 hp</v>
      </c>
      <c r="H18">
        <v>287000</v>
      </c>
      <c r="I18" s="24">
        <v>12.8681</v>
      </c>
      <c r="J18" s="27">
        <v>80</v>
      </c>
      <c r="K18" s="26">
        <v>12</v>
      </c>
      <c r="L18" s="25">
        <v>65</v>
      </c>
      <c r="M18" s="171">
        <f t="shared" si="2"/>
        <v>1.3221153846153846E-2</v>
      </c>
      <c r="N18" s="170">
        <v>30</v>
      </c>
      <c r="O18" s="170">
        <v>15</v>
      </c>
      <c r="P18" s="170">
        <v>8</v>
      </c>
      <c r="Q18" s="170">
        <v>350</v>
      </c>
      <c r="R18" s="24">
        <v>0</v>
      </c>
      <c r="S18" s="9">
        <f t="shared" si="3"/>
        <v>2800</v>
      </c>
      <c r="T18" s="9">
        <v>1</v>
      </c>
      <c r="U18" s="10">
        <v>0.2</v>
      </c>
      <c r="V18" s="10">
        <v>2.25</v>
      </c>
      <c r="W18" s="23">
        <f t="shared" si="4"/>
        <v>5408.3525290645821</v>
      </c>
      <c r="X18" s="23">
        <f t="shared" si="5"/>
        <v>15.452435797327377</v>
      </c>
      <c r="Y18" s="6">
        <f t="shared" si="6"/>
        <v>5381.25</v>
      </c>
      <c r="Z18" s="203">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70">
        <v>56</v>
      </c>
      <c r="B19" s="170" t="str">
        <f t="shared" si="0"/>
        <v>0.24, Sprayer  800 gal 100' 250 hp</v>
      </c>
      <c r="C19" s="131">
        <v>0.24</v>
      </c>
      <c r="D19" s="131" t="s">
        <v>440</v>
      </c>
      <c r="E19" s="147" t="s">
        <v>217</v>
      </c>
      <c r="F19" s="147" t="s">
        <v>238</v>
      </c>
      <c r="G19" s="131" t="str">
        <f t="shared" si="1"/>
        <v>Sprayer  800 gal 100' 250 hp</v>
      </c>
      <c r="H19" s="189">
        <v>383000</v>
      </c>
      <c r="I19" s="24">
        <v>14.154</v>
      </c>
      <c r="J19" s="27">
        <v>100</v>
      </c>
      <c r="K19" s="26">
        <v>12</v>
      </c>
      <c r="L19" s="25">
        <v>65</v>
      </c>
      <c r="M19" s="171">
        <f t="shared" si="2"/>
        <v>1.0576923076923078E-2</v>
      </c>
      <c r="N19" s="170">
        <v>30</v>
      </c>
      <c r="O19" s="170">
        <v>15</v>
      </c>
      <c r="P19" s="170">
        <v>8</v>
      </c>
      <c r="Q19" s="170">
        <v>350</v>
      </c>
      <c r="R19" s="24">
        <v>0</v>
      </c>
      <c r="S19" s="9">
        <f t="shared" si="3"/>
        <v>2800</v>
      </c>
      <c r="T19" s="9">
        <v>1</v>
      </c>
      <c r="U19" s="10">
        <v>0.2</v>
      </c>
      <c r="V19" s="10">
        <v>2.25</v>
      </c>
      <c r="W19" s="23">
        <f t="shared" si="4"/>
        <v>7217.4181833858356</v>
      </c>
      <c r="X19" s="23">
        <f t="shared" si="5"/>
        <v>20.621194809673817</v>
      </c>
      <c r="Y19" s="6">
        <f t="shared" si="6"/>
        <v>7181.25</v>
      </c>
      <c r="Z19" s="203">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70">
        <v>101</v>
      </c>
      <c r="B20" s="170" t="str">
        <f t="shared" si="0"/>
        <v>0.25, Sprayer 1000-1400 gal 90' 275 hp</v>
      </c>
      <c r="C20" s="131">
        <v>0.25</v>
      </c>
      <c r="D20" s="131" t="s">
        <v>440</v>
      </c>
      <c r="E20" s="147" t="s">
        <v>218</v>
      </c>
      <c r="F20" s="147" t="s">
        <v>239</v>
      </c>
      <c r="G20" s="131" t="str">
        <f t="shared" si="1"/>
        <v>Sprayer 1000-1400 gal 90' 275 hp</v>
      </c>
      <c r="H20" s="189">
        <v>381000</v>
      </c>
      <c r="I20" s="24">
        <v>14.154</v>
      </c>
      <c r="J20" s="27">
        <v>90</v>
      </c>
      <c r="K20" s="26">
        <v>12</v>
      </c>
      <c r="L20" s="25">
        <v>65</v>
      </c>
      <c r="M20" s="171">
        <f t="shared" si="2"/>
        <v>1.1752136752136752E-2</v>
      </c>
      <c r="N20" s="170">
        <v>30</v>
      </c>
      <c r="O20" s="170">
        <v>15</v>
      </c>
      <c r="P20" s="170">
        <v>8</v>
      </c>
      <c r="Q20" s="170">
        <v>350</v>
      </c>
      <c r="R20" s="24">
        <v>0</v>
      </c>
      <c r="S20" s="9">
        <f t="shared" si="3"/>
        <v>2800</v>
      </c>
      <c r="T20" s="9">
        <v>1</v>
      </c>
      <c r="U20" s="10">
        <v>0.2</v>
      </c>
      <c r="V20" s="10">
        <v>2.25</v>
      </c>
      <c r="W20" s="23">
        <f t="shared" si="4"/>
        <v>7179.7293155874759</v>
      </c>
      <c r="X20" s="23">
        <f t="shared" si="5"/>
        <v>20.513512330249931</v>
      </c>
      <c r="Y20" s="6">
        <f t="shared" si="6"/>
        <v>7143.75</v>
      </c>
      <c r="Z20" s="203">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70">
        <v>103</v>
      </c>
      <c r="B21" s="170" t="str">
        <f t="shared" si="0"/>
        <v>0.26, Sprayer 1000 gal 100' 300 hp</v>
      </c>
      <c r="C21" s="131">
        <v>0.26</v>
      </c>
      <c r="D21" s="131" t="s">
        <v>440</v>
      </c>
      <c r="E21" s="147" t="s">
        <v>219</v>
      </c>
      <c r="F21" s="147" t="s">
        <v>240</v>
      </c>
      <c r="G21" s="131" t="str">
        <f t="shared" si="1"/>
        <v>Sprayer 1000 gal 100' 300 hp</v>
      </c>
      <c r="H21" s="189">
        <v>528000</v>
      </c>
      <c r="I21" s="24">
        <v>15.441000000000001</v>
      </c>
      <c r="J21" s="27">
        <v>100</v>
      </c>
      <c r="K21" s="26">
        <v>12</v>
      </c>
      <c r="L21" s="25">
        <v>65</v>
      </c>
      <c r="M21" s="171">
        <f t="shared" si="2"/>
        <v>1.0576923076923078E-2</v>
      </c>
      <c r="N21" s="170">
        <v>30</v>
      </c>
      <c r="O21" s="170">
        <v>15</v>
      </c>
      <c r="P21" s="170">
        <v>8</v>
      </c>
      <c r="Q21" s="170">
        <v>350</v>
      </c>
      <c r="R21" s="24">
        <v>0</v>
      </c>
      <c r="S21" s="9">
        <f t="shared" si="3"/>
        <v>2800</v>
      </c>
      <c r="T21" s="9">
        <v>1</v>
      </c>
      <c r="U21" s="10">
        <v>0.2</v>
      </c>
      <c r="V21" s="10">
        <v>2.25</v>
      </c>
      <c r="W21" s="23">
        <f t="shared" si="4"/>
        <v>9949.8610987668962</v>
      </c>
      <c r="X21" s="23">
        <f t="shared" si="5"/>
        <v>28.428174567905419</v>
      </c>
      <c r="Y21" s="6">
        <f t="shared" si="6"/>
        <v>9900</v>
      </c>
      <c r="Z21" s="203">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70">
        <v>87</v>
      </c>
      <c r="B22" s="170" t="str">
        <f t="shared" si="0"/>
        <v>0.27, Sprayer 1200+ gal 120' 300 hp</v>
      </c>
      <c r="C22" s="131">
        <v>0.27</v>
      </c>
      <c r="D22" s="131" t="s">
        <v>440</v>
      </c>
      <c r="E22" s="147" t="s">
        <v>220</v>
      </c>
      <c r="F22" s="147" t="s">
        <v>241</v>
      </c>
      <c r="G22" s="131" t="str">
        <f t="shared" si="1"/>
        <v>Sprayer 1200+ gal 120' 300 hp</v>
      </c>
      <c r="H22" s="189">
        <v>519000</v>
      </c>
      <c r="I22" s="24">
        <v>15.442</v>
      </c>
      <c r="J22" s="27">
        <v>120</v>
      </c>
      <c r="K22" s="26">
        <v>12</v>
      </c>
      <c r="L22" s="25">
        <v>65</v>
      </c>
      <c r="M22" s="171">
        <f t="shared" si="2"/>
        <v>8.814102564102564E-3</v>
      </c>
      <c r="N22" s="170">
        <v>30</v>
      </c>
      <c r="O22" s="170">
        <v>15</v>
      </c>
      <c r="P22" s="170">
        <v>8</v>
      </c>
      <c r="Q22" s="170">
        <v>350</v>
      </c>
      <c r="R22" s="24">
        <v>0</v>
      </c>
      <c r="S22" s="9">
        <f t="shared" si="3"/>
        <v>2800</v>
      </c>
      <c r="T22" s="9">
        <v>1</v>
      </c>
      <c r="U22" s="10">
        <v>0.2</v>
      </c>
      <c r="V22" s="10">
        <v>2.25</v>
      </c>
      <c r="W22" s="23">
        <f t="shared" si="4"/>
        <v>9780.2611936742778</v>
      </c>
      <c r="X22" s="23">
        <f t="shared" si="5"/>
        <v>27.943603410497936</v>
      </c>
      <c r="Y22" s="6">
        <f t="shared" si="6"/>
        <v>9731.25</v>
      </c>
      <c r="Z22" s="203">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70">
        <v>83</v>
      </c>
      <c r="B23" s="170" t="str">
        <f t="shared" si="0"/>
        <v>0.28, Utility Vehicle 75" rope wic</v>
      </c>
      <c r="C23" s="131">
        <v>0.28000000000000003</v>
      </c>
      <c r="D23" s="131" t="s">
        <v>440</v>
      </c>
      <c r="E23" s="147" t="s">
        <v>209</v>
      </c>
      <c r="F23" s="147" t="s">
        <v>242</v>
      </c>
      <c r="G23" s="131" t="str">
        <f t="shared" si="1"/>
        <v>Utility Vehicle 75" rope wic</v>
      </c>
      <c r="H23" s="170">
        <v>10670</v>
      </c>
      <c r="I23" s="24">
        <v>0.4</v>
      </c>
      <c r="J23" s="27">
        <v>6.2</v>
      </c>
      <c r="K23" s="26">
        <v>12</v>
      </c>
      <c r="L23" s="25">
        <v>65</v>
      </c>
      <c r="M23" s="171">
        <f t="shared" si="2"/>
        <v>0.17059553349875931</v>
      </c>
      <c r="N23" s="170">
        <v>30</v>
      </c>
      <c r="O23" s="170">
        <v>25</v>
      </c>
      <c r="P23" s="170">
        <v>8</v>
      </c>
      <c r="Q23" s="170">
        <v>200</v>
      </c>
      <c r="R23" s="24">
        <v>0</v>
      </c>
      <c r="S23" s="9">
        <f t="shared" si="3"/>
        <v>1600</v>
      </c>
      <c r="T23" s="9">
        <v>1</v>
      </c>
      <c r="U23" s="10">
        <v>0.32</v>
      </c>
      <c r="V23" s="10">
        <v>1.4</v>
      </c>
      <c r="W23" s="23">
        <f t="shared" si="4"/>
        <v>358.72066141424898</v>
      </c>
      <c r="X23" s="23">
        <f t="shared" si="5"/>
        <v>1.7936033070712449</v>
      </c>
      <c r="Y23" s="6">
        <f t="shared" si="6"/>
        <v>333.4375</v>
      </c>
      <c r="Z23" s="203">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70">
        <v>54</v>
      </c>
      <c r="B24" s="170" t="str">
        <f t="shared" si="0"/>
        <v>0.29, Utility Vehicle 20'</v>
      </c>
      <c r="C24" s="131">
        <v>0.28999999999999998</v>
      </c>
      <c r="D24" s="131" t="s">
        <v>440</v>
      </c>
      <c r="E24" s="147" t="s">
        <v>209</v>
      </c>
      <c r="F24" s="147" t="s">
        <v>8</v>
      </c>
      <c r="G24" s="131" t="str">
        <f t="shared" si="1"/>
        <v>Utility Vehicle 20'</v>
      </c>
      <c r="H24" s="170">
        <v>13420.000000000002</v>
      </c>
      <c r="I24" s="24">
        <v>0.5</v>
      </c>
      <c r="J24" s="27">
        <v>20</v>
      </c>
      <c r="K24" s="26">
        <v>12</v>
      </c>
      <c r="L24" s="25">
        <v>65</v>
      </c>
      <c r="M24" s="171">
        <f t="shared" si="2"/>
        <v>5.2884615384615384E-2</v>
      </c>
      <c r="N24" s="170">
        <v>30</v>
      </c>
      <c r="O24" s="170">
        <v>25</v>
      </c>
      <c r="P24" s="170">
        <v>8</v>
      </c>
      <c r="Q24" s="170">
        <v>200</v>
      </c>
      <c r="R24" s="24">
        <v>0</v>
      </c>
      <c r="S24" s="9">
        <f t="shared" si="3"/>
        <v>1600</v>
      </c>
      <c r="T24" s="9">
        <v>1</v>
      </c>
      <c r="U24" s="10">
        <v>0.32</v>
      </c>
      <c r="V24" s="10">
        <v>1.4</v>
      </c>
      <c r="W24" s="23">
        <f t="shared" si="4"/>
        <v>451.17444012926165</v>
      </c>
      <c r="X24" s="23">
        <f t="shared" si="5"/>
        <v>2.2558722006463081</v>
      </c>
      <c r="Y24" s="6">
        <f t="shared" si="6"/>
        <v>419.37500000000006</v>
      </c>
      <c r="Z24" s="203">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31" t="s">
        <v>440</v>
      </c>
      <c r="G25" s="131" t="str">
        <f t="shared" si="1"/>
        <v/>
      </c>
    </row>
    <row r="26" spans="1:33" x14ac:dyDescent="0.2">
      <c r="D26" s="131" t="s">
        <v>440</v>
      </c>
      <c r="G26" s="131" t="str">
        <f t="shared" si="1"/>
        <v/>
      </c>
    </row>
    <row r="27" spans="1:33" x14ac:dyDescent="0.2">
      <c r="D27" s="131" t="s">
        <v>440</v>
      </c>
      <c r="G27" s="131" t="str">
        <f t="shared" si="1"/>
        <v/>
      </c>
    </row>
    <row r="28" spans="1:33" x14ac:dyDescent="0.2">
      <c r="D28" s="131" t="s">
        <v>440</v>
      </c>
      <c r="G28" s="131" t="str">
        <f t="shared" si="1"/>
        <v/>
      </c>
    </row>
    <row r="29" spans="1:33" x14ac:dyDescent="0.2">
      <c r="D29" s="131" t="s">
        <v>440</v>
      </c>
      <c r="G29" s="131" t="str">
        <f t="shared" si="1"/>
        <v/>
      </c>
    </row>
    <row r="30" spans="1:33" x14ac:dyDescent="0.2">
      <c r="D30" s="131" t="s">
        <v>440</v>
      </c>
      <c r="G30" s="131" t="str">
        <f t="shared" si="1"/>
        <v/>
      </c>
    </row>
    <row r="31" spans="1:33" x14ac:dyDescent="0.2">
      <c r="D31" s="131" t="s">
        <v>440</v>
      </c>
      <c r="G31" s="131" t="str">
        <f t="shared" si="1"/>
        <v/>
      </c>
    </row>
    <row r="32" spans="1:33" x14ac:dyDescent="0.2">
      <c r="D32" s="131" t="s">
        <v>440</v>
      </c>
      <c r="G32" s="131" t="str">
        <f t="shared" si="1"/>
        <v/>
      </c>
    </row>
    <row r="33" spans="3:33" x14ac:dyDescent="0.2">
      <c r="C33" s="170"/>
      <c r="D33" s="131" t="s">
        <v>440</v>
      </c>
      <c r="G33" s="131" t="str">
        <f t="shared" si="1"/>
        <v/>
      </c>
      <c r="I33" s="170"/>
      <c r="Z33" s="170"/>
      <c r="AG33" s="170"/>
    </row>
    <row r="34" spans="3:33" x14ac:dyDescent="0.2">
      <c r="C34" s="170"/>
      <c r="D34" s="131" t="s">
        <v>440</v>
      </c>
      <c r="G34" s="131" t="str">
        <f t="shared" si="1"/>
        <v/>
      </c>
      <c r="I34" s="170"/>
      <c r="Z34" s="170"/>
      <c r="AG34" s="170"/>
    </row>
    <row r="35" spans="3:33" x14ac:dyDescent="0.2">
      <c r="C35" s="170"/>
      <c r="D35" s="131" t="s">
        <v>440</v>
      </c>
      <c r="G35" s="131" t="str">
        <f t="shared" si="1"/>
        <v/>
      </c>
      <c r="I35" s="170"/>
      <c r="Z35" s="170"/>
      <c r="AG35" s="170"/>
    </row>
    <row r="36" spans="3:33" x14ac:dyDescent="0.2">
      <c r="C36" s="170"/>
      <c r="D36" s="131" t="s">
        <v>440</v>
      </c>
      <c r="G36" s="131" t="str">
        <f t="shared" si="1"/>
        <v/>
      </c>
      <c r="I36" s="170"/>
      <c r="Z36" s="170"/>
      <c r="AG36" s="170"/>
    </row>
    <row r="37" spans="3:33" x14ac:dyDescent="0.2">
      <c r="C37" s="170"/>
      <c r="I37" s="170"/>
      <c r="Z37" s="170"/>
      <c r="AG37" s="170"/>
    </row>
    <row r="38" spans="3:33" x14ac:dyDescent="0.2">
      <c r="C38" s="170"/>
      <c r="I38" s="170"/>
      <c r="Z38" s="170"/>
      <c r="AG38" s="170"/>
    </row>
    <row r="39" spans="3:33" x14ac:dyDescent="0.2">
      <c r="C39" s="170"/>
      <c r="I39" s="170"/>
      <c r="Z39" s="170"/>
      <c r="AG39" s="170"/>
    </row>
    <row r="40" spans="3:33" x14ac:dyDescent="0.2">
      <c r="C40" s="170"/>
      <c r="I40" s="170"/>
      <c r="Z40" s="170"/>
      <c r="AG40" s="170"/>
    </row>
    <row r="41" spans="3:33" x14ac:dyDescent="0.2">
      <c r="C41" s="170"/>
      <c r="I41" s="170"/>
      <c r="Z41" s="170"/>
      <c r="AG41" s="170"/>
    </row>
    <row r="42" spans="3:33" x14ac:dyDescent="0.2">
      <c r="C42" s="170"/>
      <c r="I42" s="170"/>
      <c r="Z42" s="170"/>
      <c r="AG42" s="170"/>
    </row>
    <row r="43" spans="3:33" x14ac:dyDescent="0.2">
      <c r="C43" s="170"/>
      <c r="I43" s="170"/>
      <c r="Z43" s="170"/>
      <c r="AG43" s="170"/>
    </row>
    <row r="44" spans="3:33" x14ac:dyDescent="0.2">
      <c r="C44" s="170"/>
      <c r="I44" s="170"/>
      <c r="Z44" s="170"/>
      <c r="AG44" s="17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2420A6-221E-49CC-B0F5-AB1D20DD219D}"/>
</file>

<file path=customXml/itemProps2.xml><?xml version="1.0" encoding="utf-8"?>
<ds:datastoreItem xmlns:ds="http://schemas.openxmlformats.org/officeDocument/2006/customXml" ds:itemID="{925ED9D3-500F-49CC-9E75-119DA568EB73}"/>
</file>

<file path=customXml/itemProps3.xml><?xml version="1.0" encoding="utf-8"?>
<ds:datastoreItem xmlns:ds="http://schemas.openxmlformats.org/officeDocument/2006/customXml" ds:itemID="{66E14DFA-7AAD-4654-B8F8-20A8B0D0071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2014-01-13T20:58:06Z</cp:lastPrinted>
  <dcterms:created xsi:type="dcterms:W3CDTF">2010-11-24T19:49:39Z</dcterms:created>
  <dcterms:modified xsi:type="dcterms:W3CDTF">2025-01-05T01:56:30Z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