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30" documentId="8_{F5EF5943-ABB4-40CC-81B5-395F010B8E03}" xr6:coauthVersionLast="47" xr6:coauthVersionMax="47" xr10:uidLastSave="{2F35643D-F2EF-49C0-839B-A4CBDB7593B3}"/>
  <bookViews>
    <workbookView xWindow="-120" yWindow="-120" windowWidth="29040" windowHeight="15720" xr2:uid="{00000000-000D-0000-FFFF-FFFF00000000}"/>
  </bookViews>
  <sheets>
    <sheet name="Disclaimer" sheetId="2" r:id="rId1"/>
    <sheet name="Main" sheetId="3" r:id="rId2"/>
    <sheet name="Bahia" sheetId="17" r:id="rId3"/>
    <sheet name="Bermuda" sheetId="16" r:id="rId4"/>
    <sheet name="Fescue" sheetId="15" r:id="rId5"/>
    <sheet name="Winter_Grazing" sheetId="14" r:id="rId6"/>
    <sheet name="Summer_Annual" sheetId="13" r:id="rId7"/>
    <sheet name="Hay" sheetId="12" r:id="rId8"/>
    <sheet name="Feed" sheetId="11" r:id="rId9"/>
    <sheet name="Vet" sheetId="10" r:id="rId10"/>
    <sheet name="Marketing" sheetId="9" r:id="rId11"/>
    <sheet name="Breeding_Stock" sheetId="8" r:id="rId12"/>
    <sheet name="Facilities" sheetId="7" r:id="rId13"/>
    <sheet name="Equipment_VC" sheetId="4" r:id="rId14"/>
    <sheet name="CowCalfEquipment_FC" sheetId="18" r:id="rId15"/>
    <sheet name="Implement" sheetId="5" r:id="rId16"/>
    <sheet name="Tractors" sheetId="6" r:id="rId17"/>
  </sheets>
  <definedNames>
    <definedName name="implement" localSheetId="13">Implement!$B$5:$AF$500</definedName>
    <definedName name="implement">Implement!$B$5:$AF$500</definedName>
    <definedName name="intir">Implement!$F$1</definedName>
    <definedName name="itr">Implement!$F$2</definedName>
    <definedName name="tractor">Tractors!$B$4:$B$36</definedName>
    <definedName name="tractor_data">Tractors!$B$4:$Y$43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7" l="1"/>
  <c r="J14" i="7"/>
  <c r="J15" i="7"/>
  <c r="J13" i="7"/>
  <c r="E25" i="12"/>
  <c r="E23" i="12"/>
  <c r="E25" i="13" l="1"/>
  <c r="E23" i="13"/>
  <c r="E28" i="14"/>
  <c r="E26" i="14"/>
  <c r="E21" i="15"/>
  <c r="E19" i="15"/>
  <c r="E21" i="16" l="1"/>
  <c r="E19" i="16"/>
  <c r="E21" i="17" l="1"/>
  <c r="E19" i="17"/>
  <c r="B5" i="5" l="1"/>
  <c r="G5" i="5"/>
  <c r="L5" i="5"/>
  <c r="R5" i="5"/>
  <c r="V5" i="5"/>
  <c r="W5" i="5" s="1"/>
  <c r="X5" i="5"/>
  <c r="Y5" i="5"/>
  <c r="Z5" i="5"/>
  <c r="AB5" i="5" s="1"/>
  <c r="B6" i="5"/>
  <c r="G6" i="5"/>
  <c r="L6" i="5"/>
  <c r="R6" i="5"/>
  <c r="V6" i="5"/>
  <c r="W6" i="5" s="1"/>
  <c r="X6" i="5"/>
  <c r="Y6" i="5" s="1"/>
  <c r="Z6" i="5"/>
  <c r="AA6" i="5" s="1"/>
  <c r="B7" i="5"/>
  <c r="G7" i="5"/>
  <c r="L7" i="5"/>
  <c r="R7" i="5"/>
  <c r="V7" i="5"/>
  <c r="W7" i="5" s="1"/>
  <c r="X7" i="5"/>
  <c r="Y7" i="5" s="1"/>
  <c r="Z7" i="5"/>
  <c r="AB7" i="5" s="1"/>
  <c r="B8" i="5"/>
  <c r="G8" i="5"/>
  <c r="L8" i="5"/>
  <c r="R8" i="5"/>
  <c r="V8" i="5"/>
  <c r="W8" i="5" s="1"/>
  <c r="X8" i="5"/>
  <c r="Y8" i="5" s="1"/>
  <c r="Z8" i="5"/>
  <c r="AA8" i="5" s="1"/>
  <c r="AB8" i="5"/>
  <c r="B9" i="5"/>
  <c r="G9" i="5"/>
  <c r="L9" i="5"/>
  <c r="R9" i="5"/>
  <c r="V9" i="5"/>
  <c r="W9" i="5" s="1"/>
  <c r="X9" i="5"/>
  <c r="Y9" i="5" s="1"/>
  <c r="Z9" i="5"/>
  <c r="AA9" i="5"/>
  <c r="AB9" i="5"/>
  <c r="B10" i="5"/>
  <c r="G10" i="5"/>
  <c r="L10" i="5"/>
  <c r="R10" i="5"/>
  <c r="V10" i="5"/>
  <c r="W10" i="5" s="1"/>
  <c r="X10" i="5"/>
  <c r="Y10" i="5" s="1"/>
  <c r="Z10" i="5"/>
  <c r="AB10" i="5" s="1"/>
  <c r="AA10" i="5"/>
  <c r="B11" i="5"/>
  <c r="G11" i="5"/>
  <c r="L11" i="5"/>
  <c r="R11" i="5"/>
  <c r="V11" i="5"/>
  <c r="W11" i="5" s="1"/>
  <c r="X11" i="5"/>
  <c r="Y11" i="5" s="1"/>
  <c r="Z11" i="5"/>
  <c r="B12" i="5"/>
  <c r="G12" i="5"/>
  <c r="L12" i="5"/>
  <c r="R12" i="5"/>
  <c r="V12" i="5"/>
  <c r="W12" i="5" s="1"/>
  <c r="X12" i="5"/>
  <c r="Y12" i="5" s="1"/>
  <c r="Z12" i="5"/>
  <c r="AA12" i="5"/>
  <c r="AB12" i="5"/>
  <c r="AC12" i="5" s="1"/>
  <c r="B13" i="5"/>
  <c r="G13" i="5"/>
  <c r="L13" i="5"/>
  <c r="R13" i="5"/>
  <c r="V13" i="5"/>
  <c r="W13" i="5" s="1"/>
  <c r="X13" i="5"/>
  <c r="Y13" i="5" s="1"/>
  <c r="Z13" i="5"/>
  <c r="AB13" i="5" s="1"/>
  <c r="B14" i="5"/>
  <c r="G14" i="5"/>
  <c r="L14" i="5"/>
  <c r="R14" i="5"/>
  <c r="V14" i="5"/>
  <c r="W14" i="5" s="1"/>
  <c r="X14" i="5"/>
  <c r="Y14" i="5" s="1"/>
  <c r="Z14" i="5"/>
  <c r="AA14" i="5" s="1"/>
  <c r="B15" i="5"/>
  <c r="G15" i="5"/>
  <c r="L15" i="5"/>
  <c r="R15" i="5"/>
  <c r="V15" i="5"/>
  <c r="W15" i="5" s="1"/>
  <c r="X15" i="5"/>
  <c r="Y15" i="5" s="1"/>
  <c r="Z15" i="5"/>
  <c r="AB15" i="5" s="1"/>
  <c r="AC15" i="5" s="1"/>
  <c r="B16" i="5"/>
  <c r="G16" i="5"/>
  <c r="L16" i="5"/>
  <c r="R16" i="5"/>
  <c r="V16" i="5"/>
  <c r="W16" i="5" s="1"/>
  <c r="X16" i="5"/>
  <c r="Y16" i="5"/>
  <c r="Z16" i="5"/>
  <c r="AA16" i="5" s="1"/>
  <c r="B17" i="5"/>
  <c r="G17" i="5"/>
  <c r="L17" i="5"/>
  <c r="R17" i="5"/>
  <c r="V17" i="5"/>
  <c r="W17" i="5" s="1"/>
  <c r="X17" i="5"/>
  <c r="Y17" i="5" s="1"/>
  <c r="Z17" i="5"/>
  <c r="AA17" i="5" s="1"/>
  <c r="AB17" i="5"/>
  <c r="AD17" i="5" s="1"/>
  <c r="B18" i="5"/>
  <c r="G18" i="5"/>
  <c r="L18" i="5"/>
  <c r="R18" i="5"/>
  <c r="V18" i="5"/>
  <c r="W18" i="5"/>
  <c r="X18" i="5"/>
  <c r="Y18" i="5" s="1"/>
  <c r="Z18" i="5"/>
  <c r="AA18" i="5" s="1"/>
  <c r="B19" i="5"/>
  <c r="G19" i="5"/>
  <c r="L19" i="5"/>
  <c r="R19" i="5"/>
  <c r="V19" i="5"/>
  <c r="W19" i="5" s="1"/>
  <c r="X19" i="5"/>
  <c r="Y19" i="5" s="1"/>
  <c r="Z19" i="5"/>
  <c r="AB19" i="5" s="1"/>
  <c r="B20" i="5"/>
  <c r="G20" i="5"/>
  <c r="L20" i="5"/>
  <c r="R20" i="5"/>
  <c r="V20" i="5"/>
  <c r="W20" i="5" s="1"/>
  <c r="X20" i="5"/>
  <c r="Y20" i="5"/>
  <c r="Z20" i="5"/>
  <c r="B21" i="5"/>
  <c r="G21" i="5"/>
  <c r="L21" i="5"/>
  <c r="R21" i="5"/>
  <c r="V21" i="5"/>
  <c r="W21" i="5" s="1"/>
  <c r="X21" i="5"/>
  <c r="Y21" i="5" s="1"/>
  <c r="Z21" i="5"/>
  <c r="AA21" i="5" s="1"/>
  <c r="B22" i="5"/>
  <c r="G22" i="5"/>
  <c r="L22" i="5"/>
  <c r="R22" i="5"/>
  <c r="V22" i="5"/>
  <c r="W22" i="5" s="1"/>
  <c r="X22" i="5"/>
  <c r="Y22" i="5" s="1"/>
  <c r="Z22" i="5"/>
  <c r="B23" i="5"/>
  <c r="G23" i="5"/>
  <c r="L23" i="5"/>
  <c r="R23" i="5"/>
  <c r="V23" i="5"/>
  <c r="W23" i="5"/>
  <c r="X23" i="5"/>
  <c r="Y23" i="5"/>
  <c r="Z23" i="5"/>
  <c r="AB23" i="5" s="1"/>
  <c r="B24" i="5"/>
  <c r="G24" i="5"/>
  <c r="L24" i="5"/>
  <c r="R24" i="5"/>
  <c r="V24" i="5"/>
  <c r="W24" i="5" s="1"/>
  <c r="X24" i="5"/>
  <c r="Y24" i="5" s="1"/>
  <c r="Z24" i="5"/>
  <c r="AA24" i="5" s="1"/>
  <c r="AB24" i="5"/>
  <c r="AC24" i="5" s="1"/>
  <c r="B25" i="5"/>
  <c r="G25" i="5"/>
  <c r="L25" i="5"/>
  <c r="R25" i="5"/>
  <c r="V25" i="5"/>
  <c r="W25" i="5"/>
  <c r="X25" i="5"/>
  <c r="Y25" i="5" s="1"/>
  <c r="Z25" i="5"/>
  <c r="AA25" i="5" s="1"/>
  <c r="B26" i="5"/>
  <c r="G26" i="5"/>
  <c r="L26" i="5"/>
  <c r="R26" i="5"/>
  <c r="V26" i="5"/>
  <c r="W26" i="5" s="1"/>
  <c r="X26" i="5"/>
  <c r="Y26" i="5" s="1"/>
  <c r="Z26" i="5"/>
  <c r="AA26" i="5" s="1"/>
  <c r="B27" i="5"/>
  <c r="G27" i="5"/>
  <c r="L27" i="5"/>
  <c r="R27" i="5"/>
  <c r="V27" i="5"/>
  <c r="W27" i="5"/>
  <c r="X27" i="5"/>
  <c r="Y27" i="5"/>
  <c r="Z27" i="5"/>
  <c r="AB27" i="5" s="1"/>
  <c r="AA27" i="5"/>
  <c r="B28" i="5"/>
  <c r="G28" i="5"/>
  <c r="L28" i="5"/>
  <c r="R28" i="5"/>
  <c r="V28" i="5"/>
  <c r="W28" i="5"/>
  <c r="X28" i="5"/>
  <c r="Y28" i="5" s="1"/>
  <c r="Z28" i="5"/>
  <c r="B29" i="5"/>
  <c r="G29" i="5"/>
  <c r="L29" i="5"/>
  <c r="R29" i="5"/>
  <c r="V29" i="5"/>
  <c r="W29" i="5"/>
  <c r="X29" i="5"/>
  <c r="Y29" i="5" s="1"/>
  <c r="Z29" i="5"/>
  <c r="AA29" i="5" s="1"/>
  <c r="AB29" i="5"/>
  <c r="B30" i="5"/>
  <c r="G30" i="5"/>
  <c r="L30" i="5"/>
  <c r="R30" i="5"/>
  <c r="V30" i="5"/>
  <c r="W30" i="5" s="1"/>
  <c r="X30" i="5"/>
  <c r="Y30" i="5"/>
  <c r="Z30" i="5"/>
  <c r="AB30" i="5" s="1"/>
  <c r="AC30" i="5" s="1"/>
  <c r="AA30" i="5"/>
  <c r="AD30" i="5"/>
  <c r="B31" i="5"/>
  <c r="G31" i="5"/>
  <c r="L31" i="5"/>
  <c r="R31" i="5"/>
  <c r="V31" i="5"/>
  <c r="W31" i="5" s="1"/>
  <c r="X31" i="5"/>
  <c r="Y31" i="5" s="1"/>
  <c r="Z31" i="5"/>
  <c r="B32" i="5"/>
  <c r="G32" i="5"/>
  <c r="L32" i="5"/>
  <c r="R32" i="5"/>
  <c r="V32" i="5"/>
  <c r="W32" i="5" s="1"/>
  <c r="X32" i="5"/>
  <c r="Y32" i="5"/>
  <c r="Z32" i="5"/>
  <c r="AA32" i="5" s="1"/>
  <c r="AB32" i="5"/>
  <c r="AD32" i="5" s="1"/>
  <c r="B33" i="5"/>
  <c r="G33" i="5"/>
  <c r="L33" i="5"/>
  <c r="R33" i="5"/>
  <c r="V33" i="5"/>
  <c r="W33" i="5" s="1"/>
  <c r="X33" i="5"/>
  <c r="Y33" i="5" s="1"/>
  <c r="Z33" i="5"/>
  <c r="AB33" i="5" s="1"/>
  <c r="AC33" i="5" s="1"/>
  <c r="AA33" i="5"/>
  <c r="AD33" i="5"/>
  <c r="B34" i="5"/>
  <c r="G34" i="5"/>
  <c r="L34" i="5"/>
  <c r="R34" i="5"/>
  <c r="V34" i="5"/>
  <c r="W34" i="5" s="1"/>
  <c r="X34" i="5"/>
  <c r="Y34" i="5"/>
  <c r="Z34" i="5"/>
  <c r="B35" i="5"/>
  <c r="G35" i="5"/>
  <c r="L35" i="5"/>
  <c r="R35" i="5"/>
  <c r="V35" i="5"/>
  <c r="W35" i="5" s="1"/>
  <c r="X35" i="5"/>
  <c r="Y35" i="5" s="1"/>
  <c r="Z35" i="5"/>
  <c r="AB35" i="5" s="1"/>
  <c r="AD35" i="5" s="1"/>
  <c r="AA35" i="5"/>
  <c r="B36" i="5"/>
  <c r="G36" i="5"/>
  <c r="L36" i="5"/>
  <c r="R36" i="5"/>
  <c r="V36" i="5"/>
  <c r="W36" i="5" s="1"/>
  <c r="X36" i="5"/>
  <c r="Y36" i="5" s="1"/>
  <c r="Z36" i="5"/>
  <c r="AB36" i="5" s="1"/>
  <c r="B37" i="5"/>
  <c r="G37" i="5"/>
  <c r="L37" i="5"/>
  <c r="R37" i="5"/>
  <c r="V37" i="5"/>
  <c r="W37" i="5" s="1"/>
  <c r="X37" i="5"/>
  <c r="Y37" i="5" s="1"/>
  <c r="Z37" i="5"/>
  <c r="B38" i="5"/>
  <c r="G38" i="5"/>
  <c r="L38" i="5"/>
  <c r="R38" i="5"/>
  <c r="V38" i="5"/>
  <c r="W38" i="5" s="1"/>
  <c r="X38" i="5"/>
  <c r="Y38" i="5" s="1"/>
  <c r="Z38" i="5"/>
  <c r="AB38" i="5" s="1"/>
  <c r="B39" i="5"/>
  <c r="G39" i="5"/>
  <c r="L39" i="5"/>
  <c r="R39" i="5"/>
  <c r="V39" i="5"/>
  <c r="W39" i="5" s="1"/>
  <c r="X39" i="5"/>
  <c r="Y39" i="5" s="1"/>
  <c r="Z39" i="5"/>
  <c r="AA39" i="5" s="1"/>
  <c r="B40" i="5"/>
  <c r="G40" i="5"/>
  <c r="L40" i="5"/>
  <c r="R40" i="5"/>
  <c r="V40" i="5"/>
  <c r="W40" i="5"/>
  <c r="X40" i="5"/>
  <c r="Y40" i="5"/>
  <c r="Z40" i="5"/>
  <c r="B41" i="5"/>
  <c r="G41" i="5"/>
  <c r="L41" i="5"/>
  <c r="R41" i="5"/>
  <c r="V41" i="5"/>
  <c r="W41" i="5" s="1"/>
  <c r="X41" i="5"/>
  <c r="Y41" i="5" s="1"/>
  <c r="Z41" i="5"/>
  <c r="B42" i="5"/>
  <c r="G42" i="5"/>
  <c r="L42" i="5"/>
  <c r="R42" i="5"/>
  <c r="V42" i="5"/>
  <c r="W42" i="5" s="1"/>
  <c r="X42" i="5"/>
  <c r="Y42" i="5" s="1"/>
  <c r="Z42" i="5"/>
  <c r="AA42" i="5"/>
  <c r="AB42" i="5"/>
  <c r="AC42" i="5" s="1"/>
  <c r="B43" i="5"/>
  <c r="G43" i="5"/>
  <c r="L43" i="5"/>
  <c r="R43" i="5"/>
  <c r="V43" i="5"/>
  <c r="W43" i="5" s="1"/>
  <c r="X43" i="5"/>
  <c r="Y43" i="5" s="1"/>
  <c r="Z43" i="5"/>
  <c r="AB43" i="5" s="1"/>
  <c r="AD43" i="5" s="1"/>
  <c r="AA43" i="5"/>
  <c r="B44" i="5"/>
  <c r="G44" i="5"/>
  <c r="L44" i="5"/>
  <c r="R44" i="5"/>
  <c r="V44" i="5"/>
  <c r="W44" i="5" s="1"/>
  <c r="X44" i="5"/>
  <c r="Y44" i="5"/>
  <c r="Z44" i="5"/>
  <c r="B45" i="5"/>
  <c r="G45" i="5"/>
  <c r="L45" i="5"/>
  <c r="R45" i="5"/>
  <c r="V45" i="5"/>
  <c r="W45" i="5"/>
  <c r="X45" i="5"/>
  <c r="Y45" i="5"/>
  <c r="Z45" i="5"/>
  <c r="AB45" i="5" s="1"/>
  <c r="B46" i="5"/>
  <c r="G46" i="5"/>
  <c r="L46" i="5"/>
  <c r="R46" i="5"/>
  <c r="V46" i="5"/>
  <c r="W46" i="5"/>
  <c r="X46" i="5"/>
  <c r="Y46" i="5" s="1"/>
  <c r="Z46" i="5"/>
  <c r="AA46" i="5" s="1"/>
  <c r="AB46" i="5"/>
  <c r="AC46" i="5" s="1"/>
  <c r="B47" i="5"/>
  <c r="G47" i="5"/>
  <c r="L47" i="5"/>
  <c r="R47" i="5"/>
  <c r="V47" i="5"/>
  <c r="W47" i="5" s="1"/>
  <c r="X47" i="5"/>
  <c r="Y47" i="5" s="1"/>
  <c r="Z47" i="5"/>
  <c r="AA47" i="5" s="1"/>
  <c r="B48" i="5"/>
  <c r="G48" i="5"/>
  <c r="L48" i="5"/>
  <c r="R48" i="5"/>
  <c r="V48" i="5"/>
  <c r="W48" i="5" s="1"/>
  <c r="X48" i="5"/>
  <c r="Y48" i="5" s="1"/>
  <c r="Z48" i="5"/>
  <c r="AA48" i="5" s="1"/>
  <c r="B49" i="5"/>
  <c r="G49" i="5"/>
  <c r="L49" i="5"/>
  <c r="R49" i="5"/>
  <c r="V49" i="5"/>
  <c r="W49" i="5" s="1"/>
  <c r="X49" i="5"/>
  <c r="Y49" i="5" s="1"/>
  <c r="Z49" i="5"/>
  <c r="B50" i="5"/>
  <c r="G50" i="5"/>
  <c r="L50" i="5"/>
  <c r="R50" i="5"/>
  <c r="V50" i="5"/>
  <c r="W50" i="5" s="1"/>
  <c r="X50" i="5"/>
  <c r="Y50" i="5" s="1"/>
  <c r="Z50" i="5"/>
  <c r="B51" i="5"/>
  <c r="G51" i="5"/>
  <c r="L51" i="5"/>
  <c r="R51" i="5"/>
  <c r="V51" i="5"/>
  <c r="W51" i="5"/>
  <c r="X51" i="5"/>
  <c r="Y51" i="5" s="1"/>
  <c r="Z51" i="5"/>
  <c r="B52" i="5"/>
  <c r="G52" i="5"/>
  <c r="L52" i="5"/>
  <c r="R52" i="5"/>
  <c r="V52" i="5"/>
  <c r="W52" i="5" s="1"/>
  <c r="X52" i="5"/>
  <c r="Y52" i="5" s="1"/>
  <c r="Z52" i="5"/>
  <c r="AB52" i="5" s="1"/>
  <c r="AD52" i="5" s="1"/>
  <c r="B53" i="5"/>
  <c r="G53" i="5"/>
  <c r="L53" i="5"/>
  <c r="R53" i="5"/>
  <c r="V53" i="5"/>
  <c r="W53" i="5" s="1"/>
  <c r="X53" i="5"/>
  <c r="Y53" i="5" s="1"/>
  <c r="Z53" i="5"/>
  <c r="AB53" i="5" s="1"/>
  <c r="AD53" i="5" s="1"/>
  <c r="AA53" i="5"/>
  <c r="B54" i="5"/>
  <c r="G54" i="5"/>
  <c r="L54" i="5"/>
  <c r="R54" i="5"/>
  <c r="V54" i="5"/>
  <c r="W54" i="5" s="1"/>
  <c r="X54" i="5"/>
  <c r="Y54" i="5" s="1"/>
  <c r="Z54" i="5"/>
  <c r="AA54" i="5" s="1"/>
  <c r="B55" i="5"/>
  <c r="G55" i="5"/>
  <c r="L55" i="5"/>
  <c r="R55" i="5"/>
  <c r="V55" i="5"/>
  <c r="W55" i="5" s="1"/>
  <c r="X55" i="5"/>
  <c r="Y55" i="5" s="1"/>
  <c r="Z55" i="5"/>
  <c r="B56" i="5"/>
  <c r="G56" i="5"/>
  <c r="L56" i="5"/>
  <c r="R56" i="5"/>
  <c r="V56" i="5"/>
  <c r="W56" i="5" s="1"/>
  <c r="X56" i="5"/>
  <c r="Y56" i="5" s="1"/>
  <c r="Z56" i="5"/>
  <c r="AA56" i="5" s="1"/>
  <c r="B57" i="5"/>
  <c r="G57" i="5"/>
  <c r="L57" i="5"/>
  <c r="R57" i="5"/>
  <c r="V57" i="5"/>
  <c r="W57" i="5" s="1"/>
  <c r="X57" i="5"/>
  <c r="Y57" i="5" s="1"/>
  <c r="Z57" i="5"/>
  <c r="B58" i="5"/>
  <c r="G58" i="5"/>
  <c r="L58" i="5"/>
  <c r="R58" i="5"/>
  <c r="V58" i="5"/>
  <c r="W58" i="5"/>
  <c r="X58" i="5"/>
  <c r="Y58" i="5" s="1"/>
  <c r="Z58" i="5"/>
  <c r="AB58" i="5" s="1"/>
  <c r="AC58" i="5" s="1"/>
  <c r="AA58" i="5"/>
  <c r="AD58" i="5"/>
  <c r="B59" i="5"/>
  <c r="G59" i="5"/>
  <c r="L59" i="5"/>
  <c r="R59" i="5"/>
  <c r="V59" i="5"/>
  <c r="W59" i="5" s="1"/>
  <c r="X59" i="5"/>
  <c r="Y59" i="5" s="1"/>
  <c r="Z59" i="5"/>
  <c r="AB59" i="5" s="1"/>
  <c r="AC59" i="5" s="1"/>
  <c r="B60" i="5"/>
  <c r="G60" i="5"/>
  <c r="L60" i="5"/>
  <c r="R60" i="5"/>
  <c r="V60" i="5"/>
  <c r="W60" i="5"/>
  <c r="X60" i="5"/>
  <c r="Y60" i="5" s="1"/>
  <c r="Z60" i="5"/>
  <c r="AB60" i="5" s="1"/>
  <c r="B61" i="5"/>
  <c r="G61" i="5"/>
  <c r="L61" i="5"/>
  <c r="R61" i="5"/>
  <c r="V61" i="5"/>
  <c r="W61" i="5"/>
  <c r="X61" i="5"/>
  <c r="Y61" i="5" s="1"/>
  <c r="Z61" i="5"/>
  <c r="AB61" i="5" s="1"/>
  <c r="B62" i="5"/>
  <c r="G62" i="5"/>
  <c r="L62" i="5"/>
  <c r="R62" i="5"/>
  <c r="V62" i="5"/>
  <c r="W62" i="5"/>
  <c r="X62" i="5"/>
  <c r="Y62" i="5" s="1"/>
  <c r="Z62" i="5"/>
  <c r="AA62" i="5" s="1"/>
  <c r="B63" i="5"/>
  <c r="G63" i="5"/>
  <c r="L63" i="5"/>
  <c r="R63" i="5"/>
  <c r="V63" i="5"/>
  <c r="W63" i="5"/>
  <c r="X63" i="5"/>
  <c r="Y63" i="5" s="1"/>
  <c r="Z63" i="5"/>
  <c r="B64" i="5"/>
  <c r="G64" i="5"/>
  <c r="L64" i="5"/>
  <c r="R64" i="5"/>
  <c r="V64" i="5"/>
  <c r="W64" i="5" s="1"/>
  <c r="X64" i="5"/>
  <c r="Y64" i="5" s="1"/>
  <c r="Z64" i="5"/>
  <c r="AA64" i="5" s="1"/>
  <c r="B65" i="5"/>
  <c r="G65" i="5"/>
  <c r="L65" i="5"/>
  <c r="R65" i="5"/>
  <c r="V65" i="5"/>
  <c r="W65" i="5" s="1"/>
  <c r="X65" i="5"/>
  <c r="Y65" i="5" s="1"/>
  <c r="Z65" i="5"/>
  <c r="AA65" i="5"/>
  <c r="AB65" i="5"/>
  <c r="B66" i="5"/>
  <c r="G66" i="5"/>
  <c r="L66" i="5"/>
  <c r="R66" i="5"/>
  <c r="V66" i="5"/>
  <c r="W66" i="5" s="1"/>
  <c r="X66" i="5"/>
  <c r="Y66" i="5" s="1"/>
  <c r="Z66" i="5"/>
  <c r="B67" i="5"/>
  <c r="G67" i="5"/>
  <c r="L67" i="5"/>
  <c r="R67" i="5"/>
  <c r="V67" i="5"/>
  <c r="W67" i="5" s="1"/>
  <c r="X67" i="5"/>
  <c r="Y67" i="5" s="1"/>
  <c r="Z67" i="5"/>
  <c r="B68" i="5"/>
  <c r="G68" i="5"/>
  <c r="L68" i="5"/>
  <c r="R68" i="5"/>
  <c r="V68" i="5"/>
  <c r="W68" i="5"/>
  <c r="X68" i="5"/>
  <c r="Y68" i="5" s="1"/>
  <c r="Z68" i="5"/>
  <c r="B69" i="5"/>
  <c r="G69" i="5"/>
  <c r="L69" i="5"/>
  <c r="R69" i="5"/>
  <c r="V69" i="5"/>
  <c r="W69" i="5" s="1"/>
  <c r="X69" i="5"/>
  <c r="Y69" i="5" s="1"/>
  <c r="Z69" i="5"/>
  <c r="AA69" i="5" s="1"/>
  <c r="AB69" i="5"/>
  <c r="AD69" i="5" s="1"/>
  <c r="B70" i="5"/>
  <c r="G70" i="5"/>
  <c r="L70" i="5"/>
  <c r="R70" i="5"/>
  <c r="V70" i="5"/>
  <c r="W70" i="5" s="1"/>
  <c r="X70" i="5"/>
  <c r="Y70" i="5" s="1"/>
  <c r="Z70" i="5"/>
  <c r="AB70" i="5" s="1"/>
  <c r="AA70" i="5"/>
  <c r="B71" i="5"/>
  <c r="G71" i="5"/>
  <c r="L71" i="5"/>
  <c r="R71" i="5"/>
  <c r="V71" i="5"/>
  <c r="W71" i="5" s="1"/>
  <c r="X71" i="5"/>
  <c r="Y71" i="5" s="1"/>
  <c r="Z71" i="5"/>
  <c r="B72" i="5"/>
  <c r="G72" i="5"/>
  <c r="L72" i="5"/>
  <c r="R72" i="5"/>
  <c r="V72" i="5"/>
  <c r="W72" i="5" s="1"/>
  <c r="X72" i="5"/>
  <c r="Y72" i="5" s="1"/>
  <c r="Z72" i="5"/>
  <c r="B73" i="5"/>
  <c r="G73" i="5"/>
  <c r="L73" i="5"/>
  <c r="R73" i="5"/>
  <c r="V73" i="5"/>
  <c r="W73" i="5" s="1"/>
  <c r="X73" i="5"/>
  <c r="Y73" i="5" s="1"/>
  <c r="Z73" i="5"/>
  <c r="AA73" i="5"/>
  <c r="AB73" i="5"/>
  <c r="AC73" i="5" s="1"/>
  <c r="B74" i="5"/>
  <c r="G74" i="5"/>
  <c r="L74" i="5"/>
  <c r="R74" i="5"/>
  <c r="V74" i="5"/>
  <c r="W74" i="5" s="1"/>
  <c r="X74" i="5"/>
  <c r="Y74" i="5"/>
  <c r="Z74" i="5"/>
  <c r="AA74" i="5" s="1"/>
  <c r="B75" i="5"/>
  <c r="G75" i="5"/>
  <c r="L75" i="5"/>
  <c r="R75" i="5"/>
  <c r="V75" i="5"/>
  <c r="W75" i="5" s="1"/>
  <c r="X75" i="5"/>
  <c r="Y75" i="5" s="1"/>
  <c r="Z75" i="5"/>
  <c r="AA75" i="5"/>
  <c r="AB75" i="5"/>
  <c r="AD75" i="5" s="1"/>
  <c r="B76" i="5"/>
  <c r="G76" i="5"/>
  <c r="L76" i="5"/>
  <c r="R76" i="5"/>
  <c r="V76" i="5"/>
  <c r="W76" i="5" s="1"/>
  <c r="X76" i="5"/>
  <c r="Y76" i="5" s="1"/>
  <c r="Z76" i="5"/>
  <c r="AA76" i="5" s="1"/>
  <c r="B77" i="5"/>
  <c r="G77" i="5"/>
  <c r="L77" i="5"/>
  <c r="R77" i="5"/>
  <c r="V77" i="5"/>
  <c r="W77" i="5"/>
  <c r="X77" i="5"/>
  <c r="Y77" i="5" s="1"/>
  <c r="Z77" i="5"/>
  <c r="AA77" i="5" s="1"/>
  <c r="B78" i="5"/>
  <c r="G78" i="5"/>
  <c r="L78" i="5"/>
  <c r="R78" i="5"/>
  <c r="V78" i="5"/>
  <c r="W78" i="5" s="1"/>
  <c r="X78" i="5"/>
  <c r="Y78" i="5"/>
  <c r="Z78" i="5"/>
  <c r="AA78" i="5" s="1"/>
  <c r="B79" i="5"/>
  <c r="G79" i="5"/>
  <c r="L79" i="5"/>
  <c r="R79" i="5"/>
  <c r="V79" i="5"/>
  <c r="W79" i="5" s="1"/>
  <c r="X79" i="5"/>
  <c r="Y79" i="5" s="1"/>
  <c r="Z79" i="5"/>
  <c r="B80" i="5"/>
  <c r="G80" i="5"/>
  <c r="L80" i="5"/>
  <c r="R80" i="5"/>
  <c r="V80" i="5"/>
  <c r="W80" i="5"/>
  <c r="X80" i="5"/>
  <c r="Y80" i="5"/>
  <c r="Z80" i="5"/>
  <c r="AA80" i="5"/>
  <c r="AB80" i="5"/>
  <c r="AD80" i="5" s="1"/>
  <c r="B81" i="5"/>
  <c r="G81" i="5"/>
  <c r="L81" i="5"/>
  <c r="R81" i="5"/>
  <c r="V81" i="5"/>
  <c r="W81" i="5" s="1"/>
  <c r="X81" i="5"/>
  <c r="Y81" i="5" s="1"/>
  <c r="Z81" i="5"/>
  <c r="AB81" i="5" s="1"/>
  <c r="AC81" i="5" s="1"/>
  <c r="AA81" i="5"/>
  <c r="B82" i="5"/>
  <c r="G82" i="5"/>
  <c r="L82" i="5"/>
  <c r="R82" i="5"/>
  <c r="V82" i="5"/>
  <c r="W82" i="5"/>
  <c r="X82" i="5"/>
  <c r="Y82" i="5" s="1"/>
  <c r="Z82" i="5"/>
  <c r="AA82" i="5" s="1"/>
  <c r="B83" i="5"/>
  <c r="G83" i="5"/>
  <c r="L83" i="5"/>
  <c r="R83" i="5"/>
  <c r="V83" i="5"/>
  <c r="W83" i="5" s="1"/>
  <c r="X83" i="5"/>
  <c r="Y83" i="5" s="1"/>
  <c r="Z83" i="5"/>
  <c r="AA83" i="5" s="1"/>
  <c r="B84" i="5"/>
  <c r="G84" i="5"/>
  <c r="L84" i="5"/>
  <c r="R84" i="5"/>
  <c r="V84" i="5"/>
  <c r="W84" i="5"/>
  <c r="X84" i="5"/>
  <c r="Y84" i="5"/>
  <c r="Z84" i="5"/>
  <c r="AA84" i="5" s="1"/>
  <c r="B85" i="5"/>
  <c r="G85" i="5"/>
  <c r="L85" i="5"/>
  <c r="R85" i="5"/>
  <c r="V85" i="5"/>
  <c r="W85" i="5" s="1"/>
  <c r="X85" i="5"/>
  <c r="Y85" i="5" s="1"/>
  <c r="Z85" i="5"/>
  <c r="AB85" i="5" s="1"/>
  <c r="AC85" i="5" s="1"/>
  <c r="B86" i="5"/>
  <c r="G86" i="5"/>
  <c r="L86" i="5"/>
  <c r="R86" i="5"/>
  <c r="V86" i="5"/>
  <c r="W86" i="5"/>
  <c r="X86" i="5"/>
  <c r="Y86" i="5"/>
  <c r="Z86" i="5"/>
  <c r="AB86" i="5" s="1"/>
  <c r="AA86" i="5"/>
  <c r="B87" i="5"/>
  <c r="G87" i="5"/>
  <c r="L87" i="5"/>
  <c r="R87" i="5"/>
  <c r="V87" i="5"/>
  <c r="W87" i="5" s="1"/>
  <c r="X87" i="5"/>
  <c r="Y87" i="5" s="1"/>
  <c r="Z87" i="5"/>
  <c r="AA87" i="5"/>
  <c r="AB87" i="5"/>
  <c r="AC87" i="5" s="1"/>
  <c r="B88" i="5"/>
  <c r="G88" i="5"/>
  <c r="L88" i="5"/>
  <c r="R88" i="5"/>
  <c r="V88" i="5"/>
  <c r="W88" i="5" s="1"/>
  <c r="X88" i="5"/>
  <c r="Y88" i="5" s="1"/>
  <c r="Z88" i="5"/>
  <c r="B89" i="5"/>
  <c r="G89" i="5"/>
  <c r="L89" i="5"/>
  <c r="R89" i="5"/>
  <c r="V89" i="5"/>
  <c r="W89" i="5"/>
  <c r="X89" i="5"/>
  <c r="Y89" i="5" s="1"/>
  <c r="Z89" i="5"/>
  <c r="AA89" i="5" s="1"/>
  <c r="B90" i="5"/>
  <c r="G90" i="5"/>
  <c r="L90" i="5"/>
  <c r="R90" i="5"/>
  <c r="V90" i="5"/>
  <c r="W90" i="5" s="1"/>
  <c r="X90" i="5"/>
  <c r="Y90" i="5" s="1"/>
  <c r="Z90" i="5"/>
  <c r="AA90" i="5" s="1"/>
  <c r="B91" i="5"/>
  <c r="G91" i="5"/>
  <c r="L91" i="5"/>
  <c r="R91" i="5"/>
  <c r="V91" i="5"/>
  <c r="W91" i="5" s="1"/>
  <c r="X91" i="5"/>
  <c r="Y91" i="5" s="1"/>
  <c r="Z91" i="5"/>
  <c r="AA91" i="5" s="1"/>
  <c r="B92" i="5"/>
  <c r="G92" i="5"/>
  <c r="L92" i="5"/>
  <c r="R92" i="5"/>
  <c r="V92" i="5"/>
  <c r="W92" i="5" s="1"/>
  <c r="X92" i="5"/>
  <c r="Y92" i="5" s="1"/>
  <c r="Z92" i="5"/>
  <c r="AA92" i="5" s="1"/>
  <c r="B93" i="5"/>
  <c r="G93" i="5"/>
  <c r="L93" i="5"/>
  <c r="R93" i="5"/>
  <c r="V93" i="5"/>
  <c r="W93" i="5" s="1"/>
  <c r="X93" i="5"/>
  <c r="Y93" i="5" s="1"/>
  <c r="Z93" i="5"/>
  <c r="AA93" i="5"/>
  <c r="AB93" i="5"/>
  <c r="AC93" i="5" s="1"/>
  <c r="AD93" i="5"/>
  <c r="B94" i="5"/>
  <c r="G94" i="5"/>
  <c r="L94" i="5"/>
  <c r="R94" i="5"/>
  <c r="V94" i="5"/>
  <c r="W94" i="5"/>
  <c r="X94" i="5"/>
  <c r="Y94" i="5" s="1"/>
  <c r="Z94" i="5"/>
  <c r="AB94" i="5" s="1"/>
  <c r="B95" i="5"/>
  <c r="G95" i="5"/>
  <c r="L95" i="5"/>
  <c r="R95" i="5"/>
  <c r="V95" i="5"/>
  <c r="W95" i="5"/>
  <c r="X95" i="5"/>
  <c r="Y95" i="5" s="1"/>
  <c r="Z95" i="5"/>
  <c r="AA95" i="5" s="1"/>
  <c r="B96" i="5"/>
  <c r="G96" i="5"/>
  <c r="L96" i="5"/>
  <c r="R96" i="5"/>
  <c r="V96" i="5"/>
  <c r="W96" i="5" s="1"/>
  <c r="X96" i="5"/>
  <c r="Y96" i="5" s="1"/>
  <c r="Z96" i="5"/>
  <c r="B97" i="5"/>
  <c r="G97" i="5"/>
  <c r="L97" i="5"/>
  <c r="R97" i="5"/>
  <c r="V97" i="5"/>
  <c r="W97" i="5" s="1"/>
  <c r="X97" i="5"/>
  <c r="Y97" i="5" s="1"/>
  <c r="Z97" i="5"/>
  <c r="AB97" i="5" s="1"/>
  <c r="AD97" i="5" s="1"/>
  <c r="AA97" i="5"/>
  <c r="B98" i="5"/>
  <c r="G98" i="5"/>
  <c r="L98" i="5"/>
  <c r="R98" i="5"/>
  <c r="V98" i="5"/>
  <c r="W98" i="5" s="1"/>
  <c r="X98" i="5"/>
  <c r="Y98" i="5" s="1"/>
  <c r="Z98" i="5"/>
  <c r="B99" i="5"/>
  <c r="G99" i="5"/>
  <c r="L99" i="5"/>
  <c r="R99" i="5"/>
  <c r="V99" i="5"/>
  <c r="W99" i="5" s="1"/>
  <c r="X99" i="5"/>
  <c r="Y99" i="5" s="1"/>
  <c r="Z99" i="5"/>
  <c r="AB99" i="5" s="1"/>
  <c r="AA99" i="5"/>
  <c r="B100" i="5"/>
  <c r="G100" i="5"/>
  <c r="L100" i="5"/>
  <c r="R100" i="5"/>
  <c r="V100" i="5"/>
  <c r="W100" i="5" s="1"/>
  <c r="X100" i="5"/>
  <c r="Y100" i="5" s="1"/>
  <c r="Z100" i="5"/>
  <c r="AA100" i="5" s="1"/>
  <c r="B101" i="5"/>
  <c r="G101" i="5"/>
  <c r="L101" i="5"/>
  <c r="R101" i="5"/>
  <c r="V101" i="5"/>
  <c r="W101" i="5" s="1"/>
  <c r="X101" i="5"/>
  <c r="Y101" i="5" s="1"/>
  <c r="Z101" i="5"/>
  <c r="B102" i="5"/>
  <c r="G102" i="5"/>
  <c r="L102" i="5"/>
  <c r="R102" i="5"/>
  <c r="V102" i="5"/>
  <c r="W102" i="5" s="1"/>
  <c r="X102" i="5"/>
  <c r="Y102" i="5" s="1"/>
  <c r="Z102" i="5"/>
  <c r="AA102" i="5"/>
  <c r="AB102" i="5"/>
  <c r="AD102" i="5" s="1"/>
  <c r="AC102" i="5"/>
  <c r="AE102" i="5" s="1"/>
  <c r="AF102" i="5" s="1"/>
  <c r="B103" i="5"/>
  <c r="G103" i="5"/>
  <c r="L103" i="5"/>
  <c r="R103" i="5"/>
  <c r="V103" i="5"/>
  <c r="W103" i="5" s="1"/>
  <c r="X103" i="5"/>
  <c r="Y103" i="5" s="1"/>
  <c r="Z103" i="5"/>
  <c r="AB103" i="5" s="1"/>
  <c r="AD103" i="5" s="1"/>
  <c r="AC103" i="5"/>
  <c r="B104" i="5"/>
  <c r="G104" i="5"/>
  <c r="L104" i="5"/>
  <c r="R104" i="5"/>
  <c r="V104" i="5"/>
  <c r="W104" i="5"/>
  <c r="X104" i="5"/>
  <c r="Y104" i="5" s="1"/>
  <c r="Z104" i="5"/>
  <c r="AB104" i="5" s="1"/>
  <c r="B105" i="5"/>
  <c r="G105" i="5"/>
  <c r="L105" i="5"/>
  <c r="R105" i="5"/>
  <c r="V105" i="5"/>
  <c r="W105" i="5" s="1"/>
  <c r="X105" i="5"/>
  <c r="Y105" i="5" s="1"/>
  <c r="Z105" i="5"/>
  <c r="B106" i="5"/>
  <c r="G106" i="5"/>
  <c r="L106" i="5"/>
  <c r="R106" i="5"/>
  <c r="V106" i="5"/>
  <c r="W106" i="5" s="1"/>
  <c r="X106" i="5"/>
  <c r="Y106" i="5" s="1"/>
  <c r="Z106" i="5"/>
  <c r="B107" i="5"/>
  <c r="G107" i="5"/>
  <c r="L107" i="5"/>
  <c r="R107" i="5"/>
  <c r="V107" i="5"/>
  <c r="W107" i="5" s="1"/>
  <c r="X107" i="5"/>
  <c r="Y107" i="5" s="1"/>
  <c r="Z107" i="5"/>
  <c r="AB107" i="5" s="1"/>
  <c r="AC107" i="5" s="1"/>
  <c r="B108" i="5"/>
  <c r="G108" i="5"/>
  <c r="L108" i="5"/>
  <c r="R108" i="5"/>
  <c r="V108" i="5"/>
  <c r="W108" i="5" s="1"/>
  <c r="X108" i="5"/>
  <c r="Y108" i="5"/>
  <c r="Z108" i="5"/>
  <c r="AB108" i="5" s="1"/>
  <c r="AA108" i="5"/>
  <c r="B109" i="5"/>
  <c r="G109" i="5"/>
  <c r="L109" i="5"/>
  <c r="R109" i="5"/>
  <c r="V109" i="5"/>
  <c r="W109" i="5" s="1"/>
  <c r="X109" i="5"/>
  <c r="Y109" i="5" s="1"/>
  <c r="Z109" i="5"/>
  <c r="B110" i="5"/>
  <c r="G110" i="5"/>
  <c r="L110" i="5"/>
  <c r="R110" i="5"/>
  <c r="V110" i="5"/>
  <c r="W110" i="5" s="1"/>
  <c r="X110" i="5"/>
  <c r="Y110" i="5" s="1"/>
  <c r="Z110" i="5"/>
  <c r="B111" i="5"/>
  <c r="G111" i="5"/>
  <c r="L111" i="5"/>
  <c r="R111" i="5"/>
  <c r="V111" i="5"/>
  <c r="W111" i="5" s="1"/>
  <c r="X111" i="5"/>
  <c r="Y111" i="5"/>
  <c r="Z111" i="5"/>
  <c r="AA111" i="5"/>
  <c r="AB111" i="5"/>
  <c r="B112" i="5"/>
  <c r="G112" i="5"/>
  <c r="L112" i="5"/>
  <c r="R112" i="5"/>
  <c r="V112" i="5"/>
  <c r="W112" i="5" s="1"/>
  <c r="X112" i="5"/>
  <c r="Y112" i="5" s="1"/>
  <c r="Z112" i="5"/>
  <c r="AA112" i="5" s="1"/>
  <c r="AB112" i="5"/>
  <c r="B113" i="5"/>
  <c r="G113" i="5"/>
  <c r="L113" i="5"/>
  <c r="R113" i="5"/>
  <c r="V113" i="5"/>
  <c r="W113" i="5"/>
  <c r="X113" i="5"/>
  <c r="Y113" i="5" s="1"/>
  <c r="Z113" i="5"/>
  <c r="AA113" i="5" s="1"/>
  <c r="B114" i="5"/>
  <c r="G114" i="5"/>
  <c r="L114" i="5"/>
  <c r="R114" i="5"/>
  <c r="V114" i="5"/>
  <c r="W114" i="5" s="1"/>
  <c r="X114" i="5"/>
  <c r="Y114" i="5"/>
  <c r="Z114" i="5"/>
  <c r="AB114" i="5" s="1"/>
  <c r="AA114" i="5"/>
  <c r="B115" i="5"/>
  <c r="G115" i="5"/>
  <c r="L115" i="5"/>
  <c r="R115" i="5"/>
  <c r="V115" i="5"/>
  <c r="W115" i="5" s="1"/>
  <c r="X115" i="5"/>
  <c r="Y115" i="5"/>
  <c r="Z115" i="5"/>
  <c r="AB115" i="5" s="1"/>
  <c r="AD115" i="5" s="1"/>
  <c r="B116" i="5"/>
  <c r="G116" i="5"/>
  <c r="L116" i="5"/>
  <c r="R116" i="5"/>
  <c r="V116" i="5"/>
  <c r="W116" i="5" s="1"/>
  <c r="X116" i="5"/>
  <c r="Y116" i="5" s="1"/>
  <c r="Z116" i="5"/>
  <c r="AA116" i="5"/>
  <c r="AB116" i="5"/>
  <c r="AC116" i="5"/>
  <c r="AD116" i="5"/>
  <c r="B117" i="5"/>
  <c r="G117" i="5"/>
  <c r="L117" i="5"/>
  <c r="R117" i="5"/>
  <c r="V117" i="5"/>
  <c r="W117" i="5" s="1"/>
  <c r="X117" i="5"/>
  <c r="Y117" i="5" s="1"/>
  <c r="Z117" i="5"/>
  <c r="B118" i="5"/>
  <c r="G118" i="5"/>
  <c r="L118" i="5"/>
  <c r="R118" i="5"/>
  <c r="V118" i="5"/>
  <c r="W118" i="5" s="1"/>
  <c r="X118" i="5"/>
  <c r="Y118" i="5"/>
  <c r="Z118" i="5"/>
  <c r="AA118" i="5" s="1"/>
  <c r="B119" i="5"/>
  <c r="G119" i="5"/>
  <c r="L119" i="5"/>
  <c r="R119" i="5"/>
  <c r="V119" i="5"/>
  <c r="W119" i="5"/>
  <c r="X119" i="5"/>
  <c r="Y119" i="5" s="1"/>
  <c r="Z119" i="5"/>
  <c r="AA119" i="5" s="1"/>
  <c r="B120" i="5"/>
  <c r="G120" i="5"/>
  <c r="L120" i="5"/>
  <c r="R120" i="5"/>
  <c r="V120" i="5"/>
  <c r="W120" i="5" s="1"/>
  <c r="X120" i="5"/>
  <c r="Y120" i="5" s="1"/>
  <c r="Z120" i="5"/>
  <c r="AA120" i="5" s="1"/>
  <c r="AB120" i="5"/>
  <c r="AD120" i="5" s="1"/>
  <c r="B121" i="5"/>
  <c r="G121" i="5"/>
  <c r="L121" i="5"/>
  <c r="R121" i="5"/>
  <c r="V121" i="5"/>
  <c r="W121" i="5" s="1"/>
  <c r="X121" i="5"/>
  <c r="Y121" i="5"/>
  <c r="Z121" i="5"/>
  <c r="AA121" i="5" s="1"/>
  <c r="AB121" i="5"/>
  <c r="AD121" i="5" s="1"/>
  <c r="B122" i="5"/>
  <c r="G122" i="5"/>
  <c r="L122" i="5"/>
  <c r="R122" i="5"/>
  <c r="V122" i="5"/>
  <c r="W122" i="5" s="1"/>
  <c r="X122" i="5"/>
  <c r="Y122" i="5" s="1"/>
  <c r="Z122" i="5"/>
  <c r="AB122" i="5" s="1"/>
  <c r="B123" i="5"/>
  <c r="G123" i="5"/>
  <c r="L123" i="5"/>
  <c r="R123" i="5"/>
  <c r="V123" i="5"/>
  <c r="W123" i="5" s="1"/>
  <c r="X123" i="5"/>
  <c r="Y123" i="5" s="1"/>
  <c r="Z123" i="5"/>
  <c r="AB123" i="5" s="1"/>
  <c r="AD123" i="5" s="1"/>
  <c r="B124" i="5"/>
  <c r="G124" i="5"/>
  <c r="L124" i="5"/>
  <c r="R124" i="5"/>
  <c r="V124" i="5"/>
  <c r="W124" i="5" s="1"/>
  <c r="X124" i="5"/>
  <c r="Y124" i="5" s="1"/>
  <c r="Z124" i="5"/>
  <c r="AB124" i="5" s="1"/>
  <c r="B125" i="5"/>
  <c r="G125" i="5"/>
  <c r="L125" i="5"/>
  <c r="R125" i="5"/>
  <c r="V125" i="5"/>
  <c r="W125" i="5" s="1"/>
  <c r="X125" i="5"/>
  <c r="Y125" i="5" s="1"/>
  <c r="Z125" i="5"/>
  <c r="AB125" i="5" s="1"/>
  <c r="AA125" i="5"/>
  <c r="B126" i="5"/>
  <c r="G126" i="5"/>
  <c r="L126" i="5"/>
  <c r="R126" i="5"/>
  <c r="V126" i="5"/>
  <c r="W126" i="5" s="1"/>
  <c r="X126" i="5"/>
  <c r="Y126" i="5" s="1"/>
  <c r="Z126" i="5"/>
  <c r="AA126" i="5" s="1"/>
  <c r="B127" i="5"/>
  <c r="G127" i="5"/>
  <c r="L127" i="5"/>
  <c r="R127" i="5"/>
  <c r="V127" i="5"/>
  <c r="W127" i="5" s="1"/>
  <c r="X127" i="5"/>
  <c r="Y127" i="5" s="1"/>
  <c r="Z127" i="5"/>
  <c r="AA127" i="5" s="1"/>
  <c r="B128" i="5"/>
  <c r="G128" i="5"/>
  <c r="L128" i="5"/>
  <c r="R128" i="5"/>
  <c r="V128" i="5"/>
  <c r="W128" i="5"/>
  <c r="X128" i="5"/>
  <c r="Y128" i="5" s="1"/>
  <c r="Z128" i="5"/>
  <c r="AA128" i="5" s="1"/>
  <c r="B129" i="5"/>
  <c r="G129" i="5"/>
  <c r="L129" i="5"/>
  <c r="R129" i="5"/>
  <c r="V129" i="5"/>
  <c r="W129" i="5" s="1"/>
  <c r="X129" i="5"/>
  <c r="Y129" i="5" s="1"/>
  <c r="Z129" i="5"/>
  <c r="AB129" i="5" s="1"/>
  <c r="AC129" i="5" s="1"/>
  <c r="B130" i="5"/>
  <c r="G130" i="5"/>
  <c r="L130" i="5"/>
  <c r="R130" i="5"/>
  <c r="V130" i="5"/>
  <c r="W130" i="5" s="1"/>
  <c r="X130" i="5"/>
  <c r="Y130" i="5" s="1"/>
  <c r="Z130" i="5"/>
  <c r="AB130" i="5" s="1"/>
  <c r="AA130" i="5"/>
  <c r="B131" i="5"/>
  <c r="G131" i="5"/>
  <c r="L131" i="5"/>
  <c r="R131" i="5"/>
  <c r="V131" i="5"/>
  <c r="W131" i="5" s="1"/>
  <c r="X131" i="5"/>
  <c r="Y131" i="5"/>
  <c r="Z131" i="5"/>
  <c r="AA131" i="5" s="1"/>
  <c r="AB131" i="5"/>
  <c r="AD131" i="5" s="1"/>
  <c r="B132" i="5"/>
  <c r="G132" i="5"/>
  <c r="L132" i="5"/>
  <c r="R132" i="5"/>
  <c r="V132" i="5"/>
  <c r="W132" i="5" s="1"/>
  <c r="X132" i="5"/>
  <c r="Y132" i="5"/>
  <c r="Z132" i="5"/>
  <c r="B133" i="5"/>
  <c r="G133" i="5"/>
  <c r="L133" i="5"/>
  <c r="R133" i="5"/>
  <c r="V133" i="5"/>
  <c r="W133" i="5" s="1"/>
  <c r="X133" i="5"/>
  <c r="Y133" i="5"/>
  <c r="Z133" i="5"/>
  <c r="AA133" i="5" s="1"/>
  <c r="B134" i="5"/>
  <c r="G134" i="5"/>
  <c r="L134" i="5"/>
  <c r="R134" i="5"/>
  <c r="V134" i="5"/>
  <c r="W134" i="5"/>
  <c r="X134" i="5"/>
  <c r="Y134" i="5" s="1"/>
  <c r="Z134" i="5"/>
  <c r="AB134" i="5" s="1"/>
  <c r="B135" i="5"/>
  <c r="G135" i="5"/>
  <c r="L135" i="5"/>
  <c r="R135" i="5"/>
  <c r="V135" i="5"/>
  <c r="W135" i="5"/>
  <c r="X135" i="5"/>
  <c r="Y135" i="5" s="1"/>
  <c r="Z135" i="5"/>
  <c r="AA135" i="5" s="1"/>
  <c r="AB135" i="5"/>
  <c r="AD135" i="5" s="1"/>
  <c r="AC135" i="5"/>
  <c r="B136" i="5"/>
  <c r="G136" i="5"/>
  <c r="L136" i="5"/>
  <c r="R136" i="5"/>
  <c r="V136" i="5"/>
  <c r="W136" i="5" s="1"/>
  <c r="X136" i="5"/>
  <c r="Y136" i="5" s="1"/>
  <c r="Z136" i="5"/>
  <c r="B137" i="5"/>
  <c r="G137" i="5"/>
  <c r="L137" i="5"/>
  <c r="R137" i="5"/>
  <c r="V137" i="5"/>
  <c r="W137" i="5"/>
  <c r="X137" i="5"/>
  <c r="Y137" i="5" s="1"/>
  <c r="Z137" i="5"/>
  <c r="AA137" i="5"/>
  <c r="AB137" i="5"/>
  <c r="AD137" i="5" s="1"/>
  <c r="B138" i="5"/>
  <c r="G138" i="5"/>
  <c r="L138" i="5"/>
  <c r="R138" i="5"/>
  <c r="V138" i="5"/>
  <c r="W138" i="5" s="1"/>
  <c r="X138" i="5"/>
  <c r="Y138" i="5" s="1"/>
  <c r="Z138" i="5"/>
  <c r="AA138" i="5" s="1"/>
  <c r="B139" i="5"/>
  <c r="G139" i="5"/>
  <c r="L139" i="5"/>
  <c r="R139" i="5"/>
  <c r="V139" i="5"/>
  <c r="W139" i="5"/>
  <c r="X139" i="5"/>
  <c r="Y139" i="5"/>
  <c r="Z139" i="5"/>
  <c r="AA139" i="5" s="1"/>
  <c r="AB139" i="5"/>
  <c r="B140" i="5"/>
  <c r="G140" i="5"/>
  <c r="L140" i="5"/>
  <c r="R140" i="5"/>
  <c r="V140" i="5"/>
  <c r="W140" i="5" s="1"/>
  <c r="X140" i="5"/>
  <c r="Y140" i="5" s="1"/>
  <c r="Z140" i="5"/>
  <c r="AA140" i="5" s="1"/>
  <c r="B141" i="5"/>
  <c r="G141" i="5"/>
  <c r="L141" i="5"/>
  <c r="R141" i="5"/>
  <c r="V141" i="5"/>
  <c r="W141" i="5" s="1"/>
  <c r="X141" i="5"/>
  <c r="Y141" i="5" s="1"/>
  <c r="Z141" i="5"/>
  <c r="AA141" i="5" s="1"/>
  <c r="AB141" i="5"/>
  <c r="B142" i="5"/>
  <c r="G142" i="5"/>
  <c r="L142" i="5"/>
  <c r="R142" i="5"/>
  <c r="V142" i="5"/>
  <c r="W142" i="5" s="1"/>
  <c r="X142" i="5"/>
  <c r="Y142" i="5"/>
  <c r="Z142" i="5"/>
  <c r="AB142" i="5" s="1"/>
  <c r="AA142" i="5"/>
  <c r="B143" i="5"/>
  <c r="G143" i="5"/>
  <c r="L143" i="5"/>
  <c r="R143" i="5"/>
  <c r="V143" i="5"/>
  <c r="W143" i="5" s="1"/>
  <c r="X143" i="5"/>
  <c r="Y143" i="5" s="1"/>
  <c r="Z143" i="5"/>
  <c r="AB143" i="5" s="1"/>
  <c r="AC143" i="5" s="1"/>
  <c r="AA143" i="5"/>
  <c r="B144" i="5"/>
  <c r="G144" i="5"/>
  <c r="L144" i="5"/>
  <c r="R144" i="5"/>
  <c r="V144" i="5"/>
  <c r="W144" i="5" s="1"/>
  <c r="X144" i="5"/>
  <c r="Y144" i="5" s="1"/>
  <c r="Z144" i="5"/>
  <c r="AB144" i="5" s="1"/>
  <c r="AC144" i="5" s="1"/>
  <c r="AD144" i="5"/>
  <c r="B145" i="5"/>
  <c r="G145" i="5"/>
  <c r="L145" i="5"/>
  <c r="R145" i="5"/>
  <c r="V145" i="5"/>
  <c r="W145" i="5"/>
  <c r="X145" i="5"/>
  <c r="Y145" i="5"/>
  <c r="Z145" i="5"/>
  <c r="AA145" i="5" s="1"/>
  <c r="B146" i="5"/>
  <c r="G146" i="5"/>
  <c r="L146" i="5"/>
  <c r="R146" i="5"/>
  <c r="V146" i="5"/>
  <c r="W146" i="5" s="1"/>
  <c r="X146" i="5"/>
  <c r="Y146" i="5" s="1"/>
  <c r="Z146" i="5"/>
  <c r="AA146" i="5"/>
  <c r="AB146" i="5"/>
  <c r="B147" i="5"/>
  <c r="G147" i="5"/>
  <c r="L147" i="5"/>
  <c r="R147" i="5"/>
  <c r="V147" i="5"/>
  <c r="W147" i="5" s="1"/>
  <c r="X147" i="5"/>
  <c r="Y147" i="5" s="1"/>
  <c r="Z147" i="5"/>
  <c r="AB147" i="5" s="1"/>
  <c r="AD147" i="5" s="1"/>
  <c r="AC147" i="5"/>
  <c r="B148" i="5"/>
  <c r="G148" i="5"/>
  <c r="L148" i="5"/>
  <c r="R148" i="5"/>
  <c r="V148" i="5"/>
  <c r="W148" i="5" s="1"/>
  <c r="X148" i="5"/>
  <c r="Y148" i="5" s="1"/>
  <c r="Z148" i="5"/>
  <c r="AA148" i="5" s="1"/>
  <c r="AB148" i="5"/>
  <c r="B149" i="5"/>
  <c r="G149" i="5"/>
  <c r="L149" i="5"/>
  <c r="R149" i="5"/>
  <c r="V149" i="5"/>
  <c r="W149" i="5" s="1"/>
  <c r="X149" i="5"/>
  <c r="Y149" i="5" s="1"/>
  <c r="Z149" i="5"/>
  <c r="AB149" i="5" s="1"/>
  <c r="AC149" i="5" s="1"/>
  <c r="AD149" i="5"/>
  <c r="B150" i="5"/>
  <c r="G150" i="5"/>
  <c r="L150" i="5"/>
  <c r="R150" i="5"/>
  <c r="V150" i="5"/>
  <c r="W150" i="5" s="1"/>
  <c r="X150" i="5"/>
  <c r="Y150" i="5" s="1"/>
  <c r="Z150" i="5"/>
  <c r="AA150" i="5" s="1"/>
  <c r="B151" i="5"/>
  <c r="G151" i="5"/>
  <c r="L151" i="5"/>
  <c r="R151" i="5"/>
  <c r="V151" i="5"/>
  <c r="W151" i="5" s="1"/>
  <c r="X151" i="5"/>
  <c r="Y151" i="5" s="1"/>
  <c r="Z151" i="5"/>
  <c r="AB151" i="5" s="1"/>
  <c r="AC151" i="5" s="1"/>
  <c r="B152" i="5"/>
  <c r="G152" i="5"/>
  <c r="L152" i="5"/>
  <c r="R152" i="5"/>
  <c r="V152" i="5"/>
  <c r="W152" i="5" s="1"/>
  <c r="X152" i="5"/>
  <c r="Y152" i="5" s="1"/>
  <c r="Z152" i="5"/>
  <c r="AB152" i="5" s="1"/>
  <c r="AA152" i="5"/>
  <c r="B153" i="5"/>
  <c r="G153" i="5"/>
  <c r="L153" i="5"/>
  <c r="R153" i="5"/>
  <c r="V153" i="5"/>
  <c r="W153" i="5" s="1"/>
  <c r="X153" i="5"/>
  <c r="Y153" i="5" s="1"/>
  <c r="Z153" i="5"/>
  <c r="B154" i="5"/>
  <c r="G154" i="5"/>
  <c r="L154" i="5"/>
  <c r="R154" i="5"/>
  <c r="V154" i="5"/>
  <c r="W154" i="5" s="1"/>
  <c r="X154" i="5"/>
  <c r="Y154" i="5"/>
  <c r="Z154" i="5"/>
  <c r="B155" i="5"/>
  <c r="G155" i="5"/>
  <c r="L155" i="5"/>
  <c r="R155" i="5"/>
  <c r="V155" i="5"/>
  <c r="W155" i="5" s="1"/>
  <c r="X155" i="5"/>
  <c r="Y155" i="5"/>
  <c r="Z155" i="5"/>
  <c r="B156" i="5"/>
  <c r="G156" i="5"/>
  <c r="L156" i="5"/>
  <c r="R156" i="5"/>
  <c r="V156" i="5"/>
  <c r="W156" i="5" s="1"/>
  <c r="X156" i="5"/>
  <c r="Y156" i="5" s="1"/>
  <c r="Z156" i="5"/>
  <c r="B157" i="5"/>
  <c r="G157" i="5"/>
  <c r="L157" i="5"/>
  <c r="R157" i="5"/>
  <c r="V157" i="5"/>
  <c r="W157" i="5" s="1"/>
  <c r="X157" i="5"/>
  <c r="Y157" i="5" s="1"/>
  <c r="Z157" i="5"/>
  <c r="AA157" i="5" s="1"/>
  <c r="B158" i="5"/>
  <c r="G158" i="5"/>
  <c r="L158" i="5"/>
  <c r="R158" i="5"/>
  <c r="V158" i="5"/>
  <c r="W158" i="5"/>
  <c r="X158" i="5"/>
  <c r="Y158" i="5" s="1"/>
  <c r="Z158" i="5"/>
  <c r="AA158" i="5" s="1"/>
  <c r="B159" i="5"/>
  <c r="G159" i="5"/>
  <c r="L159" i="5"/>
  <c r="R159" i="5"/>
  <c r="V159" i="5"/>
  <c r="W159" i="5" s="1"/>
  <c r="X159" i="5"/>
  <c r="Y159" i="5"/>
  <c r="Z159" i="5"/>
  <c r="AB159" i="5" s="1"/>
  <c r="AA159" i="5"/>
  <c r="B160" i="5"/>
  <c r="G160" i="5"/>
  <c r="L160" i="5"/>
  <c r="R160" i="5"/>
  <c r="V160" i="5"/>
  <c r="W160" i="5" s="1"/>
  <c r="X160" i="5"/>
  <c r="Y160" i="5" s="1"/>
  <c r="Z160" i="5"/>
  <c r="AB160" i="5" s="1"/>
  <c r="AA160" i="5"/>
  <c r="B161" i="5"/>
  <c r="G161" i="5"/>
  <c r="L161" i="5"/>
  <c r="R161" i="5"/>
  <c r="V161" i="5"/>
  <c r="W161" i="5" s="1"/>
  <c r="X161" i="5"/>
  <c r="Y161" i="5" s="1"/>
  <c r="Z161" i="5"/>
  <c r="B162" i="5"/>
  <c r="G162" i="5"/>
  <c r="L162" i="5"/>
  <c r="R162" i="5"/>
  <c r="V162" i="5"/>
  <c r="W162" i="5" s="1"/>
  <c r="X162" i="5"/>
  <c r="Y162" i="5" s="1"/>
  <c r="Z162" i="5"/>
  <c r="AA162" i="5" s="1"/>
  <c r="AB162" i="5"/>
  <c r="B163" i="5"/>
  <c r="G163" i="5"/>
  <c r="L163" i="5"/>
  <c r="R163" i="5"/>
  <c r="V163" i="5"/>
  <c r="W163" i="5" s="1"/>
  <c r="X163" i="5"/>
  <c r="Y163" i="5" s="1"/>
  <c r="Z163" i="5"/>
  <c r="AB163" i="5" s="1"/>
  <c r="B164" i="5"/>
  <c r="G164" i="5"/>
  <c r="L164" i="5"/>
  <c r="R164" i="5"/>
  <c r="V164" i="5"/>
  <c r="W164" i="5" s="1"/>
  <c r="X164" i="5"/>
  <c r="Y164" i="5" s="1"/>
  <c r="Z164" i="5"/>
  <c r="AA164" i="5" s="1"/>
  <c r="B165" i="5"/>
  <c r="G165" i="5"/>
  <c r="L165" i="5"/>
  <c r="R165" i="5"/>
  <c r="V165" i="5"/>
  <c r="W165" i="5" s="1"/>
  <c r="X165" i="5"/>
  <c r="Y165" i="5" s="1"/>
  <c r="Z165" i="5"/>
  <c r="AA165" i="5" s="1"/>
  <c r="AB165" i="5"/>
  <c r="AD165" i="5" s="1"/>
  <c r="AC165" i="5"/>
  <c r="B166" i="5"/>
  <c r="G166" i="5"/>
  <c r="L166" i="5"/>
  <c r="R166" i="5"/>
  <c r="V166" i="5"/>
  <c r="W166" i="5" s="1"/>
  <c r="X166" i="5"/>
  <c r="Y166" i="5" s="1"/>
  <c r="Z166" i="5"/>
  <c r="B167" i="5"/>
  <c r="G167" i="5"/>
  <c r="L167" i="5"/>
  <c r="R167" i="5"/>
  <c r="V167" i="5"/>
  <c r="W167" i="5" s="1"/>
  <c r="X167" i="5"/>
  <c r="Y167" i="5" s="1"/>
  <c r="Z167" i="5"/>
  <c r="AA167" i="5" s="1"/>
  <c r="B168" i="5"/>
  <c r="G168" i="5"/>
  <c r="L168" i="5"/>
  <c r="R168" i="5"/>
  <c r="V168" i="5"/>
  <c r="W168" i="5" s="1"/>
  <c r="X168" i="5"/>
  <c r="Y168" i="5" s="1"/>
  <c r="Z168" i="5"/>
  <c r="AB168" i="5" s="1"/>
  <c r="B169" i="5"/>
  <c r="G169" i="5"/>
  <c r="L169" i="5"/>
  <c r="R169" i="5"/>
  <c r="V169" i="5"/>
  <c r="W169" i="5" s="1"/>
  <c r="X169" i="5"/>
  <c r="Y169" i="5"/>
  <c r="Z169" i="5"/>
  <c r="AB169" i="5" s="1"/>
  <c r="AA169" i="5"/>
  <c r="B170" i="5"/>
  <c r="G170" i="5"/>
  <c r="L170" i="5"/>
  <c r="R170" i="5"/>
  <c r="V170" i="5"/>
  <c r="W170" i="5" s="1"/>
  <c r="X170" i="5"/>
  <c r="Y170" i="5"/>
  <c r="Z170" i="5"/>
  <c r="AB170" i="5" s="1"/>
  <c r="AA170" i="5"/>
  <c r="B171" i="5"/>
  <c r="G171" i="5"/>
  <c r="L171" i="5"/>
  <c r="R171" i="5"/>
  <c r="V171" i="5"/>
  <c r="W171" i="5"/>
  <c r="X171" i="5"/>
  <c r="Y171" i="5"/>
  <c r="Z171" i="5"/>
  <c r="AA171" i="5" s="1"/>
  <c r="B172" i="5"/>
  <c r="G172" i="5"/>
  <c r="L172" i="5"/>
  <c r="R172" i="5"/>
  <c r="V172" i="5"/>
  <c r="W172" i="5" s="1"/>
  <c r="X172" i="5"/>
  <c r="Y172" i="5"/>
  <c r="Z172" i="5"/>
  <c r="AA172" i="5" s="1"/>
  <c r="AB172" i="5"/>
  <c r="AD172" i="5" s="1"/>
  <c r="B173" i="5"/>
  <c r="G173" i="5"/>
  <c r="L173" i="5"/>
  <c r="R173" i="5"/>
  <c r="V173" i="5"/>
  <c r="W173" i="5" s="1"/>
  <c r="X173" i="5"/>
  <c r="Y173" i="5" s="1"/>
  <c r="Z173" i="5"/>
  <c r="AB173" i="5" s="1"/>
  <c r="AC173" i="5" s="1"/>
  <c r="AA173" i="5"/>
  <c r="B174" i="5"/>
  <c r="G174" i="5"/>
  <c r="L174" i="5"/>
  <c r="R174" i="5"/>
  <c r="V174" i="5"/>
  <c r="W174" i="5"/>
  <c r="X174" i="5"/>
  <c r="Y174" i="5"/>
  <c r="Z174" i="5"/>
  <c r="B175" i="5"/>
  <c r="G175" i="5"/>
  <c r="L175" i="5"/>
  <c r="R175" i="5"/>
  <c r="V175" i="5"/>
  <c r="W175" i="5" s="1"/>
  <c r="X175" i="5"/>
  <c r="Y175" i="5" s="1"/>
  <c r="Z175" i="5"/>
  <c r="AA175" i="5"/>
  <c r="AB175" i="5"/>
  <c r="AD175" i="5" s="1"/>
  <c r="B176" i="5"/>
  <c r="G176" i="5"/>
  <c r="L176" i="5"/>
  <c r="R176" i="5"/>
  <c r="V176" i="5"/>
  <c r="W176" i="5" s="1"/>
  <c r="X176" i="5"/>
  <c r="Y176" i="5"/>
  <c r="Z176" i="5"/>
  <c r="B177" i="5"/>
  <c r="G177" i="5"/>
  <c r="L177" i="5"/>
  <c r="R177" i="5"/>
  <c r="V177" i="5"/>
  <c r="W177" i="5"/>
  <c r="X177" i="5"/>
  <c r="Y177" i="5" s="1"/>
  <c r="Z177" i="5"/>
  <c r="B178" i="5"/>
  <c r="G178" i="5"/>
  <c r="L178" i="5"/>
  <c r="R178" i="5"/>
  <c r="V178" i="5"/>
  <c r="W178" i="5" s="1"/>
  <c r="X178" i="5"/>
  <c r="Y178" i="5" s="1"/>
  <c r="Z178" i="5"/>
  <c r="B179" i="5"/>
  <c r="G179" i="5"/>
  <c r="L179" i="5"/>
  <c r="R179" i="5"/>
  <c r="V179" i="5"/>
  <c r="W179" i="5"/>
  <c r="X179" i="5"/>
  <c r="Y179" i="5"/>
  <c r="Z179" i="5"/>
  <c r="AA179" i="5" s="1"/>
  <c r="AB179" i="5"/>
  <c r="AD179" i="5" s="1"/>
  <c r="B180" i="5"/>
  <c r="G180" i="5"/>
  <c r="L180" i="5"/>
  <c r="R180" i="5"/>
  <c r="V180" i="5"/>
  <c r="W180" i="5" s="1"/>
  <c r="X180" i="5"/>
  <c r="Y180" i="5"/>
  <c r="Z180" i="5"/>
  <c r="AB180" i="5" s="1"/>
  <c r="B181" i="5"/>
  <c r="G181" i="5"/>
  <c r="L181" i="5"/>
  <c r="R181" i="5"/>
  <c r="V181" i="5"/>
  <c r="W181" i="5"/>
  <c r="X181" i="5"/>
  <c r="Y181" i="5" s="1"/>
  <c r="Z181" i="5"/>
  <c r="AA181" i="5" s="1"/>
  <c r="B182" i="5"/>
  <c r="G182" i="5"/>
  <c r="L182" i="5"/>
  <c r="R182" i="5"/>
  <c r="V182" i="5"/>
  <c r="W182" i="5"/>
  <c r="X182" i="5"/>
  <c r="Y182" i="5" s="1"/>
  <c r="Z182" i="5"/>
  <c r="B183" i="5"/>
  <c r="G183" i="5"/>
  <c r="L183" i="5"/>
  <c r="R183" i="5"/>
  <c r="V183" i="5"/>
  <c r="W183" i="5" s="1"/>
  <c r="X183" i="5"/>
  <c r="Y183" i="5" s="1"/>
  <c r="Z183" i="5"/>
  <c r="AA183" i="5" s="1"/>
  <c r="AB183" i="5"/>
  <c r="AD183" i="5" s="1"/>
  <c r="B184" i="5"/>
  <c r="G184" i="5"/>
  <c r="L184" i="5"/>
  <c r="R184" i="5"/>
  <c r="V184" i="5"/>
  <c r="W184" i="5" s="1"/>
  <c r="X184" i="5"/>
  <c r="Y184" i="5" s="1"/>
  <c r="Z184" i="5"/>
  <c r="AA184" i="5" s="1"/>
  <c r="AB184" i="5"/>
  <c r="B185" i="5"/>
  <c r="G185" i="5"/>
  <c r="L185" i="5"/>
  <c r="R185" i="5"/>
  <c r="V185" i="5"/>
  <c r="W185" i="5" s="1"/>
  <c r="X185" i="5"/>
  <c r="Y185" i="5"/>
  <c r="Z185" i="5"/>
  <c r="AB185" i="5" s="1"/>
  <c r="AD185" i="5" s="1"/>
  <c r="AA185" i="5"/>
  <c r="B186" i="5"/>
  <c r="G186" i="5"/>
  <c r="L186" i="5"/>
  <c r="R186" i="5"/>
  <c r="V186" i="5"/>
  <c r="W186" i="5" s="1"/>
  <c r="X186" i="5"/>
  <c r="Y186" i="5" s="1"/>
  <c r="Z186" i="5"/>
  <c r="B187" i="5"/>
  <c r="G187" i="5"/>
  <c r="L187" i="5"/>
  <c r="R187" i="5"/>
  <c r="V187" i="5"/>
  <c r="W187" i="5" s="1"/>
  <c r="X187" i="5"/>
  <c r="Y187" i="5" s="1"/>
  <c r="Z187" i="5"/>
  <c r="AB187" i="5" s="1"/>
  <c r="B188" i="5"/>
  <c r="G188" i="5"/>
  <c r="L188" i="5"/>
  <c r="R188" i="5"/>
  <c r="V188" i="5"/>
  <c r="W188" i="5" s="1"/>
  <c r="X188" i="5"/>
  <c r="Y188" i="5" s="1"/>
  <c r="Z188" i="5"/>
  <c r="B189" i="5"/>
  <c r="G189" i="5"/>
  <c r="L189" i="5"/>
  <c r="R189" i="5"/>
  <c r="V189" i="5"/>
  <c r="W189" i="5" s="1"/>
  <c r="X189" i="5"/>
  <c r="Y189" i="5" s="1"/>
  <c r="Z189" i="5"/>
  <c r="AA189" i="5" s="1"/>
  <c r="B190" i="5"/>
  <c r="G190" i="5"/>
  <c r="L190" i="5"/>
  <c r="R190" i="5"/>
  <c r="V190" i="5"/>
  <c r="W190" i="5"/>
  <c r="X190" i="5"/>
  <c r="Y190" i="5" s="1"/>
  <c r="Z190" i="5"/>
  <c r="AA190" i="5" s="1"/>
  <c r="B191" i="5"/>
  <c r="G191" i="5"/>
  <c r="L191" i="5"/>
  <c r="R191" i="5"/>
  <c r="V191" i="5"/>
  <c r="W191" i="5" s="1"/>
  <c r="X191" i="5"/>
  <c r="Y191" i="5" s="1"/>
  <c r="Z191" i="5"/>
  <c r="AB191" i="5" s="1"/>
  <c r="B192" i="5"/>
  <c r="G192" i="5"/>
  <c r="L192" i="5"/>
  <c r="R192" i="5"/>
  <c r="V192" i="5"/>
  <c r="W192" i="5" s="1"/>
  <c r="X192" i="5"/>
  <c r="Y192" i="5"/>
  <c r="Z192" i="5"/>
  <c r="AB192" i="5" s="1"/>
  <c r="B193" i="5"/>
  <c r="G193" i="5"/>
  <c r="L193" i="5"/>
  <c r="R193" i="5"/>
  <c r="V193" i="5"/>
  <c r="W193" i="5"/>
  <c r="X193" i="5"/>
  <c r="Y193" i="5" s="1"/>
  <c r="Z193" i="5"/>
  <c r="AA193" i="5" s="1"/>
  <c r="B194" i="5"/>
  <c r="G194" i="5"/>
  <c r="L194" i="5"/>
  <c r="R194" i="5"/>
  <c r="V194" i="5"/>
  <c r="W194" i="5" s="1"/>
  <c r="X194" i="5"/>
  <c r="Y194" i="5" s="1"/>
  <c r="Z194" i="5"/>
  <c r="B195" i="5"/>
  <c r="G195" i="5"/>
  <c r="L195" i="5"/>
  <c r="R195" i="5"/>
  <c r="V195" i="5"/>
  <c r="W195" i="5" s="1"/>
  <c r="X195" i="5"/>
  <c r="Y195" i="5"/>
  <c r="Z195" i="5"/>
  <c r="B196" i="5"/>
  <c r="G196" i="5"/>
  <c r="L196" i="5"/>
  <c r="R196" i="5"/>
  <c r="V196" i="5"/>
  <c r="W196" i="5" s="1"/>
  <c r="X196" i="5"/>
  <c r="Y196" i="5"/>
  <c r="Z196" i="5"/>
  <c r="AA196" i="5" s="1"/>
  <c r="AB196" i="5"/>
  <c r="AD196" i="5" s="1"/>
  <c r="B197" i="5"/>
  <c r="G197" i="5"/>
  <c r="L197" i="5"/>
  <c r="R197" i="5"/>
  <c r="V197" i="5"/>
  <c r="W197" i="5" s="1"/>
  <c r="X197" i="5"/>
  <c r="Y197" i="5" s="1"/>
  <c r="Z197" i="5"/>
  <c r="B198" i="5"/>
  <c r="G198" i="5"/>
  <c r="L198" i="5"/>
  <c r="R198" i="5"/>
  <c r="V198" i="5"/>
  <c r="W198" i="5" s="1"/>
  <c r="X198" i="5"/>
  <c r="Y198" i="5"/>
  <c r="Z198" i="5"/>
  <c r="B199" i="5"/>
  <c r="G199" i="5"/>
  <c r="L199" i="5"/>
  <c r="R199" i="5"/>
  <c r="V199" i="5"/>
  <c r="W199" i="5" s="1"/>
  <c r="X199" i="5"/>
  <c r="Y199" i="5" s="1"/>
  <c r="Z199" i="5"/>
  <c r="AB199" i="5" s="1"/>
  <c r="AD199" i="5" s="1"/>
  <c r="B200" i="5"/>
  <c r="G200" i="5"/>
  <c r="L200" i="5"/>
  <c r="R200" i="5"/>
  <c r="V200" i="5"/>
  <c r="W200" i="5" s="1"/>
  <c r="X200" i="5"/>
  <c r="Y200" i="5" s="1"/>
  <c r="Z200" i="5"/>
  <c r="AA200" i="5" s="1"/>
  <c r="B201" i="5"/>
  <c r="G201" i="5"/>
  <c r="L201" i="5"/>
  <c r="R201" i="5"/>
  <c r="V201" i="5"/>
  <c r="W201" i="5"/>
  <c r="X201" i="5"/>
  <c r="Y201" i="5" s="1"/>
  <c r="Z201" i="5"/>
  <c r="AA201" i="5" s="1"/>
  <c r="B202" i="5"/>
  <c r="G202" i="5"/>
  <c r="L202" i="5"/>
  <c r="R202" i="5"/>
  <c r="V202" i="5"/>
  <c r="W202" i="5"/>
  <c r="X202" i="5"/>
  <c r="Y202" i="5" s="1"/>
  <c r="Z202" i="5"/>
  <c r="AA202" i="5" s="1"/>
  <c r="B203" i="5"/>
  <c r="G203" i="5"/>
  <c r="L203" i="5"/>
  <c r="R203" i="5"/>
  <c r="V203" i="5"/>
  <c r="W203" i="5" s="1"/>
  <c r="X203" i="5"/>
  <c r="Y203" i="5" s="1"/>
  <c r="Z203" i="5"/>
  <c r="AB203" i="5" s="1"/>
  <c r="AC203" i="5" s="1"/>
  <c r="AA203" i="5"/>
  <c r="AD203" i="5"/>
  <c r="B204" i="5"/>
  <c r="G204" i="5"/>
  <c r="L204" i="5"/>
  <c r="R204" i="5"/>
  <c r="V204" i="5"/>
  <c r="W204" i="5" s="1"/>
  <c r="X204" i="5"/>
  <c r="Y204" i="5" s="1"/>
  <c r="Z204" i="5"/>
  <c r="AB204" i="5" s="1"/>
  <c r="AD204" i="5" s="1"/>
  <c r="B205" i="5"/>
  <c r="G205" i="5"/>
  <c r="L205" i="5"/>
  <c r="R205" i="5"/>
  <c r="V205" i="5"/>
  <c r="W205" i="5" s="1"/>
  <c r="X205" i="5"/>
  <c r="Y205" i="5" s="1"/>
  <c r="Z205" i="5"/>
  <c r="AB205" i="5" s="1"/>
  <c r="AA205" i="5"/>
  <c r="AC205" i="5"/>
  <c r="AD205" i="5"/>
  <c r="B206" i="5"/>
  <c r="G206" i="5"/>
  <c r="L206" i="5"/>
  <c r="R206" i="5"/>
  <c r="V206" i="5"/>
  <c r="W206" i="5" s="1"/>
  <c r="X206" i="5"/>
  <c r="Y206" i="5" s="1"/>
  <c r="Z206" i="5"/>
  <c r="AA206" i="5" s="1"/>
  <c r="AB206" i="5"/>
  <c r="B207" i="5"/>
  <c r="G207" i="5"/>
  <c r="L207" i="5"/>
  <c r="R207" i="5"/>
  <c r="V207" i="5"/>
  <c r="W207" i="5" s="1"/>
  <c r="X207" i="5"/>
  <c r="Y207" i="5" s="1"/>
  <c r="Z207" i="5"/>
  <c r="AB207" i="5" s="1"/>
  <c r="AD207" i="5" s="1"/>
  <c r="AA207" i="5"/>
  <c r="AC207" i="5"/>
  <c r="AE207" i="5" s="1"/>
  <c r="AF207" i="5" s="1"/>
  <c r="B208" i="5"/>
  <c r="G208" i="5"/>
  <c r="L208" i="5"/>
  <c r="R208" i="5"/>
  <c r="V208" i="5"/>
  <c r="W208" i="5" s="1"/>
  <c r="X208" i="5"/>
  <c r="Y208" i="5" s="1"/>
  <c r="Z208" i="5"/>
  <c r="AA208" i="5" s="1"/>
  <c r="B209" i="5"/>
  <c r="G209" i="5"/>
  <c r="L209" i="5"/>
  <c r="R209" i="5"/>
  <c r="V209" i="5"/>
  <c r="W209" i="5" s="1"/>
  <c r="X209" i="5"/>
  <c r="Y209" i="5" s="1"/>
  <c r="Z209" i="5"/>
  <c r="AA209" i="5"/>
  <c r="AB209" i="5"/>
  <c r="B210" i="5"/>
  <c r="G210" i="5"/>
  <c r="L210" i="5"/>
  <c r="R210" i="5"/>
  <c r="V210" i="5"/>
  <c r="W210" i="5" s="1"/>
  <c r="X210" i="5"/>
  <c r="Y210" i="5" s="1"/>
  <c r="Z210" i="5"/>
  <c r="AA210" i="5" s="1"/>
  <c r="B211" i="5"/>
  <c r="G211" i="5"/>
  <c r="L211" i="5"/>
  <c r="R211" i="5"/>
  <c r="V211" i="5"/>
  <c r="W211" i="5" s="1"/>
  <c r="X211" i="5"/>
  <c r="Y211" i="5" s="1"/>
  <c r="Z211" i="5"/>
  <c r="AB211" i="5" s="1"/>
  <c r="B212" i="5"/>
  <c r="G212" i="5"/>
  <c r="L212" i="5"/>
  <c r="R212" i="5"/>
  <c r="V212" i="5"/>
  <c r="W212" i="5" s="1"/>
  <c r="X212" i="5"/>
  <c r="Y212" i="5"/>
  <c r="Z212" i="5"/>
  <c r="AB212" i="5" s="1"/>
  <c r="AA212" i="5"/>
  <c r="B213" i="5"/>
  <c r="G213" i="5"/>
  <c r="L213" i="5"/>
  <c r="R213" i="5"/>
  <c r="V213" i="5"/>
  <c r="W213" i="5" s="1"/>
  <c r="X213" i="5"/>
  <c r="Y213" i="5" s="1"/>
  <c r="Z213" i="5"/>
  <c r="B214" i="5"/>
  <c r="G214" i="5"/>
  <c r="L214" i="5"/>
  <c r="R214" i="5"/>
  <c r="V214" i="5"/>
  <c r="W214" i="5" s="1"/>
  <c r="X214" i="5"/>
  <c r="Y214" i="5" s="1"/>
  <c r="Z214" i="5"/>
  <c r="AB214" i="5" s="1"/>
  <c r="AA214" i="5"/>
  <c r="B215" i="5"/>
  <c r="G215" i="5"/>
  <c r="L215" i="5"/>
  <c r="R215" i="5"/>
  <c r="V215" i="5"/>
  <c r="W215" i="5"/>
  <c r="X215" i="5"/>
  <c r="Y215" i="5" s="1"/>
  <c r="Z215" i="5"/>
  <c r="AA215" i="5" s="1"/>
  <c r="B216" i="5"/>
  <c r="G216" i="5"/>
  <c r="L216" i="5"/>
  <c r="R216" i="5"/>
  <c r="V216" i="5"/>
  <c r="W216" i="5" s="1"/>
  <c r="X216" i="5"/>
  <c r="Y216" i="5"/>
  <c r="Z216" i="5"/>
  <c r="B217" i="5"/>
  <c r="G217" i="5"/>
  <c r="L217" i="5"/>
  <c r="R217" i="5"/>
  <c r="V217" i="5"/>
  <c r="W217" i="5"/>
  <c r="X217" i="5"/>
  <c r="Y217" i="5" s="1"/>
  <c r="Z217" i="5"/>
  <c r="AB217" i="5" s="1"/>
  <c r="AC217" i="5" s="1"/>
  <c r="B218" i="5"/>
  <c r="G218" i="5"/>
  <c r="L218" i="5"/>
  <c r="R218" i="5"/>
  <c r="V218" i="5"/>
  <c r="W218" i="5" s="1"/>
  <c r="X218" i="5"/>
  <c r="Y218" i="5"/>
  <c r="Z218" i="5"/>
  <c r="AA218" i="5" s="1"/>
  <c r="B219" i="5"/>
  <c r="G219" i="5"/>
  <c r="L219" i="5"/>
  <c r="R219" i="5"/>
  <c r="V219" i="5"/>
  <c r="W219" i="5" s="1"/>
  <c r="X219" i="5"/>
  <c r="Y219" i="5"/>
  <c r="Z219" i="5"/>
  <c r="AB219" i="5" s="1"/>
  <c r="B220" i="5"/>
  <c r="G220" i="5"/>
  <c r="L220" i="5"/>
  <c r="R220" i="5"/>
  <c r="V220" i="5"/>
  <c r="W220" i="5"/>
  <c r="X220" i="5"/>
  <c r="Y220" i="5"/>
  <c r="Z220" i="5"/>
  <c r="B221" i="5"/>
  <c r="G221" i="5"/>
  <c r="L221" i="5"/>
  <c r="R221" i="5"/>
  <c r="V221" i="5"/>
  <c r="W221" i="5"/>
  <c r="X221" i="5"/>
  <c r="Y221" i="5" s="1"/>
  <c r="Z221" i="5"/>
  <c r="B222" i="5"/>
  <c r="G222" i="5"/>
  <c r="L222" i="5"/>
  <c r="R222" i="5"/>
  <c r="V222" i="5"/>
  <c r="W222" i="5" s="1"/>
  <c r="X222" i="5"/>
  <c r="Y222" i="5" s="1"/>
  <c r="Z222" i="5"/>
  <c r="AB222" i="5" s="1"/>
  <c r="AA222" i="5"/>
  <c r="B223" i="5"/>
  <c r="G223" i="5"/>
  <c r="L223" i="5"/>
  <c r="R223" i="5"/>
  <c r="V223" i="5"/>
  <c r="W223" i="5" s="1"/>
  <c r="X223" i="5"/>
  <c r="Y223" i="5" s="1"/>
  <c r="Z223" i="5"/>
  <c r="AA223" i="5" s="1"/>
  <c r="B224" i="5"/>
  <c r="G224" i="5"/>
  <c r="L224" i="5"/>
  <c r="R224" i="5"/>
  <c r="V224" i="5"/>
  <c r="W224" i="5" s="1"/>
  <c r="X224" i="5"/>
  <c r="Y224" i="5"/>
  <c r="Z224" i="5"/>
  <c r="AA224" i="5" s="1"/>
  <c r="AB224" i="5"/>
  <c r="AC224" i="5" s="1"/>
  <c r="AD224" i="5"/>
  <c r="B225" i="5"/>
  <c r="G225" i="5"/>
  <c r="L225" i="5"/>
  <c r="R225" i="5"/>
  <c r="V225" i="5"/>
  <c r="W225" i="5" s="1"/>
  <c r="X225" i="5"/>
  <c r="Y225" i="5"/>
  <c r="Z225" i="5"/>
  <c r="AB225" i="5" s="1"/>
  <c r="AA225" i="5"/>
  <c r="B226" i="5"/>
  <c r="G226" i="5"/>
  <c r="L226" i="5"/>
  <c r="R226" i="5"/>
  <c r="V226" i="5"/>
  <c r="W226" i="5" s="1"/>
  <c r="X226" i="5"/>
  <c r="Y226" i="5" s="1"/>
  <c r="Z226" i="5"/>
  <c r="AA226" i="5"/>
  <c r="AB226" i="5"/>
  <c r="AD226" i="5" s="1"/>
  <c r="AC226" i="5"/>
  <c r="B227" i="5"/>
  <c r="G227" i="5"/>
  <c r="L227" i="5"/>
  <c r="R227" i="5"/>
  <c r="V227" i="5"/>
  <c r="W227" i="5" s="1"/>
  <c r="X227" i="5"/>
  <c r="Y227" i="5" s="1"/>
  <c r="Z227" i="5"/>
  <c r="B228" i="5"/>
  <c r="G228" i="5"/>
  <c r="L228" i="5"/>
  <c r="R228" i="5"/>
  <c r="V228" i="5"/>
  <c r="W228" i="5" s="1"/>
  <c r="X228" i="5"/>
  <c r="Y228" i="5"/>
  <c r="Z228" i="5"/>
  <c r="AA228" i="5" s="1"/>
  <c r="B229" i="5"/>
  <c r="G229" i="5"/>
  <c r="L229" i="5"/>
  <c r="R229" i="5"/>
  <c r="V229" i="5"/>
  <c r="W229" i="5"/>
  <c r="X229" i="5"/>
  <c r="Y229" i="5" s="1"/>
  <c r="Z229" i="5"/>
  <c r="AA229" i="5" s="1"/>
  <c r="B230" i="5"/>
  <c r="G230" i="5"/>
  <c r="L230" i="5"/>
  <c r="R230" i="5"/>
  <c r="V230" i="5"/>
  <c r="W230" i="5" s="1"/>
  <c r="X230" i="5"/>
  <c r="Y230" i="5" s="1"/>
  <c r="Z230" i="5"/>
  <c r="AA230" i="5"/>
  <c r="AB230" i="5"/>
  <c r="AD230" i="5" s="1"/>
  <c r="B231" i="5"/>
  <c r="G231" i="5"/>
  <c r="L231" i="5"/>
  <c r="R231" i="5"/>
  <c r="V231" i="5"/>
  <c r="W231" i="5"/>
  <c r="X231" i="5"/>
  <c r="Y231" i="5" s="1"/>
  <c r="Z231" i="5"/>
  <c r="AB231" i="5" s="1"/>
  <c r="B232" i="5"/>
  <c r="G232" i="5"/>
  <c r="L232" i="5"/>
  <c r="R232" i="5"/>
  <c r="V232" i="5"/>
  <c r="W232" i="5" s="1"/>
  <c r="X232" i="5"/>
  <c r="Y232" i="5"/>
  <c r="Z232" i="5"/>
  <c r="B233" i="5"/>
  <c r="G233" i="5"/>
  <c r="L233" i="5"/>
  <c r="R233" i="5"/>
  <c r="V233" i="5"/>
  <c r="W233" i="5"/>
  <c r="X233" i="5"/>
  <c r="Y233" i="5" s="1"/>
  <c r="Z233" i="5"/>
  <c r="AA233" i="5" s="1"/>
  <c r="B234" i="5"/>
  <c r="G234" i="5"/>
  <c r="L234" i="5"/>
  <c r="R234" i="5"/>
  <c r="V234" i="5"/>
  <c r="W234" i="5" s="1"/>
  <c r="X234" i="5"/>
  <c r="Y234" i="5" s="1"/>
  <c r="Z234" i="5"/>
  <c r="AB234" i="5" s="1"/>
  <c r="AC234" i="5" s="1"/>
  <c r="B235" i="5"/>
  <c r="G235" i="5"/>
  <c r="L235" i="5"/>
  <c r="R235" i="5"/>
  <c r="V235" i="5"/>
  <c r="W235" i="5" s="1"/>
  <c r="X235" i="5"/>
  <c r="Y235" i="5" s="1"/>
  <c r="Z235" i="5"/>
  <c r="AB235" i="5" s="1"/>
  <c r="B236" i="5"/>
  <c r="G236" i="5"/>
  <c r="L236" i="5"/>
  <c r="R236" i="5"/>
  <c r="V236" i="5"/>
  <c r="W236" i="5" s="1"/>
  <c r="X236" i="5"/>
  <c r="Y236" i="5" s="1"/>
  <c r="Z236" i="5"/>
  <c r="AB236" i="5" s="1"/>
  <c r="B237" i="5"/>
  <c r="G237" i="5"/>
  <c r="L237" i="5"/>
  <c r="R237" i="5"/>
  <c r="V237" i="5"/>
  <c r="W237" i="5" s="1"/>
  <c r="X237" i="5"/>
  <c r="Y237" i="5" s="1"/>
  <c r="Z237" i="5"/>
  <c r="AA237" i="5" s="1"/>
  <c r="B238" i="5"/>
  <c r="G238" i="5"/>
  <c r="L238" i="5"/>
  <c r="R238" i="5"/>
  <c r="V238" i="5"/>
  <c r="W238" i="5" s="1"/>
  <c r="X238" i="5"/>
  <c r="Y238" i="5"/>
  <c r="Z238" i="5"/>
  <c r="B239" i="5"/>
  <c r="G239" i="5"/>
  <c r="L239" i="5"/>
  <c r="R239" i="5"/>
  <c r="V239" i="5"/>
  <c r="W239" i="5" s="1"/>
  <c r="X239" i="5"/>
  <c r="Y239" i="5" s="1"/>
  <c r="Z239" i="5"/>
  <c r="AB239" i="5" s="1"/>
  <c r="AA239" i="5"/>
  <c r="B240" i="5"/>
  <c r="G240" i="5"/>
  <c r="L240" i="5"/>
  <c r="R240" i="5"/>
  <c r="V240" i="5"/>
  <c r="W240" i="5" s="1"/>
  <c r="X240" i="5"/>
  <c r="Y240" i="5" s="1"/>
  <c r="Z240" i="5"/>
  <c r="AB240" i="5" s="1"/>
  <c r="B241" i="5"/>
  <c r="G241" i="5"/>
  <c r="L241" i="5"/>
  <c r="R241" i="5"/>
  <c r="V241" i="5"/>
  <c r="W241" i="5"/>
  <c r="X241" i="5"/>
  <c r="Y241" i="5" s="1"/>
  <c r="Z241" i="5"/>
  <c r="AB241" i="5" s="1"/>
  <c r="AC241" i="5" s="1"/>
  <c r="B242" i="5"/>
  <c r="G242" i="5"/>
  <c r="L242" i="5"/>
  <c r="R242" i="5"/>
  <c r="V242" i="5"/>
  <c r="W242" i="5" s="1"/>
  <c r="X242" i="5"/>
  <c r="Y242" i="5" s="1"/>
  <c r="Z242" i="5"/>
  <c r="AB242" i="5" s="1"/>
  <c r="B243" i="5"/>
  <c r="G243" i="5"/>
  <c r="L243" i="5"/>
  <c r="R243" i="5"/>
  <c r="V243" i="5"/>
  <c r="W243" i="5" s="1"/>
  <c r="X243" i="5"/>
  <c r="Y243" i="5" s="1"/>
  <c r="Z243" i="5"/>
  <c r="B244" i="5"/>
  <c r="G244" i="5"/>
  <c r="L244" i="5"/>
  <c r="R244" i="5"/>
  <c r="V244" i="5"/>
  <c r="W244" i="5" s="1"/>
  <c r="X244" i="5"/>
  <c r="Y244" i="5" s="1"/>
  <c r="Z244" i="5"/>
  <c r="AA244" i="5" s="1"/>
  <c r="B245" i="5"/>
  <c r="G245" i="5"/>
  <c r="L245" i="5"/>
  <c r="R245" i="5"/>
  <c r="V245" i="5"/>
  <c r="W245" i="5"/>
  <c r="X245" i="5"/>
  <c r="Y245" i="5" s="1"/>
  <c r="Z245" i="5"/>
  <c r="AA245" i="5"/>
  <c r="AB245" i="5"/>
  <c r="AD245" i="5" s="1"/>
  <c r="AC245" i="5"/>
  <c r="B246" i="5"/>
  <c r="G246" i="5"/>
  <c r="L246" i="5"/>
  <c r="R246" i="5"/>
  <c r="V246" i="5"/>
  <c r="W246" i="5" s="1"/>
  <c r="X246" i="5"/>
  <c r="Y246" i="5"/>
  <c r="Z246" i="5"/>
  <c r="AA246" i="5"/>
  <c r="AB246" i="5"/>
  <c r="B247" i="5"/>
  <c r="G247" i="5"/>
  <c r="L247" i="5"/>
  <c r="R247" i="5"/>
  <c r="V247" i="5"/>
  <c r="W247" i="5" s="1"/>
  <c r="X247" i="5"/>
  <c r="Y247" i="5" s="1"/>
  <c r="Z247" i="5"/>
  <c r="AB247" i="5" s="1"/>
  <c r="B248" i="5"/>
  <c r="G248" i="5"/>
  <c r="L248" i="5"/>
  <c r="R248" i="5"/>
  <c r="V248" i="5"/>
  <c r="W248" i="5" s="1"/>
  <c r="X248" i="5"/>
  <c r="Y248" i="5" s="1"/>
  <c r="Z248" i="5"/>
  <c r="AB248" i="5" s="1"/>
  <c r="B249" i="5"/>
  <c r="G249" i="5"/>
  <c r="L249" i="5"/>
  <c r="R249" i="5"/>
  <c r="V249" i="5"/>
  <c r="W249" i="5" s="1"/>
  <c r="X249" i="5"/>
  <c r="Y249" i="5"/>
  <c r="Z249" i="5"/>
  <c r="AB249" i="5" s="1"/>
  <c r="AC249" i="5" s="1"/>
  <c r="AA249" i="5"/>
  <c r="B250" i="5"/>
  <c r="G250" i="5"/>
  <c r="L250" i="5"/>
  <c r="R250" i="5"/>
  <c r="V250" i="5"/>
  <c r="W250" i="5" s="1"/>
  <c r="X250" i="5"/>
  <c r="Y250" i="5" s="1"/>
  <c r="Z250" i="5"/>
  <c r="AB250" i="5" s="1"/>
  <c r="AD250" i="5" s="1"/>
  <c r="B251" i="5"/>
  <c r="G251" i="5"/>
  <c r="L251" i="5"/>
  <c r="R251" i="5"/>
  <c r="V251" i="5"/>
  <c r="W251" i="5" s="1"/>
  <c r="X251" i="5"/>
  <c r="Y251" i="5" s="1"/>
  <c r="Z251" i="5"/>
  <c r="AA251" i="5" s="1"/>
  <c r="AB251" i="5"/>
  <c r="AC251" i="5" s="1"/>
  <c r="B252" i="5"/>
  <c r="G252" i="5"/>
  <c r="L252" i="5"/>
  <c r="R252" i="5"/>
  <c r="V252" i="5"/>
  <c r="W252" i="5" s="1"/>
  <c r="X252" i="5"/>
  <c r="Y252" i="5" s="1"/>
  <c r="Z252" i="5"/>
  <c r="AA252" i="5" s="1"/>
  <c r="B253" i="5"/>
  <c r="G253" i="5"/>
  <c r="L253" i="5"/>
  <c r="R253" i="5"/>
  <c r="V253" i="5"/>
  <c r="W253" i="5"/>
  <c r="X253" i="5"/>
  <c r="Y253" i="5"/>
  <c r="Z253" i="5"/>
  <c r="AA253" i="5" s="1"/>
  <c r="B254" i="5"/>
  <c r="G254" i="5"/>
  <c r="L254" i="5"/>
  <c r="R254" i="5"/>
  <c r="V254" i="5"/>
  <c r="W254" i="5" s="1"/>
  <c r="X254" i="5"/>
  <c r="Y254" i="5" s="1"/>
  <c r="Z254" i="5"/>
  <c r="B255" i="5"/>
  <c r="G255" i="5"/>
  <c r="L255" i="5"/>
  <c r="R255" i="5"/>
  <c r="V255" i="5"/>
  <c r="W255" i="5" s="1"/>
  <c r="X255" i="5"/>
  <c r="Y255" i="5" s="1"/>
  <c r="Z255" i="5"/>
  <c r="AA255" i="5"/>
  <c r="AB255" i="5"/>
  <c r="AD255" i="5" s="1"/>
  <c r="AC255" i="5"/>
  <c r="AE255" i="5" s="1"/>
  <c r="AF255" i="5" s="1"/>
  <c r="B256" i="5"/>
  <c r="G256" i="5"/>
  <c r="L256" i="5"/>
  <c r="R256" i="5"/>
  <c r="V256" i="5"/>
  <c r="W256" i="5" s="1"/>
  <c r="X256" i="5"/>
  <c r="Y256" i="5" s="1"/>
  <c r="Z256" i="5"/>
  <c r="B257" i="5"/>
  <c r="G257" i="5"/>
  <c r="L257" i="5"/>
  <c r="R257" i="5"/>
  <c r="V257" i="5"/>
  <c r="W257" i="5"/>
  <c r="X257" i="5"/>
  <c r="Y257" i="5" s="1"/>
  <c r="Z257" i="5"/>
  <c r="AA257" i="5" s="1"/>
  <c r="B258" i="5"/>
  <c r="G258" i="5"/>
  <c r="L258" i="5"/>
  <c r="R258" i="5"/>
  <c r="V258" i="5"/>
  <c r="W258" i="5"/>
  <c r="X258" i="5"/>
  <c r="Y258" i="5" s="1"/>
  <c r="Z258" i="5"/>
  <c r="AA258" i="5" s="1"/>
  <c r="B259" i="5"/>
  <c r="G259" i="5"/>
  <c r="L259" i="5"/>
  <c r="R259" i="5"/>
  <c r="V259" i="5"/>
  <c r="W259" i="5" s="1"/>
  <c r="X259" i="5"/>
  <c r="Y259" i="5" s="1"/>
  <c r="Z259" i="5"/>
  <c r="AA259" i="5" s="1"/>
  <c r="B260" i="5"/>
  <c r="G260" i="5"/>
  <c r="L260" i="5"/>
  <c r="R260" i="5"/>
  <c r="V260" i="5"/>
  <c r="W260" i="5" s="1"/>
  <c r="X260" i="5"/>
  <c r="Y260" i="5" s="1"/>
  <c r="Z260" i="5"/>
  <c r="AB260" i="5" s="1"/>
  <c r="AA260" i="5"/>
  <c r="B261" i="5"/>
  <c r="G261" i="5"/>
  <c r="L261" i="5"/>
  <c r="R261" i="5"/>
  <c r="V261" i="5"/>
  <c r="W261" i="5"/>
  <c r="X261" i="5"/>
  <c r="Y261" i="5" s="1"/>
  <c r="Z261" i="5"/>
  <c r="AA261" i="5" s="1"/>
  <c r="B262" i="5"/>
  <c r="G262" i="5"/>
  <c r="L262" i="5"/>
  <c r="R262" i="5"/>
  <c r="V262" i="5"/>
  <c r="W262" i="5" s="1"/>
  <c r="X262" i="5"/>
  <c r="Y262" i="5" s="1"/>
  <c r="Z262" i="5"/>
  <c r="B263" i="5"/>
  <c r="G263" i="5"/>
  <c r="L263" i="5"/>
  <c r="R263" i="5"/>
  <c r="V263" i="5"/>
  <c r="W263" i="5"/>
  <c r="X263" i="5"/>
  <c r="Y263" i="5" s="1"/>
  <c r="Z263" i="5"/>
  <c r="AB263" i="5" s="1"/>
  <c r="B264" i="5"/>
  <c r="G264" i="5"/>
  <c r="L264" i="5"/>
  <c r="R264" i="5"/>
  <c r="V264" i="5"/>
  <c r="W264" i="5" s="1"/>
  <c r="X264" i="5"/>
  <c r="Y264" i="5" s="1"/>
  <c r="Z264" i="5"/>
  <c r="AA264" i="5" s="1"/>
  <c r="B265" i="5"/>
  <c r="G265" i="5"/>
  <c r="L265" i="5"/>
  <c r="R265" i="5"/>
  <c r="V265" i="5"/>
  <c r="W265" i="5"/>
  <c r="X265" i="5"/>
  <c r="Y265" i="5" s="1"/>
  <c r="Z265" i="5"/>
  <c r="B266" i="5"/>
  <c r="G266" i="5"/>
  <c r="L266" i="5"/>
  <c r="R266" i="5"/>
  <c r="V266" i="5"/>
  <c r="W266" i="5" s="1"/>
  <c r="X266" i="5"/>
  <c r="Y266" i="5"/>
  <c r="Z266" i="5"/>
  <c r="AA266" i="5" s="1"/>
  <c r="AB266" i="5"/>
  <c r="AD266" i="5" s="1"/>
  <c r="AC266" i="5"/>
  <c r="B267" i="5"/>
  <c r="G267" i="5"/>
  <c r="L267" i="5"/>
  <c r="R267" i="5"/>
  <c r="V267" i="5"/>
  <c r="W267" i="5"/>
  <c r="X267" i="5"/>
  <c r="Y267" i="5"/>
  <c r="Z267" i="5"/>
  <c r="AB267" i="5" s="1"/>
  <c r="B268" i="5"/>
  <c r="G268" i="5"/>
  <c r="L268" i="5"/>
  <c r="R268" i="5"/>
  <c r="V268" i="5"/>
  <c r="W268" i="5" s="1"/>
  <c r="X268" i="5"/>
  <c r="Y268" i="5" s="1"/>
  <c r="Z268" i="5"/>
  <c r="AA268" i="5"/>
  <c r="AB268" i="5"/>
  <c r="AC268" i="5" s="1"/>
  <c r="AD268" i="5"/>
  <c r="B269" i="5"/>
  <c r="G269" i="5"/>
  <c r="L269" i="5"/>
  <c r="R269" i="5"/>
  <c r="V269" i="5"/>
  <c r="W269" i="5" s="1"/>
  <c r="X269" i="5"/>
  <c r="Y269" i="5" s="1"/>
  <c r="Z269" i="5"/>
  <c r="AB269" i="5" s="1"/>
  <c r="AA269" i="5"/>
  <c r="B270" i="5"/>
  <c r="G270" i="5"/>
  <c r="L270" i="5"/>
  <c r="R270" i="5"/>
  <c r="V270" i="5"/>
  <c r="W270" i="5" s="1"/>
  <c r="X270" i="5"/>
  <c r="Y270" i="5"/>
  <c r="Z270" i="5"/>
  <c r="AB270" i="5" s="1"/>
  <c r="AD270" i="5" s="1"/>
  <c r="AA270" i="5"/>
  <c r="B271" i="5"/>
  <c r="G271" i="5"/>
  <c r="L271" i="5"/>
  <c r="R271" i="5"/>
  <c r="V271" i="5"/>
  <c r="W271" i="5" s="1"/>
  <c r="X271" i="5"/>
  <c r="Y271" i="5" s="1"/>
  <c r="Z271" i="5"/>
  <c r="AA271" i="5" s="1"/>
  <c r="B272" i="5"/>
  <c r="G272" i="5"/>
  <c r="L272" i="5"/>
  <c r="R272" i="5"/>
  <c r="V272" i="5"/>
  <c r="W272" i="5" s="1"/>
  <c r="X272" i="5"/>
  <c r="Y272" i="5" s="1"/>
  <c r="Z272" i="5"/>
  <c r="AB272" i="5" s="1"/>
  <c r="AD272" i="5" s="1"/>
  <c r="AA272" i="5"/>
  <c r="B273" i="5"/>
  <c r="G273" i="5"/>
  <c r="L273" i="5"/>
  <c r="R273" i="5"/>
  <c r="V273" i="5"/>
  <c r="W273" i="5"/>
  <c r="X273" i="5"/>
  <c r="Y273" i="5" s="1"/>
  <c r="Z273" i="5"/>
  <c r="AB273" i="5" s="1"/>
  <c r="B274" i="5"/>
  <c r="G274" i="5"/>
  <c r="L274" i="5"/>
  <c r="R274" i="5"/>
  <c r="V274" i="5"/>
  <c r="W274" i="5"/>
  <c r="X274" i="5"/>
  <c r="Y274" i="5" s="1"/>
  <c r="Z274" i="5"/>
  <c r="AB274" i="5" s="1"/>
  <c r="AA274" i="5"/>
  <c r="B275" i="5"/>
  <c r="G275" i="5"/>
  <c r="L275" i="5"/>
  <c r="R275" i="5"/>
  <c r="V275" i="5"/>
  <c r="W275" i="5" s="1"/>
  <c r="X275" i="5"/>
  <c r="Y275" i="5"/>
  <c r="Z275" i="5"/>
  <c r="AB275" i="5" s="1"/>
  <c r="AC275" i="5" s="1"/>
  <c r="B276" i="5"/>
  <c r="G276" i="5"/>
  <c r="L276" i="5"/>
  <c r="R276" i="5"/>
  <c r="V276" i="5"/>
  <c r="W276" i="5" s="1"/>
  <c r="X276" i="5"/>
  <c r="Y276" i="5" s="1"/>
  <c r="Z276" i="5"/>
  <c r="B277" i="5"/>
  <c r="G277" i="5"/>
  <c r="L277" i="5"/>
  <c r="R277" i="5"/>
  <c r="V277" i="5"/>
  <c r="W277" i="5"/>
  <c r="X277" i="5"/>
  <c r="Y277" i="5" s="1"/>
  <c r="Z277" i="5"/>
  <c r="B278" i="5"/>
  <c r="G278" i="5"/>
  <c r="L278" i="5"/>
  <c r="R278" i="5"/>
  <c r="V278" i="5"/>
  <c r="W278" i="5" s="1"/>
  <c r="X278" i="5"/>
  <c r="Y278" i="5" s="1"/>
  <c r="Z278" i="5"/>
  <c r="AB278" i="5" s="1"/>
  <c r="AC278" i="5" s="1"/>
  <c r="AA278" i="5"/>
  <c r="B279" i="5"/>
  <c r="G279" i="5"/>
  <c r="L279" i="5"/>
  <c r="R279" i="5"/>
  <c r="V279" i="5"/>
  <c r="W279" i="5" s="1"/>
  <c r="X279" i="5"/>
  <c r="Y279" i="5" s="1"/>
  <c r="Z279" i="5"/>
  <c r="B280" i="5"/>
  <c r="G280" i="5"/>
  <c r="L280" i="5"/>
  <c r="R280" i="5"/>
  <c r="V280" i="5"/>
  <c r="W280" i="5" s="1"/>
  <c r="X280" i="5"/>
  <c r="Y280" i="5" s="1"/>
  <c r="Z280" i="5"/>
  <c r="AA280" i="5" s="1"/>
  <c r="AB280" i="5"/>
  <c r="AC280" i="5" s="1"/>
  <c r="B281" i="5"/>
  <c r="G281" i="5"/>
  <c r="L281" i="5"/>
  <c r="R281" i="5"/>
  <c r="V281" i="5"/>
  <c r="W281" i="5"/>
  <c r="X281" i="5"/>
  <c r="Y281" i="5"/>
  <c r="Z281" i="5"/>
  <c r="AA281" i="5" s="1"/>
  <c r="AB281" i="5"/>
  <c r="AC281" i="5" s="1"/>
  <c r="B282" i="5"/>
  <c r="G282" i="5"/>
  <c r="L282" i="5"/>
  <c r="R282" i="5"/>
  <c r="V282" i="5"/>
  <c r="W282" i="5" s="1"/>
  <c r="X282" i="5"/>
  <c r="Y282" i="5" s="1"/>
  <c r="Z282" i="5"/>
  <c r="AB282" i="5" s="1"/>
  <c r="AA282" i="5"/>
  <c r="B283" i="5"/>
  <c r="G283" i="5"/>
  <c r="L283" i="5"/>
  <c r="R283" i="5"/>
  <c r="V283" i="5"/>
  <c r="W283" i="5" s="1"/>
  <c r="X283" i="5"/>
  <c r="Y283" i="5" s="1"/>
  <c r="Z283" i="5"/>
  <c r="AB283" i="5" s="1"/>
  <c r="AD283" i="5" s="1"/>
  <c r="B284" i="5"/>
  <c r="G284" i="5"/>
  <c r="L284" i="5"/>
  <c r="R284" i="5"/>
  <c r="V284" i="5"/>
  <c r="W284" i="5" s="1"/>
  <c r="X284" i="5"/>
  <c r="Y284" i="5" s="1"/>
  <c r="Z284" i="5"/>
  <c r="AA284" i="5" s="1"/>
  <c r="B285" i="5"/>
  <c r="G285" i="5"/>
  <c r="L285" i="5"/>
  <c r="R285" i="5"/>
  <c r="V285" i="5"/>
  <c r="W285" i="5"/>
  <c r="X285" i="5"/>
  <c r="Y285" i="5" s="1"/>
  <c r="Z285" i="5"/>
  <c r="AB285" i="5" s="1"/>
  <c r="AC285" i="5" s="1"/>
  <c r="AA285" i="5"/>
  <c r="B286" i="5"/>
  <c r="G286" i="5"/>
  <c r="L286" i="5"/>
  <c r="R286" i="5"/>
  <c r="V286" i="5"/>
  <c r="W286" i="5" s="1"/>
  <c r="X286" i="5"/>
  <c r="Y286" i="5" s="1"/>
  <c r="Z286" i="5"/>
  <c r="AB286" i="5" s="1"/>
  <c r="AD286" i="5" s="1"/>
  <c r="AA286" i="5"/>
  <c r="B287" i="5"/>
  <c r="G287" i="5"/>
  <c r="L287" i="5"/>
  <c r="R287" i="5"/>
  <c r="V287" i="5"/>
  <c r="W287" i="5" s="1"/>
  <c r="X287" i="5"/>
  <c r="Y287" i="5" s="1"/>
  <c r="Z287" i="5"/>
  <c r="AB287" i="5" s="1"/>
  <c r="AC287" i="5" s="1"/>
  <c r="AA287" i="5"/>
  <c r="B288" i="5"/>
  <c r="G288" i="5"/>
  <c r="L288" i="5"/>
  <c r="R288" i="5"/>
  <c r="V288" i="5"/>
  <c r="W288" i="5" s="1"/>
  <c r="X288" i="5"/>
  <c r="Y288" i="5"/>
  <c r="Z288" i="5"/>
  <c r="AA288" i="5" s="1"/>
  <c r="AB288" i="5"/>
  <c r="AC288" i="5" s="1"/>
  <c r="B289" i="5"/>
  <c r="G289" i="5"/>
  <c r="L289" i="5"/>
  <c r="R289" i="5"/>
  <c r="V289" i="5"/>
  <c r="W289" i="5" s="1"/>
  <c r="X289" i="5"/>
  <c r="Y289" i="5" s="1"/>
  <c r="Z289" i="5"/>
  <c r="AA289" i="5" s="1"/>
  <c r="B290" i="5"/>
  <c r="G290" i="5"/>
  <c r="L290" i="5"/>
  <c r="R290" i="5"/>
  <c r="V290" i="5"/>
  <c r="W290" i="5" s="1"/>
  <c r="X290" i="5"/>
  <c r="Y290" i="5"/>
  <c r="Z290" i="5"/>
  <c r="AA290" i="5" s="1"/>
  <c r="AB290" i="5"/>
  <c r="AC290" i="5" s="1"/>
  <c r="B291" i="5"/>
  <c r="G291" i="5"/>
  <c r="L291" i="5"/>
  <c r="R291" i="5"/>
  <c r="V291" i="5"/>
  <c r="W291" i="5" s="1"/>
  <c r="X291" i="5"/>
  <c r="Y291" i="5"/>
  <c r="Z291" i="5"/>
  <c r="AA291" i="5" s="1"/>
  <c r="B292" i="5"/>
  <c r="G292" i="5"/>
  <c r="L292" i="5"/>
  <c r="R292" i="5"/>
  <c r="V292" i="5"/>
  <c r="W292" i="5" s="1"/>
  <c r="X292" i="5"/>
  <c r="Y292" i="5" s="1"/>
  <c r="Z292" i="5"/>
  <c r="AA292" i="5" s="1"/>
  <c r="AB292" i="5"/>
  <c r="AC292" i="5" s="1"/>
  <c r="B293" i="5"/>
  <c r="G293" i="5"/>
  <c r="L293" i="5"/>
  <c r="R293" i="5"/>
  <c r="V293" i="5"/>
  <c r="W293" i="5" s="1"/>
  <c r="X293" i="5"/>
  <c r="Y293" i="5" s="1"/>
  <c r="Z293" i="5"/>
  <c r="AB293" i="5" s="1"/>
  <c r="B294" i="5"/>
  <c r="G294" i="5"/>
  <c r="L294" i="5"/>
  <c r="R294" i="5"/>
  <c r="V294" i="5"/>
  <c r="W294" i="5"/>
  <c r="X294" i="5"/>
  <c r="Y294" i="5" s="1"/>
  <c r="Z294" i="5"/>
  <c r="AB294" i="5" s="1"/>
  <c r="AC294" i="5" s="1"/>
  <c r="B295" i="5"/>
  <c r="G295" i="5"/>
  <c r="L295" i="5"/>
  <c r="R295" i="5"/>
  <c r="V295" i="5"/>
  <c r="W295" i="5" s="1"/>
  <c r="X295" i="5"/>
  <c r="Y295" i="5" s="1"/>
  <c r="Z295" i="5"/>
  <c r="AB295" i="5" s="1"/>
  <c r="AA295" i="5"/>
  <c r="B296" i="5"/>
  <c r="G296" i="5"/>
  <c r="L296" i="5"/>
  <c r="R296" i="5"/>
  <c r="V296" i="5"/>
  <c r="W296" i="5" s="1"/>
  <c r="X296" i="5"/>
  <c r="Y296" i="5" s="1"/>
  <c r="Z296" i="5"/>
  <c r="AA296" i="5" s="1"/>
  <c r="B297" i="5"/>
  <c r="G297" i="5"/>
  <c r="L297" i="5"/>
  <c r="R297" i="5"/>
  <c r="V297" i="5"/>
  <c r="W297" i="5" s="1"/>
  <c r="X297" i="5"/>
  <c r="Y297" i="5" s="1"/>
  <c r="Z297" i="5"/>
  <c r="AA297" i="5" s="1"/>
  <c r="B298" i="5"/>
  <c r="G298" i="5"/>
  <c r="L298" i="5"/>
  <c r="R298" i="5"/>
  <c r="V298" i="5"/>
  <c r="W298" i="5" s="1"/>
  <c r="X298" i="5"/>
  <c r="Y298" i="5" s="1"/>
  <c r="Z298" i="5"/>
  <c r="AB298" i="5" s="1"/>
  <c r="B299" i="5"/>
  <c r="G299" i="5"/>
  <c r="L299" i="5"/>
  <c r="R299" i="5"/>
  <c r="V299" i="5"/>
  <c r="W299" i="5" s="1"/>
  <c r="X299" i="5"/>
  <c r="Y299" i="5" s="1"/>
  <c r="Z299" i="5"/>
  <c r="B300" i="5"/>
  <c r="G300" i="5"/>
  <c r="L300" i="5"/>
  <c r="R300" i="5"/>
  <c r="V300" i="5"/>
  <c r="W300" i="5" s="1"/>
  <c r="X300" i="5"/>
  <c r="Y300" i="5" s="1"/>
  <c r="Z300" i="5"/>
  <c r="AA300" i="5"/>
  <c r="AB300" i="5"/>
  <c r="AC300" i="5" s="1"/>
  <c r="B301" i="5"/>
  <c r="G301" i="5"/>
  <c r="L301" i="5"/>
  <c r="R301" i="5"/>
  <c r="V301" i="5"/>
  <c r="W301" i="5"/>
  <c r="X301" i="5"/>
  <c r="Y301" i="5" s="1"/>
  <c r="Z301" i="5"/>
  <c r="AA301" i="5" s="1"/>
  <c r="B302" i="5"/>
  <c r="G302" i="5"/>
  <c r="L302" i="5"/>
  <c r="R302" i="5"/>
  <c r="V302" i="5"/>
  <c r="W302" i="5"/>
  <c r="X302" i="5"/>
  <c r="Y302" i="5" s="1"/>
  <c r="Z302" i="5"/>
  <c r="AB302" i="5" s="1"/>
  <c r="B303" i="5"/>
  <c r="G303" i="5"/>
  <c r="L303" i="5"/>
  <c r="R303" i="5"/>
  <c r="V303" i="5"/>
  <c r="W303" i="5"/>
  <c r="X303" i="5"/>
  <c r="Y303" i="5" s="1"/>
  <c r="Z303" i="5"/>
  <c r="B304" i="5"/>
  <c r="G304" i="5"/>
  <c r="L304" i="5"/>
  <c r="R304" i="5"/>
  <c r="V304" i="5"/>
  <c r="W304" i="5"/>
  <c r="X304" i="5"/>
  <c r="Y304" i="5" s="1"/>
  <c r="Z304" i="5"/>
  <c r="AA304" i="5" s="1"/>
  <c r="B305" i="5"/>
  <c r="G305" i="5"/>
  <c r="L305" i="5"/>
  <c r="R305" i="5"/>
  <c r="V305" i="5"/>
  <c r="W305" i="5" s="1"/>
  <c r="X305" i="5"/>
  <c r="Y305" i="5" s="1"/>
  <c r="Z305" i="5"/>
  <c r="AB305" i="5" s="1"/>
  <c r="AA305" i="5"/>
  <c r="B306" i="5"/>
  <c r="G306" i="5"/>
  <c r="L306" i="5"/>
  <c r="R306" i="5"/>
  <c r="V306" i="5"/>
  <c r="W306" i="5"/>
  <c r="X306" i="5"/>
  <c r="Y306" i="5" s="1"/>
  <c r="Z306" i="5"/>
  <c r="AB306" i="5" s="1"/>
  <c r="B307" i="5"/>
  <c r="G307" i="5"/>
  <c r="L307" i="5"/>
  <c r="R307" i="5"/>
  <c r="V307" i="5"/>
  <c r="W307" i="5" s="1"/>
  <c r="X307" i="5"/>
  <c r="Y307" i="5" s="1"/>
  <c r="Z307" i="5"/>
  <c r="AB307" i="5" s="1"/>
  <c r="AC307" i="5" s="1"/>
  <c r="AA307" i="5"/>
  <c r="B308" i="5"/>
  <c r="G308" i="5"/>
  <c r="L308" i="5"/>
  <c r="R308" i="5"/>
  <c r="V308" i="5"/>
  <c r="W308" i="5" s="1"/>
  <c r="X308" i="5"/>
  <c r="Y308" i="5" s="1"/>
  <c r="Z308" i="5"/>
  <c r="AB308" i="5" s="1"/>
  <c r="AA308" i="5"/>
  <c r="AC308" i="5"/>
  <c r="AD308" i="5"/>
  <c r="B309" i="5"/>
  <c r="G309" i="5"/>
  <c r="L309" i="5"/>
  <c r="R309" i="5"/>
  <c r="V309" i="5"/>
  <c r="W309" i="5" s="1"/>
  <c r="X309" i="5"/>
  <c r="Y309" i="5" s="1"/>
  <c r="Z309" i="5"/>
  <c r="AA309" i="5" s="1"/>
  <c r="B310" i="5"/>
  <c r="G310" i="5"/>
  <c r="L310" i="5"/>
  <c r="R310" i="5"/>
  <c r="V310" i="5"/>
  <c r="W310" i="5" s="1"/>
  <c r="X310" i="5"/>
  <c r="Y310" i="5"/>
  <c r="Z310" i="5"/>
  <c r="AA310" i="5" s="1"/>
  <c r="B311" i="5"/>
  <c r="G311" i="5"/>
  <c r="L311" i="5"/>
  <c r="R311" i="5"/>
  <c r="V311" i="5"/>
  <c r="W311" i="5" s="1"/>
  <c r="X311" i="5"/>
  <c r="Y311" i="5" s="1"/>
  <c r="Z311" i="5"/>
  <c r="AB311" i="5" s="1"/>
  <c r="AA311" i="5"/>
  <c r="B312" i="5"/>
  <c r="G312" i="5"/>
  <c r="L312" i="5"/>
  <c r="R312" i="5"/>
  <c r="V312" i="5"/>
  <c r="W312" i="5" s="1"/>
  <c r="X312" i="5"/>
  <c r="Y312" i="5"/>
  <c r="Z312" i="5"/>
  <c r="AA312" i="5" s="1"/>
  <c r="B313" i="5"/>
  <c r="G313" i="5"/>
  <c r="L313" i="5"/>
  <c r="R313" i="5"/>
  <c r="V313" i="5"/>
  <c r="W313" i="5"/>
  <c r="X313" i="5"/>
  <c r="Y313" i="5"/>
  <c r="Z313" i="5"/>
  <c r="AB313" i="5" s="1"/>
  <c r="AA313" i="5"/>
  <c r="B314" i="5"/>
  <c r="G314" i="5"/>
  <c r="L314" i="5"/>
  <c r="R314" i="5"/>
  <c r="V314" i="5"/>
  <c r="W314" i="5"/>
  <c r="X314" i="5"/>
  <c r="Y314" i="5" s="1"/>
  <c r="Z314" i="5"/>
  <c r="AA314" i="5" s="1"/>
  <c r="B315" i="5"/>
  <c r="G315" i="5"/>
  <c r="L315" i="5"/>
  <c r="R315" i="5"/>
  <c r="V315" i="5"/>
  <c r="W315" i="5"/>
  <c r="X315" i="5"/>
  <c r="Y315" i="5"/>
  <c r="Z315" i="5"/>
  <c r="AA315" i="5" s="1"/>
  <c r="AB315" i="5"/>
  <c r="AD315" i="5" s="1"/>
  <c r="B316" i="5"/>
  <c r="G316" i="5"/>
  <c r="L316" i="5"/>
  <c r="R316" i="5"/>
  <c r="V316" i="5"/>
  <c r="W316" i="5" s="1"/>
  <c r="X316" i="5"/>
  <c r="Y316" i="5" s="1"/>
  <c r="Z316" i="5"/>
  <c r="AB316" i="5" s="1"/>
  <c r="AD316" i="5" s="1"/>
  <c r="B317" i="5"/>
  <c r="G317" i="5"/>
  <c r="L317" i="5"/>
  <c r="R317" i="5"/>
  <c r="V317" i="5"/>
  <c r="W317" i="5" s="1"/>
  <c r="X317" i="5"/>
  <c r="Y317" i="5"/>
  <c r="Z317" i="5"/>
  <c r="B318" i="5"/>
  <c r="G318" i="5"/>
  <c r="L318" i="5"/>
  <c r="R318" i="5"/>
  <c r="V318" i="5"/>
  <c r="W318" i="5" s="1"/>
  <c r="X318" i="5"/>
  <c r="Y318" i="5" s="1"/>
  <c r="Z318" i="5"/>
  <c r="AA318" i="5" s="1"/>
  <c r="AB318" i="5"/>
  <c r="AC318" i="5" s="1"/>
  <c r="AD318" i="5"/>
  <c r="B319" i="5"/>
  <c r="G319" i="5"/>
  <c r="L319" i="5"/>
  <c r="R319" i="5"/>
  <c r="V319" i="5"/>
  <c r="W319" i="5" s="1"/>
  <c r="X319" i="5"/>
  <c r="Y319" i="5" s="1"/>
  <c r="Z319" i="5"/>
  <c r="AA319" i="5"/>
  <c r="AB319" i="5"/>
  <c r="AC319" i="5" s="1"/>
  <c r="AD319" i="5"/>
  <c r="B320" i="5"/>
  <c r="G320" i="5"/>
  <c r="L320" i="5"/>
  <c r="R320" i="5"/>
  <c r="V320" i="5"/>
  <c r="W320" i="5" s="1"/>
  <c r="X320" i="5"/>
  <c r="Y320" i="5" s="1"/>
  <c r="Z320" i="5"/>
  <c r="AB320" i="5" s="1"/>
  <c r="B321" i="5"/>
  <c r="G321" i="5"/>
  <c r="L321" i="5"/>
  <c r="R321" i="5"/>
  <c r="V321" i="5"/>
  <c r="W321" i="5" s="1"/>
  <c r="X321" i="5"/>
  <c r="Y321" i="5" s="1"/>
  <c r="Z321" i="5"/>
  <c r="AA321" i="5" s="1"/>
  <c r="B322" i="5"/>
  <c r="G322" i="5"/>
  <c r="L322" i="5"/>
  <c r="R322" i="5"/>
  <c r="V322" i="5"/>
  <c r="W322" i="5" s="1"/>
  <c r="X322" i="5"/>
  <c r="Y322" i="5" s="1"/>
  <c r="Z322" i="5"/>
  <c r="AA322" i="5" s="1"/>
  <c r="B323" i="5"/>
  <c r="G323" i="5"/>
  <c r="L323" i="5"/>
  <c r="R323" i="5"/>
  <c r="V323" i="5"/>
  <c r="W323" i="5"/>
  <c r="X323" i="5"/>
  <c r="Y323" i="5" s="1"/>
  <c r="Z323" i="5"/>
  <c r="AB323" i="5" s="1"/>
  <c r="AA323" i="5"/>
  <c r="B324" i="5"/>
  <c r="G324" i="5"/>
  <c r="L324" i="5"/>
  <c r="R324" i="5"/>
  <c r="V324" i="5"/>
  <c r="W324" i="5" s="1"/>
  <c r="X324" i="5"/>
  <c r="Y324" i="5" s="1"/>
  <c r="Z324" i="5"/>
  <c r="AB324" i="5" s="1"/>
  <c r="B325" i="5"/>
  <c r="G325" i="5"/>
  <c r="L325" i="5"/>
  <c r="R325" i="5"/>
  <c r="V325" i="5"/>
  <c r="W325" i="5"/>
  <c r="X325" i="5"/>
  <c r="Y325" i="5" s="1"/>
  <c r="Z325" i="5"/>
  <c r="AA325" i="5"/>
  <c r="AB325" i="5"/>
  <c r="AD325" i="5" s="1"/>
  <c r="AC325" i="5"/>
  <c r="B326" i="5"/>
  <c r="G326" i="5"/>
  <c r="L326" i="5"/>
  <c r="R326" i="5"/>
  <c r="V326" i="5"/>
  <c r="W326" i="5" s="1"/>
  <c r="X326" i="5"/>
  <c r="Y326" i="5" s="1"/>
  <c r="Z326" i="5"/>
  <c r="AA326" i="5" s="1"/>
  <c r="B327" i="5"/>
  <c r="G327" i="5"/>
  <c r="L327" i="5"/>
  <c r="R327" i="5"/>
  <c r="V327" i="5"/>
  <c r="W327" i="5" s="1"/>
  <c r="X327" i="5"/>
  <c r="Y327" i="5"/>
  <c r="Z327" i="5"/>
  <c r="AB327" i="5" s="1"/>
  <c r="AC327" i="5" s="1"/>
  <c r="B328" i="5"/>
  <c r="G328" i="5"/>
  <c r="L328" i="5"/>
  <c r="R328" i="5"/>
  <c r="V328" i="5"/>
  <c r="W328" i="5" s="1"/>
  <c r="X328" i="5"/>
  <c r="Y328" i="5" s="1"/>
  <c r="Z328" i="5"/>
  <c r="AA328" i="5" s="1"/>
  <c r="B329" i="5"/>
  <c r="G329" i="5"/>
  <c r="L329" i="5"/>
  <c r="R329" i="5"/>
  <c r="V329" i="5"/>
  <c r="W329" i="5" s="1"/>
  <c r="X329" i="5"/>
  <c r="Y329" i="5" s="1"/>
  <c r="Z329" i="5"/>
  <c r="AA329" i="5" s="1"/>
  <c r="AB329" i="5"/>
  <c r="AC329" i="5" s="1"/>
  <c r="B330" i="5"/>
  <c r="G330" i="5"/>
  <c r="L330" i="5"/>
  <c r="R330" i="5"/>
  <c r="V330" i="5"/>
  <c r="W330" i="5" s="1"/>
  <c r="X330" i="5"/>
  <c r="Y330" i="5" s="1"/>
  <c r="Z330" i="5"/>
  <c r="AA330" i="5"/>
  <c r="AB330" i="5"/>
  <c r="AC330" i="5" s="1"/>
  <c r="B331" i="5"/>
  <c r="G331" i="5"/>
  <c r="L331" i="5"/>
  <c r="R331" i="5"/>
  <c r="V331" i="5"/>
  <c r="W331" i="5" s="1"/>
  <c r="X331" i="5"/>
  <c r="Y331" i="5"/>
  <c r="Z331" i="5"/>
  <c r="B332" i="5"/>
  <c r="G332" i="5"/>
  <c r="L332" i="5"/>
  <c r="R332" i="5"/>
  <c r="V332" i="5"/>
  <c r="W332" i="5" s="1"/>
  <c r="X332" i="5"/>
  <c r="Y332" i="5"/>
  <c r="Z332" i="5"/>
  <c r="B333" i="5"/>
  <c r="G333" i="5"/>
  <c r="L333" i="5"/>
  <c r="R333" i="5"/>
  <c r="V333" i="5"/>
  <c r="W333" i="5" s="1"/>
  <c r="X333" i="5"/>
  <c r="Y333" i="5"/>
  <c r="Z333" i="5"/>
  <c r="AA333" i="5" s="1"/>
  <c r="B334" i="5"/>
  <c r="G334" i="5"/>
  <c r="L334" i="5"/>
  <c r="R334" i="5"/>
  <c r="V334" i="5"/>
  <c r="W334" i="5" s="1"/>
  <c r="X334" i="5"/>
  <c r="Y334" i="5"/>
  <c r="Z334" i="5"/>
  <c r="AA334" i="5" s="1"/>
  <c r="AB334" i="5"/>
  <c r="AD334" i="5" s="1"/>
  <c r="AC334" i="5"/>
  <c r="B335" i="5"/>
  <c r="G335" i="5"/>
  <c r="L335" i="5"/>
  <c r="R335" i="5"/>
  <c r="V335" i="5"/>
  <c r="W335" i="5" s="1"/>
  <c r="X335" i="5"/>
  <c r="Y335" i="5"/>
  <c r="Z335" i="5"/>
  <c r="AB335" i="5" s="1"/>
  <c r="AA335" i="5"/>
  <c r="B336" i="5"/>
  <c r="G336" i="5"/>
  <c r="L336" i="5"/>
  <c r="R336" i="5"/>
  <c r="V336" i="5"/>
  <c r="W336" i="5" s="1"/>
  <c r="X336" i="5"/>
  <c r="Y336" i="5" s="1"/>
  <c r="Z336" i="5"/>
  <c r="AA336" i="5" s="1"/>
  <c r="AB336" i="5"/>
  <c r="B337" i="5"/>
  <c r="G337" i="5"/>
  <c r="L337" i="5"/>
  <c r="R337" i="5"/>
  <c r="V337" i="5"/>
  <c r="W337" i="5" s="1"/>
  <c r="X337" i="5"/>
  <c r="Y337" i="5" s="1"/>
  <c r="Z337" i="5"/>
  <c r="AA337" i="5" s="1"/>
  <c r="AB337" i="5"/>
  <c r="B338" i="5"/>
  <c r="G338" i="5"/>
  <c r="L338" i="5"/>
  <c r="R338" i="5"/>
  <c r="V338" i="5"/>
  <c r="W338" i="5"/>
  <c r="X338" i="5"/>
  <c r="Y338" i="5"/>
  <c r="Z338" i="5"/>
  <c r="AA338" i="5" s="1"/>
  <c r="B339" i="5"/>
  <c r="G339" i="5"/>
  <c r="L339" i="5"/>
  <c r="R339" i="5"/>
  <c r="V339" i="5"/>
  <c r="W339" i="5" s="1"/>
  <c r="X339" i="5"/>
  <c r="Y339" i="5" s="1"/>
  <c r="Z339" i="5"/>
  <c r="AB339" i="5" s="1"/>
  <c r="B340" i="5"/>
  <c r="G340" i="5"/>
  <c r="L340" i="5"/>
  <c r="R340" i="5"/>
  <c r="V340" i="5"/>
  <c r="W340" i="5"/>
  <c r="X340" i="5"/>
  <c r="Y340" i="5" s="1"/>
  <c r="Z340" i="5"/>
  <c r="AA340" i="5" s="1"/>
  <c r="B341" i="5"/>
  <c r="G341" i="5"/>
  <c r="L341" i="5"/>
  <c r="R341" i="5"/>
  <c r="V341" i="5"/>
  <c r="W341" i="5"/>
  <c r="X341" i="5"/>
  <c r="Y341" i="5"/>
  <c r="Z341" i="5"/>
  <c r="AA341" i="5" s="1"/>
  <c r="AB341" i="5"/>
  <c r="AC341" i="5" s="1"/>
  <c r="B342" i="5"/>
  <c r="G342" i="5"/>
  <c r="L342" i="5"/>
  <c r="R342" i="5"/>
  <c r="V342" i="5"/>
  <c r="W342" i="5"/>
  <c r="X342" i="5"/>
  <c r="Y342" i="5"/>
  <c r="Z342" i="5"/>
  <c r="B343" i="5"/>
  <c r="G343" i="5"/>
  <c r="L343" i="5"/>
  <c r="R343" i="5"/>
  <c r="V343" i="5"/>
  <c r="W343" i="5" s="1"/>
  <c r="X343" i="5"/>
  <c r="Y343" i="5" s="1"/>
  <c r="Z343" i="5"/>
  <c r="AA343" i="5" s="1"/>
  <c r="B344" i="5"/>
  <c r="G344" i="5"/>
  <c r="L344" i="5"/>
  <c r="R344" i="5"/>
  <c r="V344" i="5"/>
  <c r="W344" i="5" s="1"/>
  <c r="X344" i="5"/>
  <c r="Y344" i="5" s="1"/>
  <c r="Z344" i="5"/>
  <c r="AA344" i="5" s="1"/>
  <c r="B345" i="5"/>
  <c r="G345" i="5"/>
  <c r="L345" i="5"/>
  <c r="R345" i="5"/>
  <c r="V345" i="5"/>
  <c r="W345" i="5" s="1"/>
  <c r="X345" i="5"/>
  <c r="Y345" i="5"/>
  <c r="Z345" i="5"/>
  <c r="AB345" i="5" s="1"/>
  <c r="AD345" i="5" s="1"/>
  <c r="AA345" i="5"/>
  <c r="B346" i="5"/>
  <c r="G346" i="5"/>
  <c r="L346" i="5"/>
  <c r="R346" i="5"/>
  <c r="V346" i="5"/>
  <c r="W346" i="5"/>
  <c r="X346" i="5"/>
  <c r="Y346" i="5"/>
  <c r="Z346" i="5"/>
  <c r="AA346" i="5" s="1"/>
  <c r="B347" i="5"/>
  <c r="G347" i="5"/>
  <c r="L347" i="5"/>
  <c r="R347" i="5"/>
  <c r="V347" i="5"/>
  <c r="W347" i="5"/>
  <c r="X347" i="5"/>
  <c r="Y347" i="5"/>
  <c r="Z347" i="5"/>
  <c r="AA347" i="5" s="1"/>
  <c r="AB347" i="5"/>
  <c r="AD347" i="5" s="1"/>
  <c r="AC347" i="5"/>
  <c r="B348" i="5"/>
  <c r="G348" i="5"/>
  <c r="L348" i="5"/>
  <c r="R348" i="5"/>
  <c r="V348" i="5"/>
  <c r="W348" i="5" s="1"/>
  <c r="X348" i="5"/>
  <c r="Y348" i="5" s="1"/>
  <c r="Z348" i="5"/>
  <c r="AA348" i="5"/>
  <c r="AB348" i="5"/>
  <c r="AD348" i="5" s="1"/>
  <c r="AC348" i="5"/>
  <c r="B349" i="5"/>
  <c r="G349" i="5"/>
  <c r="L349" i="5"/>
  <c r="R349" i="5"/>
  <c r="V349" i="5"/>
  <c r="W349" i="5"/>
  <c r="X349" i="5"/>
  <c r="Y349" i="5" s="1"/>
  <c r="Z349" i="5"/>
  <c r="AA349" i="5" s="1"/>
  <c r="B350" i="5"/>
  <c r="G350" i="5"/>
  <c r="L350" i="5"/>
  <c r="R350" i="5"/>
  <c r="V350" i="5"/>
  <c r="W350" i="5" s="1"/>
  <c r="X350" i="5"/>
  <c r="Y350" i="5" s="1"/>
  <c r="Z350" i="5"/>
  <c r="AA350" i="5" s="1"/>
  <c r="B351" i="5"/>
  <c r="G351" i="5"/>
  <c r="L351" i="5"/>
  <c r="R351" i="5"/>
  <c r="V351" i="5"/>
  <c r="W351" i="5" s="1"/>
  <c r="X351" i="5"/>
  <c r="Y351" i="5" s="1"/>
  <c r="Z351" i="5"/>
  <c r="B352" i="5"/>
  <c r="G352" i="5"/>
  <c r="L352" i="5"/>
  <c r="R352" i="5"/>
  <c r="V352" i="5"/>
  <c r="W352" i="5" s="1"/>
  <c r="X352" i="5"/>
  <c r="Y352" i="5" s="1"/>
  <c r="Z352" i="5"/>
  <c r="AA352" i="5" s="1"/>
  <c r="B353" i="5"/>
  <c r="G353" i="5"/>
  <c r="L353" i="5"/>
  <c r="R353" i="5"/>
  <c r="V353" i="5"/>
  <c r="W353" i="5" s="1"/>
  <c r="X353" i="5"/>
  <c r="Y353" i="5" s="1"/>
  <c r="Z353" i="5"/>
  <c r="AB353" i="5" s="1"/>
  <c r="AC353" i="5" s="1"/>
  <c r="AA353" i="5"/>
  <c r="B354" i="5"/>
  <c r="G354" i="5"/>
  <c r="L354" i="5"/>
  <c r="R354" i="5"/>
  <c r="V354" i="5"/>
  <c r="W354" i="5" s="1"/>
  <c r="X354" i="5"/>
  <c r="Y354" i="5" s="1"/>
  <c r="Z354" i="5"/>
  <c r="AB354" i="5" s="1"/>
  <c r="AA354" i="5"/>
  <c r="B355" i="5"/>
  <c r="G355" i="5"/>
  <c r="L355" i="5"/>
  <c r="R355" i="5"/>
  <c r="V355" i="5"/>
  <c r="W355" i="5" s="1"/>
  <c r="X355" i="5"/>
  <c r="Y355" i="5" s="1"/>
  <c r="Z355" i="5"/>
  <c r="AA355" i="5" s="1"/>
  <c r="B356" i="5"/>
  <c r="G356" i="5"/>
  <c r="L356" i="5"/>
  <c r="R356" i="5"/>
  <c r="V356" i="5"/>
  <c r="W356" i="5" s="1"/>
  <c r="X356" i="5"/>
  <c r="Y356" i="5" s="1"/>
  <c r="Z356" i="5"/>
  <c r="AA356" i="5"/>
  <c r="AB356" i="5"/>
  <c r="AD356" i="5" s="1"/>
  <c r="AC356" i="5"/>
  <c r="B357" i="5"/>
  <c r="G357" i="5"/>
  <c r="L357" i="5"/>
  <c r="R357" i="5"/>
  <c r="V357" i="5"/>
  <c r="W357" i="5" s="1"/>
  <c r="X357" i="5"/>
  <c r="Y357" i="5"/>
  <c r="Z357" i="5"/>
  <c r="AB357" i="5" s="1"/>
  <c r="AD357" i="5" s="1"/>
  <c r="B358" i="5"/>
  <c r="G358" i="5"/>
  <c r="L358" i="5"/>
  <c r="R358" i="5"/>
  <c r="V358" i="5"/>
  <c r="W358" i="5" s="1"/>
  <c r="X358" i="5"/>
  <c r="Y358" i="5"/>
  <c r="Z358" i="5"/>
  <c r="AB358" i="5" s="1"/>
  <c r="AA358" i="5"/>
  <c r="B359" i="5"/>
  <c r="G359" i="5"/>
  <c r="L359" i="5"/>
  <c r="R359" i="5"/>
  <c r="V359" i="5"/>
  <c r="W359" i="5" s="1"/>
  <c r="X359" i="5"/>
  <c r="Y359" i="5" s="1"/>
  <c r="Z359" i="5"/>
  <c r="AA359" i="5" s="1"/>
  <c r="B360" i="5"/>
  <c r="G360" i="5"/>
  <c r="L360" i="5"/>
  <c r="R360" i="5"/>
  <c r="V360" i="5"/>
  <c r="W360" i="5" s="1"/>
  <c r="X360" i="5"/>
  <c r="Y360" i="5" s="1"/>
  <c r="Z360" i="5"/>
  <c r="B361" i="5"/>
  <c r="G361" i="5"/>
  <c r="L361" i="5"/>
  <c r="R361" i="5"/>
  <c r="V361" i="5"/>
  <c r="W361" i="5" s="1"/>
  <c r="X361" i="5"/>
  <c r="Y361" i="5" s="1"/>
  <c r="Z361" i="5"/>
  <c r="AB361" i="5" s="1"/>
  <c r="AC361" i="5" s="1"/>
  <c r="B362" i="5"/>
  <c r="G362" i="5"/>
  <c r="L362" i="5"/>
  <c r="R362" i="5"/>
  <c r="V362" i="5"/>
  <c r="W362" i="5" s="1"/>
  <c r="X362" i="5"/>
  <c r="Y362" i="5" s="1"/>
  <c r="Z362" i="5"/>
  <c r="B363" i="5"/>
  <c r="G363" i="5"/>
  <c r="L363" i="5"/>
  <c r="R363" i="5"/>
  <c r="V363" i="5"/>
  <c r="W363" i="5" s="1"/>
  <c r="X363" i="5"/>
  <c r="Y363" i="5" s="1"/>
  <c r="Z363" i="5"/>
  <c r="AA363" i="5"/>
  <c r="AB363" i="5"/>
  <c r="AD363" i="5" s="1"/>
  <c r="AC363" i="5"/>
  <c r="B364" i="5"/>
  <c r="G364" i="5"/>
  <c r="L364" i="5"/>
  <c r="R364" i="5"/>
  <c r="V364" i="5"/>
  <c r="W364" i="5" s="1"/>
  <c r="X364" i="5"/>
  <c r="Y364" i="5" s="1"/>
  <c r="Z364" i="5"/>
  <c r="B365" i="5"/>
  <c r="G365" i="5"/>
  <c r="L365" i="5"/>
  <c r="R365" i="5"/>
  <c r="V365" i="5"/>
  <c r="W365" i="5"/>
  <c r="X365" i="5"/>
  <c r="Y365" i="5" s="1"/>
  <c r="Z365" i="5"/>
  <c r="AA365" i="5" s="1"/>
  <c r="AB365" i="5"/>
  <c r="AC365" i="5" s="1"/>
  <c r="B366" i="5"/>
  <c r="G366" i="5"/>
  <c r="L366" i="5"/>
  <c r="R366" i="5"/>
  <c r="V366" i="5"/>
  <c r="W366" i="5" s="1"/>
  <c r="X366" i="5"/>
  <c r="Y366" i="5" s="1"/>
  <c r="Z366" i="5"/>
  <c r="AB366" i="5" s="1"/>
  <c r="AC366" i="5" s="1"/>
  <c r="B367" i="5"/>
  <c r="G367" i="5"/>
  <c r="L367" i="5"/>
  <c r="R367" i="5"/>
  <c r="V367" i="5"/>
  <c r="W367" i="5" s="1"/>
  <c r="X367" i="5"/>
  <c r="Y367" i="5"/>
  <c r="Z367" i="5"/>
  <c r="AB367" i="5" s="1"/>
  <c r="AA367" i="5"/>
  <c r="B368" i="5"/>
  <c r="G368" i="5"/>
  <c r="L368" i="5"/>
  <c r="R368" i="5"/>
  <c r="V368" i="5"/>
  <c r="W368" i="5" s="1"/>
  <c r="X368" i="5"/>
  <c r="Y368" i="5" s="1"/>
  <c r="Z368" i="5"/>
  <c r="AB368" i="5" s="1"/>
  <c r="AC368" i="5" s="1"/>
  <c r="B369" i="5"/>
  <c r="G369" i="5"/>
  <c r="L369" i="5"/>
  <c r="R369" i="5"/>
  <c r="V369" i="5"/>
  <c r="W369" i="5" s="1"/>
  <c r="X369" i="5"/>
  <c r="Y369" i="5" s="1"/>
  <c r="Z369" i="5"/>
  <c r="AA369" i="5" s="1"/>
  <c r="AB369" i="5"/>
  <c r="AC369" i="5" s="1"/>
  <c r="B370" i="5"/>
  <c r="G370" i="5"/>
  <c r="L370" i="5"/>
  <c r="R370" i="5"/>
  <c r="V370" i="5"/>
  <c r="W370" i="5" s="1"/>
  <c r="X370" i="5"/>
  <c r="Y370" i="5" s="1"/>
  <c r="Z370" i="5"/>
  <c r="AB370" i="5" s="1"/>
  <c r="B371" i="5"/>
  <c r="G371" i="5"/>
  <c r="L371" i="5"/>
  <c r="R371" i="5"/>
  <c r="V371" i="5"/>
  <c r="W371" i="5" s="1"/>
  <c r="X371" i="5"/>
  <c r="Y371" i="5" s="1"/>
  <c r="Z371" i="5"/>
  <c r="AA371" i="5" s="1"/>
  <c r="AB371" i="5"/>
  <c r="AC371" i="5" s="1"/>
  <c r="B372" i="5"/>
  <c r="G372" i="5"/>
  <c r="L372" i="5"/>
  <c r="R372" i="5"/>
  <c r="V372" i="5"/>
  <c r="W372" i="5"/>
  <c r="X372" i="5"/>
  <c r="Y372" i="5" s="1"/>
  <c r="Z372" i="5"/>
  <c r="B373" i="5"/>
  <c r="G373" i="5"/>
  <c r="L373" i="5"/>
  <c r="R373" i="5"/>
  <c r="V373" i="5"/>
  <c r="W373" i="5"/>
  <c r="X373" i="5"/>
  <c r="Y373" i="5" s="1"/>
  <c r="Z373" i="5"/>
  <c r="AB373" i="5" s="1"/>
  <c r="AC373" i="5" s="1"/>
  <c r="B374" i="5"/>
  <c r="G374" i="5"/>
  <c r="L374" i="5"/>
  <c r="R374" i="5"/>
  <c r="V374" i="5"/>
  <c r="W374" i="5" s="1"/>
  <c r="X374" i="5"/>
  <c r="Y374" i="5" s="1"/>
  <c r="Z374" i="5"/>
  <c r="AA374" i="5" s="1"/>
  <c r="B375" i="5"/>
  <c r="G375" i="5"/>
  <c r="L375" i="5"/>
  <c r="R375" i="5"/>
  <c r="V375" i="5"/>
  <c r="W375" i="5"/>
  <c r="X375" i="5"/>
  <c r="Y375" i="5" s="1"/>
  <c r="Z375" i="5"/>
  <c r="B376" i="5"/>
  <c r="G376" i="5"/>
  <c r="L376" i="5"/>
  <c r="R376" i="5"/>
  <c r="V376" i="5"/>
  <c r="W376" i="5" s="1"/>
  <c r="X376" i="5"/>
  <c r="Y376" i="5"/>
  <c r="Z376" i="5"/>
  <c r="AB376" i="5" s="1"/>
  <c r="AA376" i="5"/>
  <c r="B377" i="5"/>
  <c r="G377" i="5"/>
  <c r="L377" i="5"/>
  <c r="R377" i="5"/>
  <c r="V377" i="5"/>
  <c r="W377" i="5" s="1"/>
  <c r="X377" i="5"/>
  <c r="Y377" i="5" s="1"/>
  <c r="Z377" i="5"/>
  <c r="B378" i="5"/>
  <c r="G378" i="5"/>
  <c r="L378" i="5"/>
  <c r="R378" i="5"/>
  <c r="V378" i="5"/>
  <c r="W378" i="5" s="1"/>
  <c r="X378" i="5"/>
  <c r="Y378" i="5"/>
  <c r="Z378" i="5"/>
  <c r="AA378" i="5"/>
  <c r="AB378" i="5"/>
  <c r="AC378" i="5" s="1"/>
  <c r="B379" i="5"/>
  <c r="G379" i="5"/>
  <c r="L379" i="5"/>
  <c r="R379" i="5"/>
  <c r="V379" i="5"/>
  <c r="W379" i="5"/>
  <c r="X379" i="5"/>
  <c r="Y379" i="5" s="1"/>
  <c r="Z379" i="5"/>
  <c r="AB379" i="5" s="1"/>
  <c r="B380" i="5"/>
  <c r="G380" i="5"/>
  <c r="L380" i="5"/>
  <c r="R380" i="5"/>
  <c r="V380" i="5"/>
  <c r="W380" i="5" s="1"/>
  <c r="X380" i="5"/>
  <c r="Y380" i="5" s="1"/>
  <c r="Z380" i="5"/>
  <c r="AB380" i="5" s="1"/>
  <c r="B381" i="5"/>
  <c r="G381" i="5"/>
  <c r="L381" i="5"/>
  <c r="R381" i="5"/>
  <c r="V381" i="5"/>
  <c r="W381" i="5" s="1"/>
  <c r="X381" i="5"/>
  <c r="Y381" i="5" s="1"/>
  <c r="Z381" i="5"/>
  <c r="AA381" i="5"/>
  <c r="AB381" i="5"/>
  <c r="AC381" i="5"/>
  <c r="AD381" i="5"/>
  <c r="B382" i="5"/>
  <c r="G382" i="5"/>
  <c r="L382" i="5"/>
  <c r="R382" i="5"/>
  <c r="V382" i="5"/>
  <c r="W382" i="5"/>
  <c r="X382" i="5"/>
  <c r="Y382" i="5" s="1"/>
  <c r="Z382" i="5"/>
  <c r="AB382" i="5" s="1"/>
  <c r="AC382" i="5" s="1"/>
  <c r="B383" i="5"/>
  <c r="G383" i="5"/>
  <c r="L383" i="5"/>
  <c r="R383" i="5"/>
  <c r="V383" i="5"/>
  <c r="W383" i="5"/>
  <c r="X383" i="5"/>
  <c r="Y383" i="5" s="1"/>
  <c r="Z383" i="5"/>
  <c r="B384" i="5"/>
  <c r="G384" i="5"/>
  <c r="L384" i="5"/>
  <c r="R384" i="5"/>
  <c r="V384" i="5"/>
  <c r="W384" i="5" s="1"/>
  <c r="X384" i="5"/>
  <c r="Y384" i="5" s="1"/>
  <c r="Z384" i="5"/>
  <c r="AA384" i="5" s="1"/>
  <c r="B385" i="5"/>
  <c r="G385" i="5"/>
  <c r="L385" i="5"/>
  <c r="R385" i="5"/>
  <c r="V385" i="5"/>
  <c r="W385" i="5" s="1"/>
  <c r="X385" i="5"/>
  <c r="Y385" i="5" s="1"/>
  <c r="Z385" i="5"/>
  <c r="AB385" i="5" s="1"/>
  <c r="B386" i="5"/>
  <c r="G386" i="5"/>
  <c r="L386" i="5"/>
  <c r="R386" i="5"/>
  <c r="V386" i="5"/>
  <c r="W386" i="5"/>
  <c r="X386" i="5"/>
  <c r="Y386" i="5" s="1"/>
  <c r="Z386" i="5"/>
  <c r="B387" i="5"/>
  <c r="G387" i="5"/>
  <c r="L387" i="5"/>
  <c r="R387" i="5"/>
  <c r="V387" i="5"/>
  <c r="W387" i="5"/>
  <c r="X387" i="5"/>
  <c r="Y387" i="5" s="1"/>
  <c r="Z387" i="5"/>
  <c r="B388" i="5"/>
  <c r="G388" i="5"/>
  <c r="L388" i="5"/>
  <c r="R388" i="5"/>
  <c r="V388" i="5"/>
  <c r="W388" i="5" s="1"/>
  <c r="X388" i="5"/>
  <c r="Y388" i="5" s="1"/>
  <c r="Z388" i="5"/>
  <c r="AA388" i="5" s="1"/>
  <c r="B389" i="5"/>
  <c r="G389" i="5"/>
  <c r="L389" i="5"/>
  <c r="R389" i="5"/>
  <c r="V389" i="5"/>
  <c r="W389" i="5" s="1"/>
  <c r="X389" i="5"/>
  <c r="Y389" i="5" s="1"/>
  <c r="Z389" i="5"/>
  <c r="AA389" i="5" s="1"/>
  <c r="B390" i="5"/>
  <c r="G390" i="5"/>
  <c r="L390" i="5"/>
  <c r="R390" i="5"/>
  <c r="V390" i="5"/>
  <c r="W390" i="5"/>
  <c r="X390" i="5"/>
  <c r="Y390" i="5" s="1"/>
  <c r="Z390" i="5"/>
  <c r="AA390" i="5"/>
  <c r="AB390" i="5"/>
  <c r="AD390" i="5" s="1"/>
  <c r="AC390" i="5"/>
  <c r="AD159" i="5" l="1"/>
  <c r="AC159" i="5"/>
  <c r="AD225" i="5"/>
  <c r="AC225" i="5"/>
  <c r="AD130" i="5"/>
  <c r="AC130" i="5"/>
  <c r="AE130" i="5" s="1"/>
  <c r="AF130" i="5" s="1"/>
  <c r="AD376" i="5"/>
  <c r="AC376" i="5"/>
  <c r="AE376" i="5" s="1"/>
  <c r="AF376" i="5" s="1"/>
  <c r="AD335" i="5"/>
  <c r="AC335" i="5"/>
  <c r="AE335" i="5" s="1"/>
  <c r="AF335" i="5" s="1"/>
  <c r="AD378" i="5"/>
  <c r="AE378" i="5" s="1"/>
  <c r="AF378" i="5" s="1"/>
  <c r="AC316" i="5"/>
  <c r="AB253" i="5"/>
  <c r="AB181" i="5"/>
  <c r="AB171" i="5"/>
  <c r="AC345" i="5"/>
  <c r="AE345" i="5" s="1"/>
  <c r="AF345" i="5" s="1"/>
  <c r="AA316" i="5"/>
  <c r="AD288" i="5"/>
  <c r="AE288" i="5" s="1"/>
  <c r="AF288" i="5" s="1"/>
  <c r="AA219" i="5"/>
  <c r="AA204" i="5"/>
  <c r="AB145" i="5"/>
  <c r="AD145" i="5" s="1"/>
  <c r="AB138" i="5"/>
  <c r="AD138" i="5" s="1"/>
  <c r="AB133" i="5"/>
  <c r="AC133" i="5" s="1"/>
  <c r="AA52" i="5"/>
  <c r="AA23" i="5"/>
  <c r="AB340" i="5"/>
  <c r="AB333" i="5"/>
  <c r="AD285" i="5"/>
  <c r="AB208" i="5"/>
  <c r="AE30" i="5"/>
  <c r="AF30" i="5" s="1"/>
  <c r="AA373" i="5"/>
  <c r="AD365" i="5"/>
  <c r="AE365" i="5" s="1"/>
  <c r="AF365" i="5" s="1"/>
  <c r="AD278" i="5"/>
  <c r="AA263" i="5"/>
  <c r="AA247" i="5"/>
  <c r="AB193" i="5"/>
  <c r="AC175" i="5"/>
  <c r="AE175" i="5" s="1"/>
  <c r="AF175" i="5" s="1"/>
  <c r="AA168" i="5"/>
  <c r="AA122" i="5"/>
  <c r="AD107" i="5"/>
  <c r="AA104" i="5"/>
  <c r="AB91" i="5"/>
  <c r="AC75" i="5"/>
  <c r="AE75" i="5" s="1"/>
  <c r="AF75" i="5" s="1"/>
  <c r="AA38" i="5"/>
  <c r="AB14" i="5"/>
  <c r="AC14" i="5" s="1"/>
  <c r="AB48" i="5"/>
  <c r="AC48" i="5" s="1"/>
  <c r="AB344" i="5"/>
  <c r="AC344" i="5" s="1"/>
  <c r="AB56" i="5"/>
  <c r="AC56" i="5" s="1"/>
  <c r="AA302" i="5"/>
  <c r="AB233" i="5"/>
  <c r="AA187" i="5"/>
  <c r="AC172" i="5"/>
  <c r="AE172" i="5" s="1"/>
  <c r="AF172" i="5" s="1"/>
  <c r="AA327" i="5"/>
  <c r="AB322" i="5"/>
  <c r="AD322" i="5" s="1"/>
  <c r="AB289" i="5"/>
  <c r="AA267" i="5"/>
  <c r="AA144" i="5"/>
  <c r="AE144" i="5" s="1"/>
  <c r="AF144" i="5" s="1"/>
  <c r="AA134" i="5"/>
  <c r="AC69" i="5"/>
  <c r="AE69" i="5" s="1"/>
  <c r="AF69" i="5" s="1"/>
  <c r="AB167" i="5"/>
  <c r="AB157" i="5"/>
  <c r="AD129" i="5"/>
  <c r="AA13" i="5"/>
  <c r="AE356" i="5"/>
  <c r="AF356" i="5" s="1"/>
  <c r="AE348" i="5"/>
  <c r="AF348" i="5" s="1"/>
  <c r="AB284" i="5"/>
  <c r="AB189" i="5"/>
  <c r="AB21" i="5"/>
  <c r="AD21" i="5" s="1"/>
  <c r="AB389" i="5"/>
  <c r="AD329" i="5"/>
  <c r="AA324" i="5"/>
  <c r="AB314" i="5"/>
  <c r="AC314" i="5" s="1"/>
  <c r="AB100" i="5"/>
  <c r="AC100" i="5" s="1"/>
  <c r="AB374" i="5"/>
  <c r="AC123" i="5"/>
  <c r="AE123" i="5" s="1"/>
  <c r="AF123" i="5" s="1"/>
  <c r="AB39" i="5"/>
  <c r="AB350" i="5"/>
  <c r="AA306" i="5"/>
  <c r="AB301" i="5"/>
  <c r="AD301" i="5" s="1"/>
  <c r="AB296" i="5"/>
  <c r="AC296" i="5" s="1"/>
  <c r="AD281" i="5"/>
  <c r="AE281" i="5" s="1"/>
  <c r="AF281" i="5" s="1"/>
  <c r="AB271" i="5"/>
  <c r="AC271" i="5" s="1"/>
  <c r="AA240" i="5"/>
  <c r="AC199" i="5"/>
  <c r="AB164" i="5"/>
  <c r="AA123" i="5"/>
  <c r="AA7" i="5"/>
  <c r="AD240" i="5"/>
  <c r="AC240" i="5"/>
  <c r="AE46" i="5"/>
  <c r="AF46" i="5" s="1"/>
  <c r="AD323" i="5"/>
  <c r="AC323" i="5"/>
  <c r="AE323" i="5" s="1"/>
  <c r="AF323" i="5" s="1"/>
  <c r="AD313" i="5"/>
  <c r="AC313" i="5"/>
  <c r="AE313" i="5" s="1"/>
  <c r="AF313" i="5" s="1"/>
  <c r="AC247" i="5"/>
  <c r="AD247" i="5"/>
  <c r="AC168" i="5"/>
  <c r="AD168" i="5"/>
  <c r="AC152" i="5"/>
  <c r="AD152" i="5"/>
  <c r="AC302" i="5"/>
  <c r="AE302" i="5" s="1"/>
  <c r="AF302" i="5" s="1"/>
  <c r="AD302" i="5"/>
  <c r="AC187" i="5"/>
  <c r="AE187" i="5" s="1"/>
  <c r="AF187" i="5" s="1"/>
  <c r="AD187" i="5"/>
  <c r="AC282" i="5"/>
  <c r="AD282" i="5"/>
  <c r="AD267" i="5"/>
  <c r="AC267" i="5"/>
  <c r="AD212" i="5"/>
  <c r="AC212" i="5"/>
  <c r="AC269" i="5"/>
  <c r="AD269" i="5"/>
  <c r="AC222" i="5"/>
  <c r="AD222" i="5"/>
  <c r="AD294" i="5"/>
  <c r="AB16" i="5"/>
  <c r="AC16" i="5" s="1"/>
  <c r="AD353" i="5"/>
  <c r="AE353" i="5" s="1"/>
  <c r="AF353" i="5" s="1"/>
  <c r="AB338" i="5"/>
  <c r="AB321" i="5"/>
  <c r="AD251" i="5"/>
  <c r="AE251" i="5" s="1"/>
  <c r="AF251" i="5" s="1"/>
  <c r="AD249" i="5"/>
  <c r="AE249" i="5" s="1"/>
  <c r="AF249" i="5" s="1"/>
  <c r="AB228" i="5"/>
  <c r="AC228" i="5" s="1"/>
  <c r="AB388" i="5"/>
  <c r="AA294" i="5"/>
  <c r="AA235" i="5"/>
  <c r="AC230" i="5"/>
  <c r="AE230" i="5" s="1"/>
  <c r="AF230" i="5" s="1"/>
  <c r="AB200" i="5"/>
  <c r="AD200" i="5" s="1"/>
  <c r="AB150" i="5"/>
  <c r="AB128" i="5"/>
  <c r="AB118" i="5"/>
  <c r="AB84" i="5"/>
  <c r="AB18" i="5"/>
  <c r="AD344" i="5"/>
  <c r="AB312" i="5"/>
  <c r="AB291" i="5"/>
  <c r="AD291" i="5" s="1"/>
  <c r="AD287" i="5"/>
  <c r="AC283" i="5"/>
  <c r="AB202" i="5"/>
  <c r="AD202" i="5" s="1"/>
  <c r="AB95" i="5"/>
  <c r="AD81" i="5"/>
  <c r="AE81" i="5" s="1"/>
  <c r="AF81" i="5" s="1"/>
  <c r="AB54" i="5"/>
  <c r="AD42" i="5"/>
  <c r="AE42" i="5" s="1"/>
  <c r="AF42" i="5" s="1"/>
  <c r="AA385" i="5"/>
  <c r="AA380" i="5"/>
  <c r="AA357" i="5"/>
  <c r="AD307" i="5"/>
  <c r="AA283" i="5"/>
  <c r="AA242" i="5"/>
  <c r="AB237" i="5"/>
  <c r="AC237" i="5" s="1"/>
  <c r="AA192" i="5"/>
  <c r="AA180" i="5"/>
  <c r="AD173" i="5"/>
  <c r="AE173" i="5" s="1"/>
  <c r="AF173" i="5" s="1"/>
  <c r="AD143" i="5"/>
  <c r="AE143" i="5" s="1"/>
  <c r="AF143" i="5" s="1"/>
  <c r="AC32" i="5"/>
  <c r="AE32" i="5" s="1"/>
  <c r="AF32" i="5" s="1"/>
  <c r="AA5" i="5"/>
  <c r="AB359" i="5"/>
  <c r="AA320" i="5"/>
  <c r="AA293" i="5"/>
  <c r="AC196" i="5"/>
  <c r="AE196" i="5" s="1"/>
  <c r="AF196" i="5" s="1"/>
  <c r="AA151" i="5"/>
  <c r="AA147" i="5"/>
  <c r="AE147" i="5" s="1"/>
  <c r="AF147" i="5" s="1"/>
  <c r="AC138" i="5"/>
  <c r="AE138" i="5" s="1"/>
  <c r="AF138" i="5" s="1"/>
  <c r="AA61" i="5"/>
  <c r="AB210" i="5"/>
  <c r="AC210" i="5" s="1"/>
  <c r="AD46" i="5"/>
  <c r="AD373" i="5"/>
  <c r="AA366" i="5"/>
  <c r="AA361" i="5"/>
  <c r="AB352" i="5"/>
  <c r="AB252" i="5"/>
  <c r="AA250" i="5"/>
  <c r="AA248" i="5"/>
  <c r="AB244" i="5"/>
  <c r="AB229" i="5"/>
  <c r="AD229" i="5" s="1"/>
  <c r="AA149" i="5"/>
  <c r="AE149" i="5" s="1"/>
  <c r="AF149" i="5" s="1"/>
  <c r="AC131" i="5"/>
  <c r="AE131" i="5" s="1"/>
  <c r="AF131" i="5" s="1"/>
  <c r="AA107" i="5"/>
  <c r="AC17" i="5"/>
  <c r="AE17" i="5" s="1"/>
  <c r="AF17" i="5" s="1"/>
  <c r="AD368" i="5"/>
  <c r="AA379" i="5"/>
  <c r="AD330" i="5"/>
  <c r="AB304" i="5"/>
  <c r="AB297" i="5"/>
  <c r="AD297" i="5" s="1"/>
  <c r="AA231" i="5"/>
  <c r="AD133" i="5"/>
  <c r="AE133" i="5" s="1"/>
  <c r="AF133" i="5" s="1"/>
  <c r="AB92" i="5"/>
  <c r="AB90" i="5"/>
  <c r="AB78" i="5"/>
  <c r="AC78" i="5" s="1"/>
  <c r="AD48" i="5"/>
  <c r="AE48" i="5" s="1"/>
  <c r="AF48" i="5" s="1"/>
  <c r="AA36" i="5"/>
  <c r="AD24" i="5"/>
  <c r="AE24" i="5" s="1"/>
  <c r="AF24" i="5" s="1"/>
  <c r="AA368" i="5"/>
  <c r="AB328" i="5"/>
  <c r="AB326" i="5"/>
  <c r="AC286" i="5"/>
  <c r="AA275" i="5"/>
  <c r="AC270" i="5"/>
  <c r="AE270" i="5" s="1"/>
  <c r="AF270" i="5" s="1"/>
  <c r="AB264" i="5"/>
  <c r="AD217" i="5"/>
  <c r="AA191" i="5"/>
  <c r="AC179" i="5"/>
  <c r="AE179" i="5" s="1"/>
  <c r="AF179" i="5" s="1"/>
  <c r="AA94" i="5"/>
  <c r="AC80" i="5"/>
  <c r="AE80" i="5" s="1"/>
  <c r="AF80" i="5" s="1"/>
  <c r="AD73" i="5"/>
  <c r="AE73" i="5" s="1"/>
  <c r="AF73" i="5" s="1"/>
  <c r="AC53" i="5"/>
  <c r="AE53" i="5" s="1"/>
  <c r="AF53" i="5" s="1"/>
  <c r="AE165" i="5"/>
  <c r="AF165" i="5" s="1"/>
  <c r="AC108" i="5"/>
  <c r="AD108" i="5"/>
  <c r="AE319" i="5"/>
  <c r="AF319" i="5" s="1"/>
  <c r="AE318" i="5"/>
  <c r="AF318" i="5" s="1"/>
  <c r="AD382" i="5"/>
  <c r="AD241" i="5"/>
  <c r="AB355" i="5"/>
  <c r="AD355" i="5" s="1"/>
  <c r="AB261" i="5"/>
  <c r="AD261" i="5" s="1"/>
  <c r="AD234" i="5"/>
  <c r="AE225" i="5"/>
  <c r="AF225" i="5" s="1"/>
  <c r="AB83" i="5"/>
  <c r="AD59" i="5"/>
  <c r="AA382" i="5"/>
  <c r="AA298" i="5"/>
  <c r="AE298" i="5" s="1"/>
  <c r="AF298" i="5" s="1"/>
  <c r="AA241" i="5"/>
  <c r="AA234" i="5"/>
  <c r="AB223" i="5"/>
  <c r="AB190" i="5"/>
  <c r="AD190" i="5" s="1"/>
  <c r="AB64" i="5"/>
  <c r="AA59" i="5"/>
  <c r="AB384" i="5"/>
  <c r="AD371" i="5"/>
  <c r="AE371" i="5" s="1"/>
  <c r="AF371" i="5" s="1"/>
  <c r="AB309" i="5"/>
  <c r="AB140" i="5"/>
  <c r="AC140" i="5" s="1"/>
  <c r="AB127" i="5"/>
  <c r="AC127" i="5" s="1"/>
  <c r="AC115" i="5"/>
  <c r="AD87" i="5"/>
  <c r="AE87" i="5" s="1"/>
  <c r="AF87" i="5" s="1"/>
  <c r="AB26" i="5"/>
  <c r="AD26" i="5" s="1"/>
  <c r="AC315" i="5"/>
  <c r="AE315" i="5" s="1"/>
  <c r="AF315" i="5" s="1"/>
  <c r="AA236" i="5"/>
  <c r="AB218" i="5"/>
  <c r="AC218" i="5" s="1"/>
  <c r="AC204" i="5"/>
  <c r="AC202" i="5"/>
  <c r="AE202" i="5" s="1"/>
  <c r="AF202" i="5" s="1"/>
  <c r="AC185" i="5"/>
  <c r="AE185" i="5" s="1"/>
  <c r="AF185" i="5" s="1"/>
  <c r="AA163" i="5"/>
  <c r="AA115" i="5"/>
  <c r="AB113" i="5"/>
  <c r="AB47" i="5"/>
  <c r="AC47" i="5" s="1"/>
  <c r="AA45" i="5"/>
  <c r="AC379" i="5"/>
  <c r="AD379" i="5"/>
  <c r="AA273" i="5"/>
  <c r="AA243" i="5"/>
  <c r="AB243" i="5"/>
  <c r="AD236" i="5"/>
  <c r="AC236" i="5"/>
  <c r="AC137" i="5"/>
  <c r="AE137" i="5" s="1"/>
  <c r="AF137" i="5" s="1"/>
  <c r="AB98" i="5"/>
  <c r="AD98" i="5" s="1"/>
  <c r="AA98" i="5"/>
  <c r="AC43" i="5"/>
  <c r="AE43" i="5" s="1"/>
  <c r="AF43" i="5" s="1"/>
  <c r="AD13" i="5"/>
  <c r="AC13" i="5"/>
  <c r="AA387" i="5"/>
  <c r="AB387" i="5"/>
  <c r="AC387" i="5" s="1"/>
  <c r="AA370" i="5"/>
  <c r="AC305" i="5"/>
  <c r="AD305" i="5"/>
  <c r="AD275" i="5"/>
  <c r="AB89" i="5"/>
  <c r="AB41" i="5"/>
  <c r="AA41" i="5"/>
  <c r="AA265" i="5"/>
  <c r="AB265" i="5"/>
  <c r="AA50" i="5"/>
  <c r="AB50" i="5"/>
  <c r="AE363" i="5"/>
  <c r="AF363" i="5" s="1"/>
  <c r="AB37" i="5"/>
  <c r="AA37" i="5"/>
  <c r="AB72" i="5"/>
  <c r="AD72" i="5" s="1"/>
  <c r="AA72" i="5"/>
  <c r="AC184" i="5"/>
  <c r="AD184" i="5"/>
  <c r="AB79" i="5"/>
  <c r="AC79" i="5" s="1"/>
  <c r="AA79" i="5"/>
  <c r="AB6" i="5"/>
  <c r="AC263" i="5"/>
  <c r="AD263" i="5"/>
  <c r="AB277" i="5"/>
  <c r="AA277" i="5"/>
  <c r="AA153" i="5"/>
  <c r="AB153" i="5"/>
  <c r="AC311" i="5"/>
  <c r="AD311" i="5"/>
  <c r="AE224" i="5"/>
  <c r="AF224" i="5" s="1"/>
  <c r="AC7" i="5"/>
  <c r="AD7" i="5"/>
  <c r="AD246" i="5"/>
  <c r="AC246" i="5"/>
  <c r="AA28" i="5"/>
  <c r="AB28" i="5"/>
  <c r="AA232" i="5"/>
  <c r="AB232" i="5"/>
  <c r="AB383" i="5"/>
  <c r="AA383" i="5"/>
  <c r="AC385" i="5"/>
  <c r="AD385" i="5"/>
  <c r="AC273" i="5"/>
  <c r="AD273" i="5"/>
  <c r="AC190" i="5"/>
  <c r="AA372" i="5"/>
  <c r="AB372" i="5"/>
  <c r="AD219" i="5"/>
  <c r="AC219" i="5"/>
  <c r="AD70" i="5"/>
  <c r="AC70" i="5"/>
  <c r="AC298" i="5"/>
  <c r="AD298" i="5"/>
  <c r="AC134" i="5"/>
  <c r="AD134" i="5"/>
  <c r="AA109" i="5"/>
  <c r="AB109" i="5"/>
  <c r="AE390" i="5"/>
  <c r="AF390" i="5" s="1"/>
  <c r="AA254" i="5"/>
  <c r="AB254" i="5"/>
  <c r="AA182" i="5"/>
  <c r="AB182" i="5"/>
  <c r="AA299" i="5"/>
  <c r="AB299" i="5"/>
  <c r="AE381" i="5"/>
  <c r="AF381" i="5" s="1"/>
  <c r="AA186" i="5"/>
  <c r="AB186" i="5"/>
  <c r="AE135" i="5"/>
  <c r="AF135" i="5" s="1"/>
  <c r="AC8" i="5"/>
  <c r="AD8" i="5"/>
  <c r="AC370" i="5"/>
  <c r="AD370" i="5"/>
  <c r="AA238" i="5"/>
  <c r="AB238" i="5"/>
  <c r="AC238" i="5" s="1"/>
  <c r="AE329" i="5"/>
  <c r="AF329" i="5" s="1"/>
  <c r="AA197" i="5"/>
  <c r="AB197" i="5"/>
  <c r="AC45" i="5"/>
  <c r="AD45" i="5"/>
  <c r="AE325" i="5"/>
  <c r="AF325" i="5" s="1"/>
  <c r="AB68" i="5"/>
  <c r="AA68" i="5"/>
  <c r="AD5" i="5"/>
  <c r="AC5" i="5"/>
  <c r="AD337" i="5"/>
  <c r="AC337" i="5"/>
  <c r="AC367" i="5"/>
  <c r="AD367" i="5"/>
  <c r="AC357" i="5"/>
  <c r="AE357" i="5" s="1"/>
  <c r="AF357" i="5" s="1"/>
  <c r="AB77" i="5"/>
  <c r="AD77" i="5" s="1"/>
  <c r="AC160" i="5"/>
  <c r="AD160" i="5"/>
  <c r="AC122" i="5"/>
  <c r="AD122" i="5"/>
  <c r="AA375" i="5"/>
  <c r="AB375" i="5"/>
  <c r="AD10" i="5"/>
  <c r="AC10" i="5"/>
  <c r="AE308" i="5"/>
  <c r="AF308" i="5" s="1"/>
  <c r="AD300" i="5"/>
  <c r="AE300" i="5" s="1"/>
  <c r="AF300" i="5" s="1"/>
  <c r="AD290" i="5"/>
  <c r="AE290" i="5" s="1"/>
  <c r="AF290" i="5" s="1"/>
  <c r="AB76" i="5"/>
  <c r="AD76" i="5" s="1"/>
  <c r="AD292" i="5"/>
  <c r="AE292" i="5" s="1"/>
  <c r="AF292" i="5" s="1"/>
  <c r="AC272" i="5"/>
  <c r="AE272" i="5" s="1"/>
  <c r="AF272" i="5" s="1"/>
  <c r="AB227" i="5"/>
  <c r="AA227" i="5"/>
  <c r="AB82" i="5"/>
  <c r="AC82" i="5" s="1"/>
  <c r="AD78" i="5"/>
  <c r="AA174" i="5"/>
  <c r="AB174" i="5"/>
  <c r="AB55" i="5"/>
  <c r="AA55" i="5"/>
  <c r="AD29" i="5"/>
  <c r="AC29" i="5"/>
  <c r="AE29" i="5" s="1"/>
  <c r="AF29" i="5" s="1"/>
  <c r="AA317" i="5"/>
  <c r="AB317" i="5"/>
  <c r="AD27" i="5"/>
  <c r="AC27" i="5"/>
  <c r="AE278" i="5"/>
  <c r="AF278" i="5" s="1"/>
  <c r="AD142" i="5"/>
  <c r="AC142" i="5"/>
  <c r="AA40" i="5"/>
  <c r="AB40" i="5"/>
  <c r="AC389" i="5"/>
  <c r="AD389" i="5"/>
  <c r="AE307" i="5"/>
  <c r="AF307" i="5" s="1"/>
  <c r="AA178" i="5"/>
  <c r="AB178" i="5"/>
  <c r="AE203" i="5"/>
  <c r="AF203" i="5" s="1"/>
  <c r="AC260" i="5"/>
  <c r="AD260" i="5"/>
  <c r="AA332" i="5"/>
  <c r="AB332" i="5"/>
  <c r="AC114" i="5"/>
  <c r="AD114" i="5"/>
  <c r="AC23" i="5"/>
  <c r="AD23" i="5"/>
  <c r="AC94" i="5"/>
  <c r="AD94" i="5"/>
  <c r="AA262" i="5"/>
  <c r="AB262" i="5"/>
  <c r="AD262" i="5" s="1"/>
  <c r="AE286" i="5"/>
  <c r="AF286" i="5" s="1"/>
  <c r="AC231" i="5"/>
  <c r="AD231" i="5"/>
  <c r="AA360" i="5"/>
  <c r="AB360" i="5"/>
  <c r="AA101" i="5"/>
  <c r="AB101" i="5"/>
  <c r="AD101" i="5" s="1"/>
  <c r="AA362" i="5"/>
  <c r="AB362" i="5"/>
  <c r="AE347" i="5"/>
  <c r="AF347" i="5" s="1"/>
  <c r="AB258" i="5"/>
  <c r="AA217" i="5"/>
  <c r="AB215" i="5"/>
  <c r="AB201" i="5"/>
  <c r="AC201" i="5" s="1"/>
  <c r="AB158" i="5"/>
  <c r="AC158" i="5" s="1"/>
  <c r="AA124" i="5"/>
  <c r="AA103" i="5"/>
  <c r="AE103" i="5" s="1"/>
  <c r="AF103" i="5" s="1"/>
  <c r="AB25" i="5"/>
  <c r="AC25" i="5" s="1"/>
  <c r="AC293" i="5"/>
  <c r="AD293" i="5"/>
  <c r="AD163" i="5"/>
  <c r="AC163" i="5"/>
  <c r="AD99" i="5"/>
  <c r="AC99" i="5"/>
  <c r="AD324" i="5"/>
  <c r="AC324" i="5"/>
  <c r="AC180" i="5"/>
  <c r="AD180" i="5"/>
  <c r="AD61" i="5"/>
  <c r="AC61" i="5"/>
  <c r="AB310" i="5"/>
  <c r="AD151" i="5"/>
  <c r="AC120" i="5"/>
  <c r="AE120" i="5" s="1"/>
  <c r="AF120" i="5" s="1"/>
  <c r="AC97" i="5"/>
  <c r="AE97" i="5" s="1"/>
  <c r="AF97" i="5" s="1"/>
  <c r="AC52" i="5"/>
  <c r="AE52" i="5" s="1"/>
  <c r="AF52" i="5" s="1"/>
  <c r="AC354" i="5"/>
  <c r="AD354" i="5"/>
  <c r="AD146" i="5"/>
  <c r="AC146" i="5"/>
  <c r="AE146" i="5" s="1"/>
  <c r="AF146" i="5" s="1"/>
  <c r="AC111" i="5"/>
  <c r="AD111" i="5"/>
  <c r="AD9" i="5"/>
  <c r="AC9" i="5"/>
  <c r="AE9" i="5" s="1"/>
  <c r="AF9" i="5" s="1"/>
  <c r="AC380" i="5"/>
  <c r="AD380" i="5"/>
  <c r="AC320" i="5"/>
  <c r="AD320" i="5"/>
  <c r="AA34" i="5"/>
  <c r="AB34" i="5"/>
  <c r="AA303" i="5"/>
  <c r="AB303" i="5"/>
  <c r="AA20" i="5"/>
  <c r="AB20" i="5"/>
  <c r="AC235" i="5"/>
  <c r="AD235" i="5"/>
  <c r="AA351" i="5"/>
  <c r="AB351" i="5"/>
  <c r="AE247" i="5"/>
  <c r="AF247" i="5" s="1"/>
  <c r="AC162" i="5"/>
  <c r="AD162" i="5"/>
  <c r="AA154" i="5"/>
  <c r="AB154" i="5"/>
  <c r="AA129" i="5"/>
  <c r="AC121" i="5"/>
  <c r="AE121" i="5" s="1"/>
  <c r="AF121" i="5" s="1"/>
  <c r="AA51" i="5"/>
  <c r="AB51" i="5"/>
  <c r="AC35" i="5"/>
  <c r="AE35" i="5" s="1"/>
  <c r="AF35" i="5" s="1"/>
  <c r="AE33" i="5"/>
  <c r="AF33" i="5" s="1"/>
  <c r="AA377" i="5"/>
  <c r="AB377" i="5"/>
  <c r="AC139" i="5"/>
  <c r="AD139" i="5"/>
  <c r="AE139" i="5" s="1"/>
  <c r="AF139" i="5" s="1"/>
  <c r="AA132" i="5"/>
  <c r="AB132" i="5"/>
  <c r="AA11" i="5"/>
  <c r="AB11" i="5"/>
  <c r="AC274" i="5"/>
  <c r="AD274" i="5"/>
  <c r="AC191" i="5"/>
  <c r="AD191" i="5"/>
  <c r="AC214" i="5"/>
  <c r="AD214" i="5"/>
  <c r="AC60" i="5"/>
  <c r="AD60" i="5"/>
  <c r="AD248" i="5"/>
  <c r="AC248" i="5"/>
  <c r="AC206" i="5"/>
  <c r="AD206" i="5"/>
  <c r="AE159" i="5"/>
  <c r="AF159" i="5" s="1"/>
  <c r="AC36" i="5"/>
  <c r="AD36" i="5"/>
  <c r="AD239" i="5"/>
  <c r="AC239" i="5"/>
  <c r="AE239" i="5" s="1"/>
  <c r="AF239" i="5" s="1"/>
  <c r="AB256" i="5"/>
  <c r="AA256" i="5"/>
  <c r="AA71" i="5"/>
  <c r="AB71" i="5"/>
  <c r="AA194" i="5"/>
  <c r="AB194" i="5"/>
  <c r="AC104" i="5"/>
  <c r="AD104" i="5"/>
  <c r="AA67" i="5"/>
  <c r="AB67" i="5"/>
  <c r="AC112" i="5"/>
  <c r="AD112" i="5"/>
  <c r="AA166" i="5"/>
  <c r="AB166" i="5"/>
  <c r="AC358" i="5"/>
  <c r="AD358" i="5"/>
  <c r="AE205" i="5"/>
  <c r="AF205" i="5" s="1"/>
  <c r="AA156" i="5"/>
  <c r="AB156" i="5"/>
  <c r="AA49" i="5"/>
  <c r="AB49" i="5"/>
  <c r="AA31" i="5"/>
  <c r="AB31" i="5"/>
  <c r="AE287" i="5"/>
  <c r="AF287" i="5" s="1"/>
  <c r="AB259" i="5"/>
  <c r="AD238" i="5"/>
  <c r="AE238" i="5" s="1"/>
  <c r="AF238" i="5" s="1"/>
  <c r="AC125" i="5"/>
  <c r="AD125" i="5"/>
  <c r="AA96" i="5"/>
  <c r="AB96" i="5"/>
  <c r="AC295" i="5"/>
  <c r="AD295" i="5"/>
  <c r="AE334" i="5"/>
  <c r="AF334" i="5" s="1"/>
  <c r="AA105" i="5"/>
  <c r="AB105" i="5"/>
  <c r="AA364" i="5"/>
  <c r="AB364" i="5"/>
  <c r="AA161" i="5"/>
  <c r="AB161" i="5"/>
  <c r="AE330" i="5"/>
  <c r="AF330" i="5" s="1"/>
  <c r="AC124" i="5"/>
  <c r="AD124" i="5"/>
  <c r="AA279" i="5"/>
  <c r="AB279" i="5"/>
  <c r="AA331" i="5"/>
  <c r="AB331" i="5"/>
  <c r="AE294" i="5"/>
  <c r="AF294" i="5" s="1"/>
  <c r="AA177" i="5"/>
  <c r="AB177" i="5"/>
  <c r="AB136" i="5"/>
  <c r="AA136" i="5"/>
  <c r="AD141" i="5"/>
  <c r="AC141" i="5"/>
  <c r="AB349" i="5"/>
  <c r="AB346" i="5"/>
  <c r="AB343" i="5"/>
  <c r="AD341" i="5"/>
  <c r="AE341" i="5" s="1"/>
  <c r="AF341" i="5" s="1"/>
  <c r="AD327" i="5"/>
  <c r="AD280" i="5"/>
  <c r="AE280" i="5" s="1"/>
  <c r="AF280" i="5" s="1"/>
  <c r="AB257" i="5"/>
  <c r="AD85" i="5"/>
  <c r="AC19" i="5"/>
  <c r="AD19" i="5"/>
  <c r="AD169" i="5"/>
  <c r="AC169" i="5"/>
  <c r="AA221" i="5"/>
  <c r="AB221" i="5"/>
  <c r="AC65" i="5"/>
  <c r="AD65" i="5"/>
  <c r="AC170" i="5"/>
  <c r="AD170" i="5"/>
  <c r="AC306" i="5"/>
  <c r="AD306" i="5"/>
  <c r="AC209" i="5"/>
  <c r="AD209" i="5"/>
  <c r="AD12" i="5"/>
  <c r="AE12" i="5" s="1"/>
  <c r="AF12" i="5" s="1"/>
  <c r="AA198" i="5"/>
  <c r="AB198" i="5"/>
  <c r="AA386" i="5"/>
  <c r="AB386" i="5"/>
  <c r="AA110" i="5"/>
  <c r="AB110" i="5"/>
  <c r="AA106" i="5"/>
  <c r="AB106" i="5"/>
  <c r="AE285" i="5"/>
  <c r="AF285" i="5" s="1"/>
  <c r="AD369" i="5"/>
  <c r="AE369" i="5" s="1"/>
  <c r="AF369" i="5" s="1"/>
  <c r="AD366" i="5"/>
  <c r="AE366" i="5" s="1"/>
  <c r="AF366" i="5" s="1"/>
  <c r="AD361" i="5"/>
  <c r="AE361" i="5" s="1"/>
  <c r="AF361" i="5" s="1"/>
  <c r="AE266" i="5"/>
  <c r="AF266" i="5" s="1"/>
  <c r="AB195" i="5"/>
  <c r="AA195" i="5"/>
  <c r="AA85" i="5"/>
  <c r="AA66" i="5"/>
  <c r="AB66" i="5"/>
  <c r="AA60" i="5"/>
  <c r="AC21" i="5"/>
  <c r="AE21" i="5" s="1"/>
  <c r="AF21" i="5" s="1"/>
  <c r="AA19" i="5"/>
  <c r="AA220" i="5"/>
  <c r="AB220" i="5"/>
  <c r="AA199" i="5"/>
  <c r="AC192" i="5"/>
  <c r="AD192" i="5"/>
  <c r="AC183" i="5"/>
  <c r="AE183" i="5" s="1"/>
  <c r="AF183" i="5" s="1"/>
  <c r="AE93" i="5"/>
  <c r="AF93" i="5" s="1"/>
  <c r="AA57" i="5"/>
  <c r="AB57" i="5"/>
  <c r="AD15" i="5"/>
  <c r="AC336" i="5"/>
  <c r="AD336" i="5"/>
  <c r="AA276" i="5"/>
  <c r="AB276" i="5"/>
  <c r="AB213" i="5"/>
  <c r="AA213" i="5"/>
  <c r="AB126" i="5"/>
  <c r="AB119" i="5"/>
  <c r="AA88" i="5"/>
  <c r="AB88" i="5"/>
  <c r="AD242" i="5"/>
  <c r="AC242" i="5"/>
  <c r="AE268" i="5"/>
  <c r="AF268" i="5" s="1"/>
  <c r="AA339" i="5"/>
  <c r="AC250" i="5"/>
  <c r="AE250" i="5" s="1"/>
  <c r="AF250" i="5" s="1"/>
  <c r="AA211" i="5"/>
  <c r="AC171" i="5"/>
  <c r="AD171" i="5"/>
  <c r="AA155" i="5"/>
  <c r="AB155" i="5"/>
  <c r="AD100" i="5"/>
  <c r="AE100" i="5" s="1"/>
  <c r="AF100" i="5" s="1"/>
  <c r="AB62" i="5"/>
  <c r="AA22" i="5"/>
  <c r="AB22" i="5"/>
  <c r="AA15" i="5"/>
  <c r="AC339" i="5"/>
  <c r="AD339" i="5"/>
  <c r="AE245" i="5"/>
  <c r="AF245" i="5" s="1"/>
  <c r="AD211" i="5"/>
  <c r="AC211" i="5"/>
  <c r="AB74" i="5"/>
  <c r="AC86" i="5"/>
  <c r="AD86" i="5"/>
  <c r="AA342" i="5"/>
  <c r="AB342" i="5"/>
  <c r="AA216" i="5"/>
  <c r="AB216" i="5"/>
  <c r="AA188" i="5"/>
  <c r="AB188" i="5"/>
  <c r="AA117" i="5"/>
  <c r="AB117" i="5"/>
  <c r="AC148" i="5"/>
  <c r="AD148" i="5"/>
  <c r="AE226" i="5"/>
  <c r="AF226" i="5" s="1"/>
  <c r="AB63" i="5"/>
  <c r="AA63" i="5"/>
  <c r="AE58" i="5"/>
  <c r="AF58" i="5" s="1"/>
  <c r="AC38" i="5"/>
  <c r="AD38" i="5"/>
  <c r="AA176" i="5"/>
  <c r="AB176" i="5"/>
  <c r="AE116" i="5"/>
  <c r="AF116" i="5" s="1"/>
  <c r="AA44" i="5"/>
  <c r="AB44" i="5"/>
  <c r="I7" i="8"/>
  <c r="I6" i="8"/>
  <c r="I5" i="8"/>
  <c r="D7" i="8"/>
  <c r="D6" i="8"/>
  <c r="AE316" i="5" l="1"/>
  <c r="AF316" i="5" s="1"/>
  <c r="AE168" i="5"/>
  <c r="AF168" i="5" s="1"/>
  <c r="AE78" i="5"/>
  <c r="AF78" i="5" s="1"/>
  <c r="AE389" i="5"/>
  <c r="AF389" i="5" s="1"/>
  <c r="AE344" i="5"/>
  <c r="AF344" i="5" s="1"/>
  <c r="AC145" i="5"/>
  <c r="AE145" i="5" s="1"/>
  <c r="AF145" i="5" s="1"/>
  <c r="AE152" i="5"/>
  <c r="AF152" i="5" s="1"/>
  <c r="AD167" i="5"/>
  <c r="AC167" i="5"/>
  <c r="AE142" i="5"/>
  <c r="AF142" i="5" s="1"/>
  <c r="AE204" i="5"/>
  <c r="AF204" i="5" s="1"/>
  <c r="AC350" i="5"/>
  <c r="AD350" i="5"/>
  <c r="AD289" i="5"/>
  <c r="AC289" i="5"/>
  <c r="AE289" i="5" s="1"/>
  <c r="AF289" i="5" s="1"/>
  <c r="AC193" i="5"/>
  <c r="AD193" i="5"/>
  <c r="AC181" i="5"/>
  <c r="AD181" i="5"/>
  <c r="AE234" i="5"/>
  <c r="AF234" i="5" s="1"/>
  <c r="AE107" i="5"/>
  <c r="AF107" i="5" s="1"/>
  <c r="AD39" i="5"/>
  <c r="AC39" i="5"/>
  <c r="AE39" i="5" s="1"/>
  <c r="AF39" i="5" s="1"/>
  <c r="AC253" i="5"/>
  <c r="AD253" i="5"/>
  <c r="AE253" i="5" s="1"/>
  <c r="AF253" i="5" s="1"/>
  <c r="AE222" i="5"/>
  <c r="AF222" i="5" s="1"/>
  <c r="AD157" i="5"/>
  <c r="AC157" i="5"/>
  <c r="AE157" i="5" s="1"/>
  <c r="AF157" i="5" s="1"/>
  <c r="AE217" i="5"/>
  <c r="AF217" i="5" s="1"/>
  <c r="AE129" i="5"/>
  <c r="AF129" i="5" s="1"/>
  <c r="AE199" i="5"/>
  <c r="AF199" i="5" s="1"/>
  <c r="AE327" i="5"/>
  <c r="AF327" i="5" s="1"/>
  <c r="AD16" i="5"/>
  <c r="AD233" i="5"/>
  <c r="AC233" i="5"/>
  <c r="AE233" i="5" s="1"/>
  <c r="AF233" i="5" s="1"/>
  <c r="AE151" i="5"/>
  <c r="AF151" i="5" s="1"/>
  <c r="AE134" i="5"/>
  <c r="AF134" i="5" s="1"/>
  <c r="AE368" i="5"/>
  <c r="AF368" i="5" s="1"/>
  <c r="AE212" i="5"/>
  <c r="AF212" i="5" s="1"/>
  <c r="AC208" i="5"/>
  <c r="AD208" i="5"/>
  <c r="AE267" i="5"/>
  <c r="AF267" i="5" s="1"/>
  <c r="AD333" i="5"/>
  <c r="AC333" i="5"/>
  <c r="AE333" i="5" s="1"/>
  <c r="AF333" i="5" s="1"/>
  <c r="AD91" i="5"/>
  <c r="AC91" i="5"/>
  <c r="AE91" i="5" s="1"/>
  <c r="AF91" i="5" s="1"/>
  <c r="AD296" i="5"/>
  <c r="AE296" i="5" s="1"/>
  <c r="AF296" i="5" s="1"/>
  <c r="AE382" i="5"/>
  <c r="AF382" i="5" s="1"/>
  <c r="AC72" i="5"/>
  <c r="AE209" i="5"/>
  <c r="AF209" i="5" s="1"/>
  <c r="AE260" i="5"/>
  <c r="AF260" i="5" s="1"/>
  <c r="AD271" i="5"/>
  <c r="AE271" i="5" s="1"/>
  <c r="AF271" i="5" s="1"/>
  <c r="AE240" i="5"/>
  <c r="AF240" i="5" s="1"/>
  <c r="AD189" i="5"/>
  <c r="AC189" i="5"/>
  <c r="AE189" i="5" s="1"/>
  <c r="AF189" i="5" s="1"/>
  <c r="AD340" i="5"/>
  <c r="AC340" i="5"/>
  <c r="AE340" i="5" s="1"/>
  <c r="AF340" i="5" s="1"/>
  <c r="AD374" i="5"/>
  <c r="AC374" i="5"/>
  <c r="AE374" i="5" s="1"/>
  <c r="AF374" i="5" s="1"/>
  <c r="AC297" i="5"/>
  <c r="AE297" i="5" s="1"/>
  <c r="AF297" i="5" s="1"/>
  <c r="AE283" i="5"/>
  <c r="AF283" i="5" s="1"/>
  <c r="AD284" i="5"/>
  <c r="AC284" i="5"/>
  <c r="AE284" i="5" s="1"/>
  <c r="AF284" i="5" s="1"/>
  <c r="AE269" i="5"/>
  <c r="AF269" i="5" s="1"/>
  <c r="AD56" i="5"/>
  <c r="AE56" i="5" s="1"/>
  <c r="AF56" i="5" s="1"/>
  <c r="AE324" i="5"/>
  <c r="AF324" i="5" s="1"/>
  <c r="AD314" i="5"/>
  <c r="AE314" i="5" s="1"/>
  <c r="AF314" i="5" s="1"/>
  <c r="AE219" i="5"/>
  <c r="AF219" i="5" s="1"/>
  <c r="AC301" i="5"/>
  <c r="AE301" i="5" s="1"/>
  <c r="AF301" i="5" s="1"/>
  <c r="AE59" i="5"/>
  <c r="AF59" i="5" s="1"/>
  <c r="AE373" i="5"/>
  <c r="AF373" i="5" s="1"/>
  <c r="AC322" i="5"/>
  <c r="AE322" i="5" s="1"/>
  <c r="AF322" i="5" s="1"/>
  <c r="AE379" i="5"/>
  <c r="AF379" i="5" s="1"/>
  <c r="AE282" i="5"/>
  <c r="AF282" i="5" s="1"/>
  <c r="AD14" i="5"/>
  <c r="AE14" i="5" s="1"/>
  <c r="AF14" i="5" s="1"/>
  <c r="AC164" i="5"/>
  <c r="AD164" i="5"/>
  <c r="AC312" i="5"/>
  <c r="AD312" i="5"/>
  <c r="AC200" i="5"/>
  <c r="AE200" i="5" s="1"/>
  <c r="AF200" i="5" s="1"/>
  <c r="AE115" i="5"/>
  <c r="AF115" i="5" s="1"/>
  <c r="AE337" i="5"/>
  <c r="AF337" i="5" s="1"/>
  <c r="AE15" i="5"/>
  <c r="AF15" i="5" s="1"/>
  <c r="AD237" i="5"/>
  <c r="AE237" i="5" s="1"/>
  <c r="AF237" i="5" s="1"/>
  <c r="AD326" i="5"/>
  <c r="AC326" i="5"/>
  <c r="AE326" i="5" s="1"/>
  <c r="AF326" i="5" s="1"/>
  <c r="AC244" i="5"/>
  <c r="AD244" i="5"/>
  <c r="AD18" i="5"/>
  <c r="AC18" i="5"/>
  <c r="AE18" i="5" s="1"/>
  <c r="AF18" i="5" s="1"/>
  <c r="AC328" i="5"/>
  <c r="AD328" i="5"/>
  <c r="AD84" i="5"/>
  <c r="AC84" i="5"/>
  <c r="AE84" i="5" s="1"/>
  <c r="AF84" i="5" s="1"/>
  <c r="AE10" i="5"/>
  <c r="AF10" i="5" s="1"/>
  <c r="AC118" i="5"/>
  <c r="AD118" i="5"/>
  <c r="AC352" i="5"/>
  <c r="AD352" i="5"/>
  <c r="AE385" i="5"/>
  <c r="AF385" i="5" s="1"/>
  <c r="AE171" i="5"/>
  <c r="AF171" i="5" s="1"/>
  <c r="AC26" i="5"/>
  <c r="AC291" i="5"/>
  <c r="AE263" i="5"/>
  <c r="AF263" i="5" s="1"/>
  <c r="AE108" i="5"/>
  <c r="AF108" i="5" s="1"/>
  <c r="AD90" i="5"/>
  <c r="AC90" i="5"/>
  <c r="AE90" i="5" s="1"/>
  <c r="AF90" i="5" s="1"/>
  <c r="AD264" i="5"/>
  <c r="AC264" i="5"/>
  <c r="AE264" i="5" s="1"/>
  <c r="AF264" i="5" s="1"/>
  <c r="AD359" i="5"/>
  <c r="AC359" i="5"/>
  <c r="AE359" i="5" s="1"/>
  <c r="AF359" i="5" s="1"/>
  <c r="AD252" i="5"/>
  <c r="AC252" i="5"/>
  <c r="AE252" i="5" s="1"/>
  <c r="AF252" i="5" s="1"/>
  <c r="AD128" i="5"/>
  <c r="AC128" i="5"/>
  <c r="AD150" i="5"/>
  <c r="AC150" i="5"/>
  <c r="AD210" i="5"/>
  <c r="AE210" i="5" s="1"/>
  <c r="AF210" i="5" s="1"/>
  <c r="AD228" i="5"/>
  <c r="AE228" i="5" s="1"/>
  <c r="AF228" i="5" s="1"/>
  <c r="AE235" i="5"/>
  <c r="AF235" i="5" s="1"/>
  <c r="AE275" i="5"/>
  <c r="AF275" i="5" s="1"/>
  <c r="AC92" i="5"/>
  <c r="AD92" i="5"/>
  <c r="AC388" i="5"/>
  <c r="AD388" i="5"/>
  <c r="AD54" i="5"/>
  <c r="AC54" i="5"/>
  <c r="AE54" i="5" s="1"/>
  <c r="AF54" i="5" s="1"/>
  <c r="AD140" i="5"/>
  <c r="AC304" i="5"/>
  <c r="AD304" i="5"/>
  <c r="AC321" i="5"/>
  <c r="AD321" i="5"/>
  <c r="AC98" i="5"/>
  <c r="AE98" i="5" s="1"/>
  <c r="AF98" i="5" s="1"/>
  <c r="AC95" i="5"/>
  <c r="AD95" i="5"/>
  <c r="AD338" i="5"/>
  <c r="AC338" i="5"/>
  <c r="AE169" i="5"/>
  <c r="AF169" i="5" s="1"/>
  <c r="AE61" i="5"/>
  <c r="AF61" i="5" s="1"/>
  <c r="AE13" i="5"/>
  <c r="AF13" i="5" s="1"/>
  <c r="AD79" i="5"/>
  <c r="AE79" i="5" s="1"/>
  <c r="AF79" i="5" s="1"/>
  <c r="AE60" i="5"/>
  <c r="AF60" i="5" s="1"/>
  <c r="AC229" i="5"/>
  <c r="AE229" i="5" s="1"/>
  <c r="AF229" i="5" s="1"/>
  <c r="AE104" i="5"/>
  <c r="AF104" i="5" s="1"/>
  <c r="AE248" i="5"/>
  <c r="AF248" i="5" s="1"/>
  <c r="AE70" i="5"/>
  <c r="AF70" i="5" s="1"/>
  <c r="AD158" i="5"/>
  <c r="AE158" i="5" s="1"/>
  <c r="AF158" i="5" s="1"/>
  <c r="AE336" i="5"/>
  <c r="AF336" i="5" s="1"/>
  <c r="AC262" i="5"/>
  <c r="AE262" i="5" s="1"/>
  <c r="AF262" i="5" s="1"/>
  <c r="AE380" i="5"/>
  <c r="AF380" i="5" s="1"/>
  <c r="AC261" i="5"/>
  <c r="AE261" i="5" s="1"/>
  <c r="AF261" i="5" s="1"/>
  <c r="AE291" i="5"/>
  <c r="AF291" i="5" s="1"/>
  <c r="AE26" i="5"/>
  <c r="AF26" i="5" s="1"/>
  <c r="AE206" i="5"/>
  <c r="AF206" i="5" s="1"/>
  <c r="AE7" i="5"/>
  <c r="AF7" i="5" s="1"/>
  <c r="AC355" i="5"/>
  <c r="AE355" i="5" s="1"/>
  <c r="AF355" i="5" s="1"/>
  <c r="AE45" i="5"/>
  <c r="AF45" i="5" s="1"/>
  <c r="AE180" i="5"/>
  <c r="AF180" i="5" s="1"/>
  <c r="AE190" i="5"/>
  <c r="AF190" i="5" s="1"/>
  <c r="AE27" i="5"/>
  <c r="AF27" i="5" s="1"/>
  <c r="AD223" i="5"/>
  <c r="AC223" i="5"/>
  <c r="AE223" i="5" s="1"/>
  <c r="AF223" i="5" s="1"/>
  <c r="AE236" i="5"/>
  <c r="AF236" i="5" s="1"/>
  <c r="AE184" i="5"/>
  <c r="AF184" i="5" s="1"/>
  <c r="AD82" i="5"/>
  <c r="AE82" i="5" s="1"/>
  <c r="AF82" i="5" s="1"/>
  <c r="AD201" i="5"/>
  <c r="AE201" i="5" s="1"/>
  <c r="AF201" i="5" s="1"/>
  <c r="AE231" i="5"/>
  <c r="AF231" i="5" s="1"/>
  <c r="AD83" i="5"/>
  <c r="AC83" i="5"/>
  <c r="AE124" i="5"/>
  <c r="AF124" i="5" s="1"/>
  <c r="AE94" i="5"/>
  <c r="AF94" i="5" s="1"/>
  <c r="AE141" i="5"/>
  <c r="AF141" i="5" s="1"/>
  <c r="AE140" i="5"/>
  <c r="AF140" i="5" s="1"/>
  <c r="AE160" i="5"/>
  <c r="AF160" i="5" s="1"/>
  <c r="AC309" i="5"/>
  <c r="AD309" i="5"/>
  <c r="AD127" i="5"/>
  <c r="AE127" i="5" s="1"/>
  <c r="AF127" i="5" s="1"/>
  <c r="AC384" i="5"/>
  <c r="AD384" i="5"/>
  <c r="AC64" i="5"/>
  <c r="AD64" i="5"/>
  <c r="AE274" i="5"/>
  <c r="AF274" i="5" s="1"/>
  <c r="AE111" i="5"/>
  <c r="AF111" i="5" s="1"/>
  <c r="AE8" i="5"/>
  <c r="AF8" i="5" s="1"/>
  <c r="AE305" i="5"/>
  <c r="AF305" i="5" s="1"/>
  <c r="AC113" i="5"/>
  <c r="AD113" i="5"/>
  <c r="AE241" i="5"/>
  <c r="AF241" i="5" s="1"/>
  <c r="AD47" i="5"/>
  <c r="AE47" i="5" s="1"/>
  <c r="AF47" i="5" s="1"/>
  <c r="AE36" i="5"/>
  <c r="AF36" i="5" s="1"/>
  <c r="AD218" i="5"/>
  <c r="AE218" i="5" s="1"/>
  <c r="AF218" i="5" s="1"/>
  <c r="AC215" i="5"/>
  <c r="AD215" i="5"/>
  <c r="AE162" i="5"/>
  <c r="AF162" i="5" s="1"/>
  <c r="AD178" i="5"/>
  <c r="AC178" i="5"/>
  <c r="AE178" i="5" s="1"/>
  <c r="AF178" i="5" s="1"/>
  <c r="AC258" i="5"/>
  <c r="AD258" i="5"/>
  <c r="AE5" i="5"/>
  <c r="AF5" i="5" s="1"/>
  <c r="AC28" i="5"/>
  <c r="AD28" i="5"/>
  <c r="AE23" i="5"/>
  <c r="AF23" i="5" s="1"/>
  <c r="AC375" i="5"/>
  <c r="AD375" i="5"/>
  <c r="AC299" i="5"/>
  <c r="AD299" i="5"/>
  <c r="AC174" i="5"/>
  <c r="AD174" i="5"/>
  <c r="AC68" i="5"/>
  <c r="AD68" i="5"/>
  <c r="AE99" i="5"/>
  <c r="AF99" i="5" s="1"/>
  <c r="AC182" i="5"/>
  <c r="AD182" i="5"/>
  <c r="AE246" i="5"/>
  <c r="AF246" i="5" s="1"/>
  <c r="AC37" i="5"/>
  <c r="AD37" i="5"/>
  <c r="AC362" i="5"/>
  <c r="AD362" i="5"/>
  <c r="AD40" i="5"/>
  <c r="AC40" i="5"/>
  <c r="AE40" i="5" s="1"/>
  <c r="AF40" i="5" s="1"/>
  <c r="AC227" i="5"/>
  <c r="AD227" i="5"/>
  <c r="AE122" i="5"/>
  <c r="AF122" i="5" s="1"/>
  <c r="AC254" i="5"/>
  <c r="AD254" i="5"/>
  <c r="AC232" i="5"/>
  <c r="AD232" i="5"/>
  <c r="AD332" i="5"/>
  <c r="AC332" i="5"/>
  <c r="AD265" i="5"/>
  <c r="AC265" i="5"/>
  <c r="AC55" i="5"/>
  <c r="AD55" i="5"/>
  <c r="AE72" i="5"/>
  <c r="AF72" i="5" s="1"/>
  <c r="AE354" i="5"/>
  <c r="AF354" i="5" s="1"/>
  <c r="AC77" i="5"/>
  <c r="AE77" i="5" s="1"/>
  <c r="AF77" i="5" s="1"/>
  <c r="AE295" i="5"/>
  <c r="AF295" i="5" s="1"/>
  <c r="AE163" i="5"/>
  <c r="AF163" i="5" s="1"/>
  <c r="AE197" i="5"/>
  <c r="AF197" i="5" s="1"/>
  <c r="AD109" i="5"/>
  <c r="AC109" i="5"/>
  <c r="AC153" i="5"/>
  <c r="AD153" i="5"/>
  <c r="AD372" i="5"/>
  <c r="AC372" i="5"/>
  <c r="AE214" i="5"/>
  <c r="AF214" i="5" s="1"/>
  <c r="AC277" i="5"/>
  <c r="AD277" i="5"/>
  <c r="AE86" i="5"/>
  <c r="AF86" i="5" s="1"/>
  <c r="AC317" i="5"/>
  <c r="AD317" i="5"/>
  <c r="AE370" i="5"/>
  <c r="AF370" i="5" s="1"/>
  <c r="AD243" i="5"/>
  <c r="AC243" i="5"/>
  <c r="AD50" i="5"/>
  <c r="AC50" i="5"/>
  <c r="AE50" i="5" s="1"/>
  <c r="AF50" i="5" s="1"/>
  <c r="AC101" i="5"/>
  <c r="AE101" i="5" s="1"/>
  <c r="AF101" i="5" s="1"/>
  <c r="AE38" i="5"/>
  <c r="AF38" i="5" s="1"/>
  <c r="AE211" i="5"/>
  <c r="AF211" i="5" s="1"/>
  <c r="AD6" i="5"/>
  <c r="AC6" i="5"/>
  <c r="AE6" i="5" s="1"/>
  <c r="AF6" i="5" s="1"/>
  <c r="AE273" i="5"/>
  <c r="AF273" i="5" s="1"/>
  <c r="AE191" i="5"/>
  <c r="AF191" i="5" s="1"/>
  <c r="AE114" i="5"/>
  <c r="AF114" i="5" s="1"/>
  <c r="AE311" i="5"/>
  <c r="AF311" i="5" s="1"/>
  <c r="AD387" i="5"/>
  <c r="AE387" i="5" s="1"/>
  <c r="AF387" i="5" s="1"/>
  <c r="AD25" i="5"/>
  <c r="AE25" i="5" s="1"/>
  <c r="AF25" i="5" s="1"/>
  <c r="AC76" i="5"/>
  <c r="AE76" i="5" s="1"/>
  <c r="AF76" i="5" s="1"/>
  <c r="AE306" i="5"/>
  <c r="AF306" i="5" s="1"/>
  <c r="AE367" i="5"/>
  <c r="AF367" i="5" s="1"/>
  <c r="AC383" i="5"/>
  <c r="AD383" i="5"/>
  <c r="AC41" i="5"/>
  <c r="AD41" i="5"/>
  <c r="AC360" i="5"/>
  <c r="AD360" i="5"/>
  <c r="AC197" i="5"/>
  <c r="AD197" i="5"/>
  <c r="AE339" i="5"/>
  <c r="AF339" i="5" s="1"/>
  <c r="AE125" i="5"/>
  <c r="AF125" i="5" s="1"/>
  <c r="AE112" i="5"/>
  <c r="AF112" i="5" s="1"/>
  <c r="AE320" i="5"/>
  <c r="AF320" i="5" s="1"/>
  <c r="AC186" i="5"/>
  <c r="AD186" i="5"/>
  <c r="AC89" i="5"/>
  <c r="AD89" i="5"/>
  <c r="AD119" i="5"/>
  <c r="AC119" i="5"/>
  <c r="AE119" i="5" s="1"/>
  <c r="AF119" i="5" s="1"/>
  <c r="AC62" i="5"/>
  <c r="AD62" i="5"/>
  <c r="AC276" i="5"/>
  <c r="AD276" i="5"/>
  <c r="AE276" i="5"/>
  <c r="AF276" i="5" s="1"/>
  <c r="AC259" i="5"/>
  <c r="AD259" i="5"/>
  <c r="AC154" i="5"/>
  <c r="AD154" i="5"/>
  <c r="AC63" i="5"/>
  <c r="AD63" i="5"/>
  <c r="AD49" i="5"/>
  <c r="AC49" i="5"/>
  <c r="AC351" i="5"/>
  <c r="AD351" i="5"/>
  <c r="AE148" i="5"/>
  <c r="AF148" i="5" s="1"/>
  <c r="AE192" i="5"/>
  <c r="AF192" i="5" s="1"/>
  <c r="AC343" i="5"/>
  <c r="AD343" i="5"/>
  <c r="AD279" i="5"/>
  <c r="AC279" i="5"/>
  <c r="AE170" i="5"/>
  <c r="AF170" i="5" s="1"/>
  <c r="AC346" i="5"/>
  <c r="AD346" i="5"/>
  <c r="AD156" i="5"/>
  <c r="AC156" i="5"/>
  <c r="AE156" i="5" s="1"/>
  <c r="AF156" i="5" s="1"/>
  <c r="AD194" i="5"/>
  <c r="AC194" i="5"/>
  <c r="AC132" i="5"/>
  <c r="AD132" i="5"/>
  <c r="AE293" i="5"/>
  <c r="AF293" i="5" s="1"/>
  <c r="AE242" i="5"/>
  <c r="AF242" i="5" s="1"/>
  <c r="AC220" i="5"/>
  <c r="AD220" i="5"/>
  <c r="AC349" i="5"/>
  <c r="AD349" i="5"/>
  <c r="AD66" i="5"/>
  <c r="AC66" i="5"/>
  <c r="AC342" i="5"/>
  <c r="AD342" i="5"/>
  <c r="AC126" i="5"/>
  <c r="AD126" i="5"/>
  <c r="AC136" i="5"/>
  <c r="AD136" i="5"/>
  <c r="AE136" i="5" s="1"/>
  <c r="AF136" i="5" s="1"/>
  <c r="AE65" i="5"/>
  <c r="AF65" i="5" s="1"/>
  <c r="AD213" i="5"/>
  <c r="AC213" i="5"/>
  <c r="AC198" i="5"/>
  <c r="AD198" i="5"/>
  <c r="AC303" i="5"/>
  <c r="AD303" i="5"/>
  <c r="AC177" i="5"/>
  <c r="AD177" i="5"/>
  <c r="AC155" i="5"/>
  <c r="AD155" i="5"/>
  <c r="AD364" i="5"/>
  <c r="AC364" i="5"/>
  <c r="AE364" i="5" s="1"/>
  <c r="AF364" i="5" s="1"/>
  <c r="AD257" i="5"/>
  <c r="AC257" i="5"/>
  <c r="AE257" i="5" s="1"/>
  <c r="AF257" i="5" s="1"/>
  <c r="AD161" i="5"/>
  <c r="AC161" i="5"/>
  <c r="AE161" i="5" s="1"/>
  <c r="AF161" i="5" s="1"/>
  <c r="AC105" i="5"/>
  <c r="AD105" i="5"/>
  <c r="AD57" i="5"/>
  <c r="AC57" i="5"/>
  <c r="AD31" i="5"/>
  <c r="AC31" i="5"/>
  <c r="AE31" i="5" s="1"/>
  <c r="AF31" i="5" s="1"/>
  <c r="AC74" i="5"/>
  <c r="AD74" i="5"/>
  <c r="AC117" i="5"/>
  <c r="AD117" i="5"/>
  <c r="AC71" i="5"/>
  <c r="AD71" i="5"/>
  <c r="AC188" i="5"/>
  <c r="AD188" i="5"/>
  <c r="AD377" i="5"/>
  <c r="AC377" i="5"/>
  <c r="AE377" i="5" s="1"/>
  <c r="AF377" i="5" s="1"/>
  <c r="AD88" i="5"/>
  <c r="AC88" i="5"/>
  <c r="AE88" i="5" s="1"/>
  <c r="AF88" i="5" s="1"/>
  <c r="AE16" i="5"/>
  <c r="AF16" i="5" s="1"/>
  <c r="AC22" i="5"/>
  <c r="AD22" i="5"/>
  <c r="AC166" i="5"/>
  <c r="AE166" i="5" s="1"/>
  <c r="AF166" i="5" s="1"/>
  <c r="AD166" i="5"/>
  <c r="AC176" i="5"/>
  <c r="AD176" i="5"/>
  <c r="AC51" i="5"/>
  <c r="AD51" i="5"/>
  <c r="AE85" i="5"/>
  <c r="AF85" i="5" s="1"/>
  <c r="AC195" i="5"/>
  <c r="AD195" i="5"/>
  <c r="AD221" i="5"/>
  <c r="AC221" i="5"/>
  <c r="AE221" i="5" s="1"/>
  <c r="AF221" i="5" s="1"/>
  <c r="AC34" i="5"/>
  <c r="AD34" i="5"/>
  <c r="AE34" i="5" s="1"/>
  <c r="AF34" i="5" s="1"/>
  <c r="AC331" i="5"/>
  <c r="AD331" i="5"/>
  <c r="AC67" i="5"/>
  <c r="AD67" i="5"/>
  <c r="AD310" i="5"/>
  <c r="AC310" i="5"/>
  <c r="AE310" i="5" s="1"/>
  <c r="AF310" i="5" s="1"/>
  <c r="AC11" i="5"/>
  <c r="AD11" i="5"/>
  <c r="AC106" i="5"/>
  <c r="AD106" i="5"/>
  <c r="AC44" i="5"/>
  <c r="AD44" i="5"/>
  <c r="AE19" i="5"/>
  <c r="AF19" i="5" s="1"/>
  <c r="AD110" i="5"/>
  <c r="AC110" i="5"/>
  <c r="AC96" i="5"/>
  <c r="AD96" i="5"/>
  <c r="AD216" i="5"/>
  <c r="AC216" i="5"/>
  <c r="AE216" i="5" s="1"/>
  <c r="AF216" i="5" s="1"/>
  <c r="AC386" i="5"/>
  <c r="AD386" i="5"/>
  <c r="AE358" i="5"/>
  <c r="AF358" i="5" s="1"/>
  <c r="AC256" i="5"/>
  <c r="AD256" i="5"/>
  <c r="AC20" i="5"/>
  <c r="AD20" i="5"/>
  <c r="AE193" i="5" l="1"/>
  <c r="AF193" i="5" s="1"/>
  <c r="AE208" i="5"/>
  <c r="AF208" i="5" s="1"/>
  <c r="AE220" i="5"/>
  <c r="AF220" i="5" s="1"/>
  <c r="AE303" i="5"/>
  <c r="AF303" i="5" s="1"/>
  <c r="AE174" i="5"/>
  <c r="AF174" i="5" s="1"/>
  <c r="AE117" i="5"/>
  <c r="AF117" i="5" s="1"/>
  <c r="AE164" i="5"/>
  <c r="AF164" i="5" s="1"/>
  <c r="AE213" i="5"/>
  <c r="AF213" i="5" s="1"/>
  <c r="AE167" i="5"/>
  <c r="AF167" i="5" s="1"/>
  <c r="AE150" i="5"/>
  <c r="AF150" i="5" s="1"/>
  <c r="AE176" i="5"/>
  <c r="AF176" i="5" s="1"/>
  <c r="AE181" i="5"/>
  <c r="AF181" i="5" s="1"/>
  <c r="AE388" i="5"/>
  <c r="AF388" i="5" s="1"/>
  <c r="AE350" i="5"/>
  <c r="AF350" i="5" s="1"/>
  <c r="AE57" i="5"/>
  <c r="AF57" i="5" s="1"/>
  <c r="AE279" i="5"/>
  <c r="AF279" i="5" s="1"/>
  <c r="AE372" i="5"/>
  <c r="AF372" i="5" s="1"/>
  <c r="AE338" i="5"/>
  <c r="AF338" i="5" s="1"/>
  <c r="AE128" i="5"/>
  <c r="AF128" i="5" s="1"/>
  <c r="AE92" i="5"/>
  <c r="AF92" i="5" s="1"/>
  <c r="AE105" i="5"/>
  <c r="AF105" i="5" s="1"/>
  <c r="AE51" i="5"/>
  <c r="AF51" i="5" s="1"/>
  <c r="AE342" i="5"/>
  <c r="AF342" i="5" s="1"/>
  <c r="AE328" i="5"/>
  <c r="AF328" i="5" s="1"/>
  <c r="AE351" i="5"/>
  <c r="AF351" i="5" s="1"/>
  <c r="AE386" i="5"/>
  <c r="AF386" i="5" s="1"/>
  <c r="AE332" i="5"/>
  <c r="AF332" i="5" s="1"/>
  <c r="AE312" i="5"/>
  <c r="AF312" i="5" s="1"/>
  <c r="AE299" i="5"/>
  <c r="AF299" i="5" s="1"/>
  <c r="AE352" i="5"/>
  <c r="AF352" i="5" s="1"/>
  <c r="AE254" i="5"/>
  <c r="AF254" i="5" s="1"/>
  <c r="AE153" i="5"/>
  <c r="AF153" i="5" s="1"/>
  <c r="AE244" i="5"/>
  <c r="AF244" i="5" s="1"/>
  <c r="AE304" i="5"/>
  <c r="AF304" i="5" s="1"/>
  <c r="AE177" i="5"/>
  <c r="AF177" i="5" s="1"/>
  <c r="AE243" i="5"/>
  <c r="AF243" i="5" s="1"/>
  <c r="AE83" i="5"/>
  <c r="AF83" i="5" s="1"/>
  <c r="AE95" i="5"/>
  <c r="AF95" i="5" s="1"/>
  <c r="AE321" i="5"/>
  <c r="AF321" i="5" s="1"/>
  <c r="AE118" i="5"/>
  <c r="AF118" i="5" s="1"/>
  <c r="AE110" i="5"/>
  <c r="AF110" i="5" s="1"/>
  <c r="AE232" i="5"/>
  <c r="AF232" i="5" s="1"/>
  <c r="AE113" i="5"/>
  <c r="AF113" i="5" s="1"/>
  <c r="AE195" i="5"/>
  <c r="AF195" i="5" s="1"/>
  <c r="AE186" i="5"/>
  <c r="AF186" i="5" s="1"/>
  <c r="AE64" i="5"/>
  <c r="AF64" i="5" s="1"/>
  <c r="AE375" i="5"/>
  <c r="AF375" i="5" s="1"/>
  <c r="AE28" i="5"/>
  <c r="AF28" i="5" s="1"/>
  <c r="AE277" i="5"/>
  <c r="AF277" i="5" s="1"/>
  <c r="AE155" i="5"/>
  <c r="AF155" i="5" s="1"/>
  <c r="AE227" i="5"/>
  <c r="AF227" i="5" s="1"/>
  <c r="AE44" i="5"/>
  <c r="AF44" i="5" s="1"/>
  <c r="AE63" i="5"/>
  <c r="AF63" i="5" s="1"/>
  <c r="AE362" i="5"/>
  <c r="AF362" i="5" s="1"/>
  <c r="AE384" i="5"/>
  <c r="AF384" i="5" s="1"/>
  <c r="AE154" i="5"/>
  <c r="AF154" i="5" s="1"/>
  <c r="AE37" i="5"/>
  <c r="AF37" i="5" s="1"/>
  <c r="AE309" i="5"/>
  <c r="AF309" i="5" s="1"/>
  <c r="AE55" i="5"/>
  <c r="AF55" i="5" s="1"/>
  <c r="AE331" i="5"/>
  <c r="AF331" i="5" s="1"/>
  <c r="AE317" i="5"/>
  <c r="AF317" i="5" s="1"/>
  <c r="AE68" i="5"/>
  <c r="AF68" i="5" s="1"/>
  <c r="AE182" i="5"/>
  <c r="AF182" i="5" s="1"/>
  <c r="AE66" i="5"/>
  <c r="AF66" i="5" s="1"/>
  <c r="AE265" i="5"/>
  <c r="AF265" i="5" s="1"/>
  <c r="AE258" i="5"/>
  <c r="AF258" i="5" s="1"/>
  <c r="AE360" i="5"/>
  <c r="AF360" i="5" s="1"/>
  <c r="AE96" i="5"/>
  <c r="AF96" i="5" s="1"/>
  <c r="AE41" i="5"/>
  <c r="AF41" i="5" s="1"/>
  <c r="AE188" i="5"/>
  <c r="AF188" i="5" s="1"/>
  <c r="AE71" i="5"/>
  <c r="AF71" i="5" s="1"/>
  <c r="AE383" i="5"/>
  <c r="AF383" i="5" s="1"/>
  <c r="AE89" i="5"/>
  <c r="AF89" i="5" s="1"/>
  <c r="AE11" i="5"/>
  <c r="AF11" i="5" s="1"/>
  <c r="AE215" i="5"/>
  <c r="AF215" i="5" s="1"/>
  <c r="AE49" i="5"/>
  <c r="AF49" i="5" s="1"/>
  <c r="AE20" i="5"/>
  <c r="AF20" i="5" s="1"/>
  <c r="AE256" i="5"/>
  <c r="AF256" i="5" s="1"/>
  <c r="AE67" i="5"/>
  <c r="AF67" i="5" s="1"/>
  <c r="AE22" i="5"/>
  <c r="AF22" i="5" s="1"/>
  <c r="AE198" i="5"/>
  <c r="AF198" i="5" s="1"/>
  <c r="AE132" i="5"/>
  <c r="AF132" i="5" s="1"/>
  <c r="AE109" i="5"/>
  <c r="AF109" i="5" s="1"/>
  <c r="AE106" i="5"/>
  <c r="AF106" i="5" s="1"/>
  <c r="AE194" i="5"/>
  <c r="AF194" i="5" s="1"/>
  <c r="AE126" i="5"/>
  <c r="AF126" i="5" s="1"/>
  <c r="AE346" i="5"/>
  <c r="AF346" i="5" s="1"/>
  <c r="AE74" i="5"/>
  <c r="AF74" i="5" s="1"/>
  <c r="AE62" i="5"/>
  <c r="AF62" i="5" s="1"/>
  <c r="AE259" i="5"/>
  <c r="AF259" i="5" s="1"/>
  <c r="AE343" i="5"/>
  <c r="AF343" i="5" s="1"/>
  <c r="AE349" i="5"/>
  <c r="AF349" i="5" s="1"/>
  <c r="E26" i="3" l="1"/>
  <c r="G26" i="3"/>
  <c r="E6" i="8" s="1"/>
  <c r="H26" i="3"/>
  <c r="I26" i="3"/>
  <c r="D19" i="3"/>
  <c r="C24" i="3" s="1"/>
  <c r="D18" i="3"/>
  <c r="D47" i="3" s="1"/>
  <c r="E47" i="3" s="1"/>
  <c r="C27" i="3"/>
  <c r="H27" i="3" s="1"/>
  <c r="C28" i="3"/>
  <c r="H28" i="3" s="1"/>
  <c r="E32" i="3"/>
  <c r="E33" i="3"/>
  <c r="E34" i="3"/>
  <c r="C80" i="4" s="1"/>
  <c r="E35" i="3"/>
  <c r="E36" i="3"/>
  <c r="C82" i="4" s="1"/>
  <c r="E37" i="3"/>
  <c r="C83" i="4" s="1"/>
  <c r="E38" i="3"/>
  <c r="G38" i="3" s="1"/>
  <c r="H38" i="3" s="1"/>
  <c r="E44" i="3"/>
  <c r="G44" i="3"/>
  <c r="H44" i="3" s="1"/>
  <c r="E46" i="3"/>
  <c r="D48" i="3"/>
  <c r="E48" i="3" s="1"/>
  <c r="G48" i="3" s="1"/>
  <c r="H48" i="3" s="1"/>
  <c r="D49" i="3"/>
  <c r="E49" i="3"/>
  <c r="G49" i="3" s="1"/>
  <c r="H49" i="3" s="1"/>
  <c r="E51" i="3"/>
  <c r="G51" i="3" s="1"/>
  <c r="H51" i="3" s="1"/>
  <c r="E52" i="3"/>
  <c r="G52" i="3" s="1"/>
  <c r="H52" i="3" s="1"/>
  <c r="E53" i="3"/>
  <c r="G53" i="3" s="1"/>
  <c r="H53" i="3" s="1"/>
  <c r="E54" i="3"/>
  <c r="G54" i="3" s="1"/>
  <c r="H54" i="3" s="1"/>
  <c r="D87" i="3"/>
  <c r="E87" i="3"/>
  <c r="G87" i="3"/>
  <c r="H87" i="3" s="1"/>
  <c r="G28" i="3"/>
  <c r="E7" i="8"/>
  <c r="H7" i="8" s="1"/>
  <c r="G27" i="3"/>
  <c r="E5" i="8"/>
  <c r="H5" i="8" s="1"/>
  <c r="K16" i="7"/>
  <c r="F14" i="17"/>
  <c r="F8" i="17"/>
  <c r="F9" i="17"/>
  <c r="F10" i="17"/>
  <c r="F13" i="17"/>
  <c r="E8" i="4"/>
  <c r="G8" i="4" s="1"/>
  <c r="E9" i="4"/>
  <c r="G9" i="4" s="1"/>
  <c r="E10" i="4"/>
  <c r="G10" i="4" s="1"/>
  <c r="E11" i="4"/>
  <c r="G11" i="4" s="1"/>
  <c r="E12" i="4"/>
  <c r="G12" i="4" s="1"/>
  <c r="H8" i="4"/>
  <c r="H9" i="4"/>
  <c r="H10" i="4"/>
  <c r="H11" i="4"/>
  <c r="H12" i="4"/>
  <c r="F11" i="17"/>
  <c r="F5" i="17"/>
  <c r="F8" i="16"/>
  <c r="F9" i="16"/>
  <c r="F10" i="16"/>
  <c r="F13" i="16"/>
  <c r="F14" i="16"/>
  <c r="E20" i="4"/>
  <c r="G20" i="4" s="1"/>
  <c r="E21" i="4"/>
  <c r="G21" i="4" s="1"/>
  <c r="E22" i="4"/>
  <c r="G22" i="4" s="1"/>
  <c r="E23" i="4"/>
  <c r="G23" i="4" s="1"/>
  <c r="E24" i="4"/>
  <c r="G24" i="4" s="1"/>
  <c r="H20" i="4"/>
  <c r="H21" i="4"/>
  <c r="H22" i="4"/>
  <c r="H23" i="4"/>
  <c r="H24" i="4"/>
  <c r="F11" i="16"/>
  <c r="F5" i="16"/>
  <c r="F8" i="15"/>
  <c r="F9" i="15"/>
  <c r="F10" i="15"/>
  <c r="F13" i="15"/>
  <c r="F14" i="15"/>
  <c r="E32" i="4"/>
  <c r="G32" i="4" s="1"/>
  <c r="E33" i="4"/>
  <c r="G33" i="4" s="1"/>
  <c r="E34" i="4"/>
  <c r="G34" i="4" s="1"/>
  <c r="E35" i="4"/>
  <c r="G35" i="4" s="1"/>
  <c r="E36" i="4"/>
  <c r="G36" i="4" s="1"/>
  <c r="H32" i="4"/>
  <c r="H33" i="4"/>
  <c r="H34" i="4"/>
  <c r="H35" i="4"/>
  <c r="H36" i="4"/>
  <c r="F11" i="15"/>
  <c r="F5" i="15"/>
  <c r="F13" i="14"/>
  <c r="F15" i="14"/>
  <c r="F16" i="14"/>
  <c r="F17" i="14"/>
  <c r="F20" i="14"/>
  <c r="F21" i="14"/>
  <c r="E45" i="4"/>
  <c r="G45" i="4" s="1"/>
  <c r="E46" i="4"/>
  <c r="G46" i="4" s="1"/>
  <c r="T46" i="4" s="1"/>
  <c r="E47" i="4"/>
  <c r="G47" i="4" s="1"/>
  <c r="E48" i="4"/>
  <c r="G48" i="4" s="1"/>
  <c r="H45" i="4"/>
  <c r="H46" i="4"/>
  <c r="H47" i="4"/>
  <c r="H48" i="4"/>
  <c r="F18" i="14"/>
  <c r="F12" i="13"/>
  <c r="F13" i="13"/>
  <c r="F14" i="13"/>
  <c r="F17" i="13"/>
  <c r="F18" i="13"/>
  <c r="E57" i="4"/>
  <c r="G57" i="4" s="1"/>
  <c r="E58" i="4"/>
  <c r="G58" i="4" s="1"/>
  <c r="E59" i="4"/>
  <c r="G59" i="4" s="1"/>
  <c r="E60" i="4"/>
  <c r="G60" i="4" s="1"/>
  <c r="H57" i="4"/>
  <c r="H58" i="4"/>
  <c r="H59" i="4"/>
  <c r="H60" i="4"/>
  <c r="F15" i="13"/>
  <c r="F9" i="12"/>
  <c r="F10" i="12"/>
  <c r="F11" i="12"/>
  <c r="F14" i="12"/>
  <c r="F15" i="12"/>
  <c r="F16" i="12"/>
  <c r="F17" i="12"/>
  <c r="E72" i="4"/>
  <c r="G72" i="4" s="1"/>
  <c r="H72" i="4"/>
  <c r="F12" i="12"/>
  <c r="J72" i="4"/>
  <c r="F30" i="12"/>
  <c r="H27" i="11"/>
  <c r="F7" i="9"/>
  <c r="D100" i="3"/>
  <c r="F47" i="10"/>
  <c r="F35" i="10"/>
  <c r="F24" i="10"/>
  <c r="F12" i="10"/>
  <c r="F11" i="10"/>
  <c r="F46" i="10"/>
  <c r="F34" i="10"/>
  <c r="F23" i="10"/>
  <c r="H13" i="7"/>
  <c r="I13" i="7"/>
  <c r="K13" i="7" s="1"/>
  <c r="H14" i="7"/>
  <c r="I14" i="7"/>
  <c r="K14" i="7" s="1"/>
  <c r="H15" i="7"/>
  <c r="I15" i="7"/>
  <c r="K15" i="7" s="1"/>
  <c r="H16" i="7"/>
  <c r="I16" i="7"/>
  <c r="L16" i="7" s="1"/>
  <c r="M16" i="7" s="1"/>
  <c r="E25" i="18"/>
  <c r="G25" i="18" s="1"/>
  <c r="K25" i="18" s="1"/>
  <c r="E26" i="18"/>
  <c r="D25" i="18"/>
  <c r="D26" i="18"/>
  <c r="C25" i="18"/>
  <c r="F25" i="18" s="1"/>
  <c r="C26" i="18"/>
  <c r="F26" i="18" s="1"/>
  <c r="G26" i="18"/>
  <c r="K26" i="18" s="1"/>
  <c r="E16" i="18"/>
  <c r="G16" i="18" s="1"/>
  <c r="K16" i="18" s="1"/>
  <c r="E17" i="18"/>
  <c r="G17" i="18" s="1"/>
  <c r="K17" i="18" s="1"/>
  <c r="C16" i="18"/>
  <c r="D16" i="18"/>
  <c r="C17" i="18"/>
  <c r="D17" i="18"/>
  <c r="G24" i="3"/>
  <c r="G25" i="3"/>
  <c r="G100" i="3"/>
  <c r="H100" i="3" s="1"/>
  <c r="E100" i="3"/>
  <c r="C79" i="4"/>
  <c r="C81" i="4"/>
  <c r="C78" i="4"/>
  <c r="F7" i="8"/>
  <c r="F5" i="8"/>
  <c r="G7" i="8"/>
  <c r="J7" i="8" s="1"/>
  <c r="K7" i="8" s="1"/>
  <c r="F9" i="13"/>
  <c r="F8" i="13"/>
  <c r="F7" i="13"/>
  <c r="F6" i="13"/>
  <c r="F24" i="13"/>
  <c r="F22" i="13"/>
  <c r="D10" i="13"/>
  <c r="F10" i="13" s="1"/>
  <c r="F12" i="14"/>
  <c r="F11" i="14"/>
  <c r="F10" i="14"/>
  <c r="F9" i="14"/>
  <c r="F8" i="14"/>
  <c r="F7" i="14"/>
  <c r="F6" i="14"/>
  <c r="F27" i="14"/>
  <c r="F25" i="14"/>
  <c r="D13" i="14"/>
  <c r="F20" i="17"/>
  <c r="F18" i="17"/>
  <c r="D6" i="17"/>
  <c r="F6" i="17" s="1"/>
  <c r="F20" i="15"/>
  <c r="F18" i="15"/>
  <c r="D6" i="15"/>
  <c r="F6" i="15" s="1"/>
  <c r="F20" i="16"/>
  <c r="F18" i="16"/>
  <c r="D6" i="16"/>
  <c r="F6" i="16" s="1"/>
  <c r="AC35" i="6"/>
  <c r="D72" i="4"/>
  <c r="D60" i="4"/>
  <c r="D59" i="4"/>
  <c r="D58" i="4"/>
  <c r="D57" i="4"/>
  <c r="D48" i="4"/>
  <c r="D47" i="4"/>
  <c r="D46" i="4"/>
  <c r="D45" i="4"/>
  <c r="D36" i="4"/>
  <c r="D35" i="4"/>
  <c r="D34" i="4"/>
  <c r="D33" i="4"/>
  <c r="D32" i="4"/>
  <c r="D24" i="4"/>
  <c r="D23" i="4"/>
  <c r="D22" i="4"/>
  <c r="D21" i="4"/>
  <c r="D20" i="4"/>
  <c r="D12" i="4"/>
  <c r="D11" i="4"/>
  <c r="D10" i="4"/>
  <c r="D9" i="4"/>
  <c r="D8" i="4"/>
  <c r="F24" i="12"/>
  <c r="F22" i="12"/>
  <c r="F21" i="12"/>
  <c r="D7" i="12"/>
  <c r="F7" i="12" s="1"/>
  <c r="S12" i="4"/>
  <c r="P12" i="4"/>
  <c r="N12" i="4"/>
  <c r="J12" i="4"/>
  <c r="C12" i="4"/>
  <c r="S11" i="4"/>
  <c r="P11" i="4"/>
  <c r="N11" i="4"/>
  <c r="J11" i="4"/>
  <c r="C11" i="4"/>
  <c r="S10" i="4"/>
  <c r="P10" i="4"/>
  <c r="N10" i="4"/>
  <c r="J10" i="4"/>
  <c r="C10" i="4"/>
  <c r="S9" i="4"/>
  <c r="P9" i="4"/>
  <c r="N9" i="4"/>
  <c r="J9" i="4"/>
  <c r="C9" i="4"/>
  <c r="S8" i="4"/>
  <c r="P8" i="4"/>
  <c r="N8" i="4"/>
  <c r="J8" i="4"/>
  <c r="C8" i="4"/>
  <c r="S72" i="4"/>
  <c r="P72" i="4"/>
  <c r="N72" i="4"/>
  <c r="C72" i="4"/>
  <c r="F29" i="11"/>
  <c r="H29" i="11" s="1"/>
  <c r="F28" i="11"/>
  <c r="H28" i="11" s="1"/>
  <c r="F27" i="11"/>
  <c r="F30" i="11" s="1"/>
  <c r="D43" i="3" s="1"/>
  <c r="E43" i="3" s="1"/>
  <c r="F22" i="11"/>
  <c r="H22" i="11"/>
  <c r="F21" i="11"/>
  <c r="H21" i="11" s="1"/>
  <c r="F20" i="11"/>
  <c r="H20" i="11" s="1"/>
  <c r="H23" i="11" s="1"/>
  <c r="G42" i="3" s="1"/>
  <c r="H42" i="3" s="1"/>
  <c r="F15" i="11"/>
  <c r="H15" i="11"/>
  <c r="F14" i="11"/>
  <c r="H14" i="11"/>
  <c r="F13" i="11"/>
  <c r="F16" i="11" s="1"/>
  <c r="D41" i="3" s="1"/>
  <c r="E41" i="3" s="1"/>
  <c r="H6" i="11"/>
  <c r="F8" i="11"/>
  <c r="H8" i="11"/>
  <c r="F7" i="11"/>
  <c r="H7" i="11" s="1"/>
  <c r="F6" i="11"/>
  <c r="F9" i="11" s="1"/>
  <c r="F49" i="10"/>
  <c r="F48" i="10"/>
  <c r="F45" i="10"/>
  <c r="F44" i="10"/>
  <c r="F50" i="10" s="1"/>
  <c r="F49" i="3" s="1"/>
  <c r="F43" i="10"/>
  <c r="F42" i="10"/>
  <c r="F37" i="10"/>
  <c r="F36" i="10"/>
  <c r="F33" i="10"/>
  <c r="F32" i="10"/>
  <c r="F31" i="10"/>
  <c r="F30" i="10"/>
  <c r="F38" i="10" s="1"/>
  <c r="F48" i="3" s="1"/>
  <c r="F25" i="10"/>
  <c r="F22" i="10"/>
  <c r="F20" i="10"/>
  <c r="F19" i="10"/>
  <c r="F21" i="10"/>
  <c r="F18" i="10"/>
  <c r="F26" i="10" s="1"/>
  <c r="F47" i="3" s="1"/>
  <c r="F13" i="10"/>
  <c r="F10" i="10"/>
  <c r="F9" i="10"/>
  <c r="F8" i="10"/>
  <c r="F7" i="10"/>
  <c r="F6" i="10"/>
  <c r="F14" i="10" s="1"/>
  <c r="F46" i="3" s="1"/>
  <c r="F9" i="9"/>
  <c r="F8" i="9"/>
  <c r="F6" i="9"/>
  <c r="F12" i="7"/>
  <c r="H12" i="7" s="1"/>
  <c r="E7" i="7"/>
  <c r="I7" i="7" s="1"/>
  <c r="J7" i="7" s="1"/>
  <c r="E8" i="7"/>
  <c r="F8" i="7" s="1"/>
  <c r="E9" i="7"/>
  <c r="E10" i="7"/>
  <c r="H10" i="7" s="1"/>
  <c r="E11" i="7"/>
  <c r="E12" i="7"/>
  <c r="E6" i="7"/>
  <c r="Z36" i="6"/>
  <c r="AC36" i="6" s="1"/>
  <c r="S36" i="6"/>
  <c r="T36" i="6" s="1"/>
  <c r="U36" i="6"/>
  <c r="W36" i="6" s="1"/>
  <c r="Q36" i="6"/>
  <c r="R36" i="6" s="1"/>
  <c r="O36" i="6"/>
  <c r="G36" i="6"/>
  <c r="B36" i="6"/>
  <c r="Z35" i="6"/>
  <c r="AA35" i="6" s="1"/>
  <c r="S35" i="6"/>
  <c r="T35" i="6" s="1"/>
  <c r="Q35" i="6"/>
  <c r="R35" i="6" s="1"/>
  <c r="O35" i="6"/>
  <c r="G35" i="6"/>
  <c r="B35" i="6"/>
  <c r="Z34" i="6"/>
  <c r="AC34" i="6" s="1"/>
  <c r="S34" i="6"/>
  <c r="U34" i="6" s="1"/>
  <c r="W34" i="6" s="1"/>
  <c r="Q34" i="6"/>
  <c r="R34" i="6" s="1"/>
  <c r="O34" i="6"/>
  <c r="G34" i="6"/>
  <c r="B34" i="6"/>
  <c r="Z33" i="6"/>
  <c r="AC33" i="6" s="1"/>
  <c r="S33" i="6"/>
  <c r="T33" i="6" s="1"/>
  <c r="U33" i="6"/>
  <c r="V33" i="6" s="1"/>
  <c r="W33" i="6"/>
  <c r="Q33" i="6"/>
  <c r="R33" i="6" s="1"/>
  <c r="O33" i="6"/>
  <c r="G33" i="6"/>
  <c r="B33" i="6"/>
  <c r="Z32" i="6"/>
  <c r="AC32" i="6" s="1"/>
  <c r="S32" i="6"/>
  <c r="U32" i="6"/>
  <c r="V32" i="6" s="1"/>
  <c r="Q32" i="6"/>
  <c r="R32" i="6" s="1"/>
  <c r="O32" i="6"/>
  <c r="G32" i="6"/>
  <c r="B32" i="6"/>
  <c r="Z31" i="6"/>
  <c r="S31" i="6"/>
  <c r="U31" i="6" s="1"/>
  <c r="W31" i="6" s="1"/>
  <c r="Q31" i="6"/>
  <c r="R31" i="6" s="1"/>
  <c r="O31" i="6"/>
  <c r="G31" i="6"/>
  <c r="B31" i="6"/>
  <c r="Z30" i="6"/>
  <c r="AC30" i="6" s="1"/>
  <c r="S30" i="6"/>
  <c r="T30" i="6" s="1"/>
  <c r="U30" i="6"/>
  <c r="W30" i="6" s="1"/>
  <c r="Q30" i="6"/>
  <c r="R30" i="6" s="1"/>
  <c r="O30" i="6"/>
  <c r="G30" i="6"/>
  <c r="B30" i="6"/>
  <c r="Z29" i="6"/>
  <c r="AC29" i="6" s="1"/>
  <c r="S29" i="6"/>
  <c r="T29" i="6" s="1"/>
  <c r="Q29" i="6"/>
  <c r="R29" i="6" s="1"/>
  <c r="O29" i="6"/>
  <c r="G29" i="6"/>
  <c r="B29" i="6"/>
  <c r="Z28" i="6"/>
  <c r="AA28" i="6" s="1"/>
  <c r="S28" i="6"/>
  <c r="T28" i="6" s="1"/>
  <c r="Q28" i="6"/>
  <c r="R28" i="6" s="1"/>
  <c r="O28" i="6"/>
  <c r="G28" i="6"/>
  <c r="B28" i="6"/>
  <c r="Z27" i="6"/>
  <c r="AB27" i="6" s="1"/>
  <c r="S27" i="6"/>
  <c r="Q27" i="6"/>
  <c r="R27" i="6"/>
  <c r="O27" i="6"/>
  <c r="G27" i="6"/>
  <c r="B27" i="6"/>
  <c r="Z26" i="6"/>
  <c r="AC26" i="6" s="1"/>
  <c r="S26" i="6"/>
  <c r="U26" i="6" s="1"/>
  <c r="Q26" i="6"/>
  <c r="R26" i="6" s="1"/>
  <c r="O26" i="6"/>
  <c r="G26" i="6"/>
  <c r="B26" i="6"/>
  <c r="Z25" i="6"/>
  <c r="AC25" i="6" s="1"/>
  <c r="S25" i="6"/>
  <c r="T25" i="6" s="1"/>
  <c r="Q25" i="6"/>
  <c r="R25" i="6" s="1"/>
  <c r="O25" i="6"/>
  <c r="G25" i="6"/>
  <c r="B25" i="6"/>
  <c r="Z24" i="6"/>
  <c r="AC24" i="6" s="1"/>
  <c r="S24" i="6"/>
  <c r="Q24" i="6"/>
  <c r="R24" i="6"/>
  <c r="O24" i="6"/>
  <c r="G24" i="6"/>
  <c r="B24" i="6"/>
  <c r="Z23" i="6"/>
  <c r="S23" i="6"/>
  <c r="U23" i="6" s="1"/>
  <c r="Q23" i="6"/>
  <c r="R23" i="6" s="1"/>
  <c r="O23" i="6"/>
  <c r="G23" i="6"/>
  <c r="B23" i="6"/>
  <c r="Z22" i="6"/>
  <c r="AC22" i="6" s="1"/>
  <c r="S22" i="6"/>
  <c r="U22" i="6" s="1"/>
  <c r="Q22" i="6"/>
  <c r="R22" i="6" s="1"/>
  <c r="O22" i="6"/>
  <c r="G22" i="6"/>
  <c r="B22" i="6"/>
  <c r="Z21" i="6"/>
  <c r="AB21" i="6" s="1"/>
  <c r="S21" i="6"/>
  <c r="T21" i="6" s="1"/>
  <c r="U21" i="6"/>
  <c r="Q21" i="6"/>
  <c r="R21" i="6"/>
  <c r="O21" i="6"/>
  <c r="G21" i="6"/>
  <c r="B21" i="6"/>
  <c r="Z20" i="6"/>
  <c r="AC20" i="6" s="1"/>
  <c r="S20" i="6"/>
  <c r="U20" i="6" s="1"/>
  <c r="Q20" i="6"/>
  <c r="R20" i="6" s="1"/>
  <c r="O20" i="6"/>
  <c r="G20" i="6"/>
  <c r="B20" i="6"/>
  <c r="Z19" i="6"/>
  <c r="AC19" i="6" s="1"/>
  <c r="S19" i="6"/>
  <c r="Q19" i="6"/>
  <c r="R19" i="6" s="1"/>
  <c r="O19" i="6"/>
  <c r="G19" i="6"/>
  <c r="B19" i="6"/>
  <c r="Z18" i="6"/>
  <c r="AC18" i="6" s="1"/>
  <c r="S18" i="6"/>
  <c r="T18" i="6" s="1"/>
  <c r="U18" i="6"/>
  <c r="Q18" i="6"/>
  <c r="R18" i="6" s="1"/>
  <c r="O18" i="6"/>
  <c r="G18" i="6"/>
  <c r="B18" i="6"/>
  <c r="Z17" i="6"/>
  <c r="AC17" i="6" s="1"/>
  <c r="S17" i="6"/>
  <c r="U17" i="6" s="1"/>
  <c r="V17" i="6" s="1"/>
  <c r="Q17" i="6"/>
  <c r="R17" i="6"/>
  <c r="O17" i="6"/>
  <c r="G17" i="6"/>
  <c r="B17" i="6"/>
  <c r="Z16" i="6"/>
  <c r="AC16" i="6" s="1"/>
  <c r="S16" i="6"/>
  <c r="U16" i="6" s="1"/>
  <c r="W16" i="6" s="1"/>
  <c r="Q16" i="6"/>
  <c r="R16" i="6" s="1"/>
  <c r="P54" i="4" s="1"/>
  <c r="O16" i="6"/>
  <c r="G16" i="6"/>
  <c r="B16" i="6"/>
  <c r="Z15" i="6"/>
  <c r="S15" i="6"/>
  <c r="T15" i="6" s="1"/>
  <c r="Q15" i="6"/>
  <c r="R15" i="6" s="1"/>
  <c r="O15" i="6"/>
  <c r="G15" i="6"/>
  <c r="B15" i="6"/>
  <c r="Z14" i="6"/>
  <c r="AC14" i="6" s="1"/>
  <c r="S14" i="6"/>
  <c r="U14" i="6" s="1"/>
  <c r="W14" i="6" s="1"/>
  <c r="Q14" i="6"/>
  <c r="R14" i="6" s="1"/>
  <c r="O14" i="6"/>
  <c r="G14" i="6"/>
  <c r="B14" i="6"/>
  <c r="Z13" i="6"/>
  <c r="AC13" i="6" s="1"/>
  <c r="S13" i="6"/>
  <c r="U13" i="6" s="1"/>
  <c r="W13" i="6" s="1"/>
  <c r="Q13" i="6"/>
  <c r="R13" i="6"/>
  <c r="O13" i="6"/>
  <c r="G13" i="6"/>
  <c r="B13" i="6"/>
  <c r="Z12" i="6"/>
  <c r="AC12" i="6" s="1"/>
  <c r="S12" i="6"/>
  <c r="U12" i="6" s="1"/>
  <c r="W12" i="6" s="1"/>
  <c r="Q12" i="6"/>
  <c r="R12" i="6"/>
  <c r="O12" i="6"/>
  <c r="G12" i="6"/>
  <c r="B12" i="6"/>
  <c r="Z11" i="6"/>
  <c r="AC11" i="6" s="1"/>
  <c r="AA11" i="6"/>
  <c r="S11" i="6"/>
  <c r="T11" i="6" s="1"/>
  <c r="U11" i="6"/>
  <c r="V11" i="6" s="1"/>
  <c r="Q11" i="6"/>
  <c r="R11" i="6" s="1"/>
  <c r="O11" i="6"/>
  <c r="G11" i="6"/>
  <c r="B11" i="6"/>
  <c r="Z10" i="6"/>
  <c r="AC10" i="6" s="1"/>
  <c r="S10" i="6"/>
  <c r="T10" i="6" s="1"/>
  <c r="Q10" i="6"/>
  <c r="R10" i="6" s="1"/>
  <c r="P30" i="4" s="1"/>
  <c r="O10" i="6"/>
  <c r="G10" i="6"/>
  <c r="B10" i="6"/>
  <c r="Z9" i="6"/>
  <c r="S9" i="6"/>
  <c r="T9" i="6" s="1"/>
  <c r="Q9" i="6"/>
  <c r="R9" i="6" s="1"/>
  <c r="O9" i="6"/>
  <c r="G9" i="6"/>
  <c r="B9" i="6"/>
  <c r="Z8" i="6"/>
  <c r="AC8" i="6" s="1"/>
  <c r="S8" i="6"/>
  <c r="Q8" i="6"/>
  <c r="R8" i="6"/>
  <c r="O8" i="6"/>
  <c r="G8" i="6"/>
  <c r="B8" i="6"/>
  <c r="Z7" i="6"/>
  <c r="AC7" i="6" s="1"/>
  <c r="S7" i="6"/>
  <c r="Q7" i="6"/>
  <c r="R7" i="6" s="1"/>
  <c r="O7" i="6"/>
  <c r="G7" i="6"/>
  <c r="B7" i="6"/>
  <c r="Z6" i="6"/>
  <c r="AC6" i="6" s="1"/>
  <c r="S6" i="6"/>
  <c r="U6" i="6" s="1"/>
  <c r="Q6" i="6"/>
  <c r="R6" i="6" s="1"/>
  <c r="O6" i="6"/>
  <c r="G6" i="6"/>
  <c r="B6" i="6"/>
  <c r="Z5" i="6"/>
  <c r="AC5" i="6" s="1"/>
  <c r="S5" i="6"/>
  <c r="T5" i="6" s="1"/>
  <c r="Q5" i="6"/>
  <c r="R5" i="6" s="1"/>
  <c r="O5" i="6"/>
  <c r="G5" i="6"/>
  <c r="B5" i="6"/>
  <c r="Z4" i="6"/>
  <c r="AC4" i="6" s="1"/>
  <c r="S4" i="6"/>
  <c r="U4" i="6" s="1"/>
  <c r="Q4" i="6"/>
  <c r="R4" i="6" s="1"/>
  <c r="O4" i="6"/>
  <c r="G4" i="6"/>
  <c r="B4" i="6"/>
  <c r="AA412" i="5"/>
  <c r="Z412" i="5"/>
  <c r="AB412" i="5"/>
  <c r="Y412" i="5"/>
  <c r="X412" i="5"/>
  <c r="V412" i="5"/>
  <c r="W412" i="5" s="1"/>
  <c r="R412" i="5"/>
  <c r="L412" i="5"/>
  <c r="G412" i="5"/>
  <c r="B412" i="5"/>
  <c r="Z411" i="5"/>
  <c r="X411" i="5"/>
  <c r="Y411" i="5" s="1"/>
  <c r="V411" i="5"/>
  <c r="W411" i="5" s="1"/>
  <c r="R411" i="5"/>
  <c r="L411" i="5"/>
  <c r="G411" i="5"/>
  <c r="B411" i="5"/>
  <c r="AB410" i="5"/>
  <c r="AD410" i="5" s="1"/>
  <c r="AA410" i="5"/>
  <c r="Z410" i="5"/>
  <c r="Y410" i="5"/>
  <c r="X410" i="5"/>
  <c r="V410" i="5"/>
  <c r="W410" i="5" s="1"/>
  <c r="R410" i="5"/>
  <c r="L410" i="5"/>
  <c r="G410" i="5"/>
  <c r="B410" i="5"/>
  <c r="AB409" i="5"/>
  <c r="AA409" i="5"/>
  <c r="Z409" i="5"/>
  <c r="X409" i="5"/>
  <c r="Y409" i="5" s="1"/>
  <c r="V409" i="5"/>
  <c r="W409" i="5" s="1"/>
  <c r="R409" i="5"/>
  <c r="L409" i="5"/>
  <c r="G409" i="5"/>
  <c r="B409" i="5"/>
  <c r="Z408" i="5"/>
  <c r="AB408" i="5" s="1"/>
  <c r="AC408" i="5" s="1"/>
  <c r="X408" i="5"/>
  <c r="Y408" i="5" s="1"/>
  <c r="V408" i="5"/>
  <c r="W408" i="5" s="1"/>
  <c r="R408" i="5"/>
  <c r="L408" i="5"/>
  <c r="G408" i="5"/>
  <c r="B408" i="5"/>
  <c r="Z407" i="5"/>
  <c r="X407" i="5"/>
  <c r="Y407" i="5"/>
  <c r="V407" i="5"/>
  <c r="W407" i="5"/>
  <c r="R407" i="5"/>
  <c r="L407" i="5"/>
  <c r="G407" i="5"/>
  <c r="B407" i="5"/>
  <c r="Z406" i="5"/>
  <c r="AA406" i="5" s="1"/>
  <c r="Y406" i="5"/>
  <c r="X406" i="5"/>
  <c r="V406" i="5"/>
  <c r="W406" i="5" s="1"/>
  <c r="R406" i="5"/>
  <c r="L406" i="5"/>
  <c r="G406" i="5"/>
  <c r="B406" i="5"/>
  <c r="Z405" i="5"/>
  <c r="AB405" i="5" s="1"/>
  <c r="AC405" i="5" s="1"/>
  <c r="AA405" i="5"/>
  <c r="X405" i="5"/>
  <c r="Y405" i="5"/>
  <c r="V405" i="5"/>
  <c r="W405" i="5" s="1"/>
  <c r="R405" i="5"/>
  <c r="L405" i="5"/>
  <c r="G405" i="5"/>
  <c r="B405" i="5"/>
  <c r="Z404" i="5"/>
  <c r="Y404" i="5"/>
  <c r="X404" i="5"/>
  <c r="V404" i="5"/>
  <c r="W404" i="5" s="1"/>
  <c r="R404" i="5"/>
  <c r="L404" i="5"/>
  <c r="G404" i="5"/>
  <c r="B404" i="5"/>
  <c r="Z403" i="5"/>
  <c r="AA403" i="5" s="1"/>
  <c r="X403" i="5"/>
  <c r="Y403" i="5"/>
  <c r="V403" i="5"/>
  <c r="W403" i="5"/>
  <c r="R403" i="5"/>
  <c r="L403" i="5"/>
  <c r="G403" i="5"/>
  <c r="B403" i="5"/>
  <c r="Z402" i="5"/>
  <c r="AB402" i="5" s="1"/>
  <c r="X402" i="5"/>
  <c r="Y402" i="5" s="1"/>
  <c r="V402" i="5"/>
  <c r="W402" i="5" s="1"/>
  <c r="R402" i="5"/>
  <c r="G402" i="5"/>
  <c r="B402" i="5"/>
  <c r="Z401" i="5"/>
  <c r="AB401" i="5"/>
  <c r="X401" i="5"/>
  <c r="Y401" i="5" s="1"/>
  <c r="V401" i="5"/>
  <c r="W401" i="5" s="1"/>
  <c r="R401" i="5"/>
  <c r="G401" i="5"/>
  <c r="B401" i="5"/>
  <c r="AB400" i="5"/>
  <c r="AD400" i="5" s="1"/>
  <c r="AA400" i="5"/>
  <c r="Z400" i="5"/>
  <c r="X400" i="5"/>
  <c r="Y400" i="5" s="1"/>
  <c r="V400" i="5"/>
  <c r="W400" i="5" s="1"/>
  <c r="R400" i="5"/>
  <c r="G400" i="5"/>
  <c r="B400" i="5"/>
  <c r="Z399" i="5"/>
  <c r="AA399" i="5" s="1"/>
  <c r="AB399" i="5"/>
  <c r="AC399" i="5" s="1"/>
  <c r="X399" i="5"/>
  <c r="Y399" i="5" s="1"/>
  <c r="V399" i="5"/>
  <c r="W399" i="5" s="1"/>
  <c r="R399" i="5"/>
  <c r="L399" i="5"/>
  <c r="G399" i="5"/>
  <c r="B399" i="5"/>
  <c r="Z398" i="5"/>
  <c r="AB398" i="5" s="1"/>
  <c r="AA398" i="5"/>
  <c r="X398" i="5"/>
  <c r="Y398" i="5" s="1"/>
  <c r="V398" i="5"/>
  <c r="W398" i="5" s="1"/>
  <c r="R398" i="5"/>
  <c r="L398" i="5"/>
  <c r="G398" i="5"/>
  <c r="B398" i="5"/>
  <c r="Z397" i="5"/>
  <c r="AA397" i="5" s="1"/>
  <c r="X397" i="5"/>
  <c r="Y397" i="5" s="1"/>
  <c r="V397" i="5"/>
  <c r="W397" i="5" s="1"/>
  <c r="R397" i="5"/>
  <c r="L397" i="5"/>
  <c r="G397" i="5"/>
  <c r="B397" i="5"/>
  <c r="Z396" i="5"/>
  <c r="AA396" i="5" s="1"/>
  <c r="AB396" i="5"/>
  <c r="AC396" i="5" s="1"/>
  <c r="AE396" i="5" s="1"/>
  <c r="AF396" i="5" s="1"/>
  <c r="X396" i="5"/>
  <c r="Y396" i="5" s="1"/>
  <c r="V396" i="5"/>
  <c r="W396" i="5" s="1"/>
  <c r="R396" i="5"/>
  <c r="L396" i="5"/>
  <c r="G396" i="5"/>
  <c r="B396" i="5"/>
  <c r="Z395" i="5"/>
  <c r="AB395" i="5" s="1"/>
  <c r="AD395" i="5" s="1"/>
  <c r="X395" i="5"/>
  <c r="Y395" i="5" s="1"/>
  <c r="V395" i="5"/>
  <c r="W395" i="5" s="1"/>
  <c r="R395" i="5"/>
  <c r="L395" i="5"/>
  <c r="G395" i="5"/>
  <c r="B395" i="5"/>
  <c r="Z394" i="5"/>
  <c r="X394" i="5"/>
  <c r="Y394" i="5" s="1"/>
  <c r="V394" i="5"/>
  <c r="W394" i="5"/>
  <c r="T394" i="5"/>
  <c r="R394" i="5"/>
  <c r="L394" i="5"/>
  <c r="G394" i="5"/>
  <c r="B394" i="5"/>
  <c r="Z393" i="5"/>
  <c r="X393" i="5"/>
  <c r="Y393" i="5" s="1"/>
  <c r="V393" i="5"/>
  <c r="W393" i="5" s="1"/>
  <c r="R393" i="5"/>
  <c r="L393" i="5"/>
  <c r="G393" i="5"/>
  <c r="B393" i="5"/>
  <c r="S60" i="4"/>
  <c r="P60" i="4"/>
  <c r="N60" i="4"/>
  <c r="J60" i="4"/>
  <c r="C60" i="4"/>
  <c r="S59" i="4"/>
  <c r="P59" i="4"/>
  <c r="N59" i="4"/>
  <c r="J59" i="4"/>
  <c r="C59" i="4"/>
  <c r="S58" i="4"/>
  <c r="P58" i="4"/>
  <c r="N58" i="4"/>
  <c r="J58" i="4"/>
  <c r="C58" i="4"/>
  <c r="S57" i="4"/>
  <c r="P57" i="4"/>
  <c r="N57" i="4"/>
  <c r="J57" i="4"/>
  <c r="C57" i="4"/>
  <c r="N56" i="4"/>
  <c r="P55" i="4"/>
  <c r="N54" i="4"/>
  <c r="S48" i="4"/>
  <c r="P48" i="4"/>
  <c r="N48" i="4"/>
  <c r="J48" i="4"/>
  <c r="C48" i="4"/>
  <c r="S47" i="4"/>
  <c r="P47" i="4"/>
  <c r="N47" i="4"/>
  <c r="J47" i="4"/>
  <c r="C47" i="4"/>
  <c r="S46" i="4"/>
  <c r="P46" i="4"/>
  <c r="N46" i="4"/>
  <c r="J46" i="4"/>
  <c r="C46" i="4"/>
  <c r="S45" i="4"/>
  <c r="P45" i="4"/>
  <c r="N45" i="4"/>
  <c r="J45" i="4"/>
  <c r="C45" i="4"/>
  <c r="N44" i="4"/>
  <c r="S36" i="4"/>
  <c r="P36" i="4"/>
  <c r="N36" i="4"/>
  <c r="J36" i="4"/>
  <c r="C36" i="4"/>
  <c r="S35" i="4"/>
  <c r="P35" i="4"/>
  <c r="N35" i="4"/>
  <c r="J35" i="4"/>
  <c r="C35" i="4"/>
  <c r="S34" i="4"/>
  <c r="T34" i="4" s="1"/>
  <c r="P34" i="4"/>
  <c r="N34" i="4"/>
  <c r="O34" i="4" s="1"/>
  <c r="J34" i="4"/>
  <c r="K34" i="4" s="1"/>
  <c r="M34" i="4" s="1"/>
  <c r="C34" i="4"/>
  <c r="S33" i="4"/>
  <c r="P33" i="4"/>
  <c r="N33" i="4"/>
  <c r="J33" i="4"/>
  <c r="C33" i="4"/>
  <c r="S32" i="4"/>
  <c r="P32" i="4"/>
  <c r="N32" i="4"/>
  <c r="J32" i="4"/>
  <c r="C32" i="4"/>
  <c r="N31" i="4"/>
  <c r="N30" i="4"/>
  <c r="S24" i="4"/>
  <c r="P24" i="4"/>
  <c r="N24" i="4"/>
  <c r="J24" i="4"/>
  <c r="C24" i="4"/>
  <c r="S23" i="4"/>
  <c r="P23" i="4"/>
  <c r="N23" i="4"/>
  <c r="J23" i="4"/>
  <c r="C23" i="4"/>
  <c r="S22" i="4"/>
  <c r="P22" i="4"/>
  <c r="N22" i="4"/>
  <c r="J22" i="4"/>
  <c r="C22" i="4"/>
  <c r="S21" i="4"/>
  <c r="P21" i="4"/>
  <c r="N21" i="4"/>
  <c r="J21" i="4"/>
  <c r="C21" i="4"/>
  <c r="S20" i="4"/>
  <c r="P20" i="4"/>
  <c r="N20" i="4"/>
  <c r="J20" i="4"/>
  <c r="C20" i="4"/>
  <c r="N19" i="4"/>
  <c r="N18" i="4"/>
  <c r="AB35" i="6"/>
  <c r="U28" i="6"/>
  <c r="W28" i="6" s="1"/>
  <c r="AB19" i="6"/>
  <c r="AB11" i="6"/>
  <c r="AD396" i="5"/>
  <c r="AA401" i="5"/>
  <c r="AD408" i="5"/>
  <c r="AC410" i="5"/>
  <c r="AE410" i="5"/>
  <c r="AF410" i="5" s="1"/>
  <c r="AB411" i="5"/>
  <c r="AA411" i="5"/>
  <c r="AD412" i="5"/>
  <c r="AC412" i="5"/>
  <c r="AE412" i="5" s="1"/>
  <c r="AF412" i="5" s="1"/>
  <c r="AA393" i="5"/>
  <c r="AB393" i="5"/>
  <c r="AC393" i="5" s="1"/>
  <c r="AC409" i="5"/>
  <c r="AD409" i="5"/>
  <c r="W6" i="6"/>
  <c r="V6" i="6"/>
  <c r="W17" i="6"/>
  <c r="AD405" i="5"/>
  <c r="AA407" i="5"/>
  <c r="AB407" i="5"/>
  <c r="AB34" i="6"/>
  <c r="AA394" i="5"/>
  <c r="AB394" i="5"/>
  <c r="AC394" i="5" s="1"/>
  <c r="AB18" i="6"/>
  <c r="W22" i="6"/>
  <c r="V22" i="6"/>
  <c r="AD401" i="5"/>
  <c r="AC401" i="5"/>
  <c r="AA12" i="6"/>
  <c r="AA32" i="6"/>
  <c r="T32" i="6"/>
  <c r="AB32" i="6"/>
  <c r="AD32" i="6" s="1"/>
  <c r="AC407" i="5"/>
  <c r="AD407" i="5"/>
  <c r="E28" i="3"/>
  <c r="E27" i="3"/>
  <c r="E24" i="3"/>
  <c r="H13" i="11" l="1"/>
  <c r="H16" i="11" s="1"/>
  <c r="G41" i="3" s="1"/>
  <c r="H41" i="3" s="1"/>
  <c r="D40" i="3"/>
  <c r="E40" i="3" s="1"/>
  <c r="H9" i="11"/>
  <c r="G40" i="3" s="1"/>
  <c r="E65" i="3"/>
  <c r="G65" i="3" s="1"/>
  <c r="H65" i="3" s="1"/>
  <c r="G46" i="3"/>
  <c r="H46" i="3" s="1"/>
  <c r="I10" i="7"/>
  <c r="I12" i="7"/>
  <c r="J12" i="7" s="1"/>
  <c r="K10" i="7"/>
  <c r="J10" i="7"/>
  <c r="L10" i="7" s="1"/>
  <c r="M10" i="7" s="1"/>
  <c r="E17" i="7"/>
  <c r="E50" i="3" s="1"/>
  <c r="G50" i="3" s="1"/>
  <c r="H50" i="3" s="1"/>
  <c r="AB24" i="6"/>
  <c r="AA13" i="6"/>
  <c r="V13" i="6"/>
  <c r="AA8" i="6"/>
  <c r="T26" i="6"/>
  <c r="T14" i="6"/>
  <c r="U5" i="6"/>
  <c r="W5" i="6" s="1"/>
  <c r="AB26" i="6"/>
  <c r="U15" i="6"/>
  <c r="W15" i="6" s="1"/>
  <c r="U9" i="6"/>
  <c r="W9" i="6" s="1"/>
  <c r="P56" i="4"/>
  <c r="P18" i="4"/>
  <c r="AA26" i="6"/>
  <c r="V26" i="6"/>
  <c r="W26" i="6"/>
  <c r="AA7" i="6"/>
  <c r="AB29" i="6"/>
  <c r="T59" i="4"/>
  <c r="AB17" i="6"/>
  <c r="AA17" i="6"/>
  <c r="AB20" i="6"/>
  <c r="V5" i="6"/>
  <c r="X5" i="6" s="1"/>
  <c r="Y5" i="6" s="1"/>
  <c r="V36" i="6"/>
  <c r="X36" i="6" s="1"/>
  <c r="Y36" i="6" s="1"/>
  <c r="AA19" i="6"/>
  <c r="AD19" i="6" s="1"/>
  <c r="AA14" i="6"/>
  <c r="V14" i="6"/>
  <c r="V16" i="6"/>
  <c r="U10" i="6"/>
  <c r="U29" i="6"/>
  <c r="W29" i="6" s="1"/>
  <c r="AA29" i="6"/>
  <c r="AA34" i="6"/>
  <c r="AD34" i="6" s="1"/>
  <c r="AB14" i="6"/>
  <c r="AB25" i="6"/>
  <c r="AB8" i="6"/>
  <c r="AD8" i="6" s="1"/>
  <c r="AA20" i="6"/>
  <c r="T17" i="6"/>
  <c r="X17" i="6" s="1"/>
  <c r="Y17" i="6" s="1"/>
  <c r="T20" i="6"/>
  <c r="AA16" i="6"/>
  <c r="W11" i="6"/>
  <c r="X11" i="6" s="1"/>
  <c r="Y11" i="6" s="1"/>
  <c r="X33" i="6"/>
  <c r="Y33" i="6" s="1"/>
  <c r="W23" i="6"/>
  <c r="V23" i="6"/>
  <c r="T34" i="6"/>
  <c r="AA18" i="6"/>
  <c r="AD18" i="6" s="1"/>
  <c r="V34" i="6"/>
  <c r="AB16" i="6"/>
  <c r="T6" i="6"/>
  <c r="X6" i="6" s="1"/>
  <c r="Y6" i="6" s="1"/>
  <c r="AB5" i="6"/>
  <c r="T23" i="6"/>
  <c r="W32" i="6"/>
  <c r="X32" i="6" s="1"/>
  <c r="Y32" i="6" s="1"/>
  <c r="AE32" i="6" s="1"/>
  <c r="U35" i="6"/>
  <c r="V28" i="6"/>
  <c r="X28" i="6" s="1"/>
  <c r="Y28" i="6" s="1"/>
  <c r="T22" i="6"/>
  <c r="X22" i="6" s="1"/>
  <c r="Y22" i="6" s="1"/>
  <c r="AB36" i="6"/>
  <c r="AB12" i="6"/>
  <c r="AD12" i="6" s="1"/>
  <c r="V30" i="6"/>
  <c r="X30" i="6" s="1"/>
  <c r="Y30" i="6" s="1"/>
  <c r="AA36" i="6"/>
  <c r="AB10" i="6"/>
  <c r="AA4" i="6"/>
  <c r="V12" i="6"/>
  <c r="AA25" i="6"/>
  <c r="P31" i="4"/>
  <c r="AB22" i="6"/>
  <c r="AA10" i="6"/>
  <c r="AD10" i="6" s="1"/>
  <c r="AB4" i="6"/>
  <c r="AB7" i="6"/>
  <c r="V31" i="6"/>
  <c r="AA22" i="6"/>
  <c r="AB6" i="6"/>
  <c r="AB30" i="6"/>
  <c r="T16" i="6"/>
  <c r="X16" i="6" s="1"/>
  <c r="Y16" i="6" s="1"/>
  <c r="V15" i="6"/>
  <c r="X15" i="6" s="1"/>
  <c r="Y15" i="6" s="1"/>
  <c r="P19" i="4"/>
  <c r="AB33" i="6"/>
  <c r="T13" i="6"/>
  <c r="X13" i="6" s="1"/>
  <c r="Y13" i="6" s="1"/>
  <c r="AA24" i="6"/>
  <c r="AD24" i="6" s="1"/>
  <c r="AA6" i="6"/>
  <c r="AA30" i="6"/>
  <c r="AA5" i="6"/>
  <c r="AE408" i="5"/>
  <c r="AF408" i="5" s="1"/>
  <c r="AA408" i="5"/>
  <c r="AB406" i="5"/>
  <c r="AC406" i="5" s="1"/>
  <c r="AB403" i="5"/>
  <c r="AC402" i="5"/>
  <c r="AD402" i="5"/>
  <c r="AA402" i="5"/>
  <c r="AC400" i="5"/>
  <c r="AE400" i="5" s="1"/>
  <c r="AF400" i="5" s="1"/>
  <c r="AD399" i="5"/>
  <c r="AE399" i="5" s="1"/>
  <c r="AF399" i="5" s="1"/>
  <c r="AD398" i="5"/>
  <c r="AC398" i="5"/>
  <c r="AE398" i="5" s="1"/>
  <c r="AF398" i="5" s="1"/>
  <c r="K23" i="4"/>
  <c r="M23" i="4" s="1"/>
  <c r="O23" i="4"/>
  <c r="AB397" i="5"/>
  <c r="AD397" i="5" s="1"/>
  <c r="K24" i="4"/>
  <c r="M24" i="4" s="1"/>
  <c r="Q23" i="4"/>
  <c r="I33" i="4"/>
  <c r="AC395" i="5"/>
  <c r="AA395" i="5"/>
  <c r="AD394" i="5"/>
  <c r="AE394" i="5" s="1"/>
  <c r="AF394" i="5" s="1"/>
  <c r="I9" i="4"/>
  <c r="AD393" i="5"/>
  <c r="AE393" i="5" s="1"/>
  <c r="AF393" i="5" s="1"/>
  <c r="J70" i="4" s="1"/>
  <c r="I36" i="4"/>
  <c r="AE409" i="5"/>
  <c r="AF409" i="5" s="1"/>
  <c r="I23" i="4"/>
  <c r="I10" i="4"/>
  <c r="O57" i="4"/>
  <c r="Q57" i="4"/>
  <c r="T57" i="4"/>
  <c r="K21" i="4"/>
  <c r="M21" i="4" s="1"/>
  <c r="K47" i="4"/>
  <c r="M47" i="4" s="1"/>
  <c r="T47" i="4"/>
  <c r="Q47" i="4"/>
  <c r="O47" i="4"/>
  <c r="T24" i="4"/>
  <c r="I22" i="4"/>
  <c r="K46" i="4"/>
  <c r="M46" i="4" s="1"/>
  <c r="I58" i="4"/>
  <c r="U34" i="4"/>
  <c r="Q24" i="4"/>
  <c r="K8" i="4"/>
  <c r="M8" i="4" s="1"/>
  <c r="O8" i="4"/>
  <c r="T45" i="4"/>
  <c r="Q8" i="4"/>
  <c r="Q35" i="4"/>
  <c r="T58" i="4"/>
  <c r="T35" i="4"/>
  <c r="O12" i="4"/>
  <c r="K36" i="4"/>
  <c r="M36" i="4" s="1"/>
  <c r="Q12" i="4"/>
  <c r="K48" i="4"/>
  <c r="M48" i="4" s="1"/>
  <c r="K22" i="4"/>
  <c r="M22" i="4" s="1"/>
  <c r="O58" i="4"/>
  <c r="K35" i="4"/>
  <c r="M35" i="4" s="1"/>
  <c r="Q58" i="4"/>
  <c r="O9" i="4"/>
  <c r="Q9" i="4"/>
  <c r="K45" i="4"/>
  <c r="M45" i="4" s="1"/>
  <c r="K58" i="4"/>
  <c r="M58" i="4" s="1"/>
  <c r="O35" i="4"/>
  <c r="T12" i="4"/>
  <c r="K57" i="4"/>
  <c r="M57" i="4" s="1"/>
  <c r="K11" i="4"/>
  <c r="M11" i="4" s="1"/>
  <c r="T11" i="4"/>
  <c r="I32" i="4"/>
  <c r="K32" i="4"/>
  <c r="M32" i="4" s="1"/>
  <c r="I60" i="4"/>
  <c r="T60" i="4"/>
  <c r="K60" i="4"/>
  <c r="I26" i="18"/>
  <c r="M26" i="18" s="1"/>
  <c r="H26" i="18"/>
  <c r="L26" i="18" s="1"/>
  <c r="T23" i="4"/>
  <c r="Q46" i="4"/>
  <c r="I48" i="4"/>
  <c r="Q34" i="4"/>
  <c r="T8" i="4"/>
  <c r="I34" i="4"/>
  <c r="I8" i="4"/>
  <c r="I35" i="4"/>
  <c r="I47" i="4"/>
  <c r="I21" i="4"/>
  <c r="O46" i="4"/>
  <c r="O24" i="4"/>
  <c r="F17" i="18"/>
  <c r="I17" i="18" s="1"/>
  <c r="M17" i="18" s="1"/>
  <c r="I46" i="4"/>
  <c r="I45" i="4"/>
  <c r="K10" i="4"/>
  <c r="M10" i="4" s="1"/>
  <c r="F16" i="18"/>
  <c r="H16" i="18" s="1"/>
  <c r="L16" i="18" s="1"/>
  <c r="O48" i="4"/>
  <c r="O10" i="4"/>
  <c r="Q10" i="4"/>
  <c r="Q21" i="4"/>
  <c r="Q36" i="4"/>
  <c r="T48" i="4"/>
  <c r="T10" i="4"/>
  <c r="O21" i="4"/>
  <c r="O36" i="4"/>
  <c r="Q48" i="4"/>
  <c r="T21" i="4"/>
  <c r="O32" i="4"/>
  <c r="T36" i="4"/>
  <c r="O60" i="4"/>
  <c r="AE407" i="5"/>
  <c r="AF407" i="5" s="1"/>
  <c r="J19" i="4" s="1"/>
  <c r="Q32" i="4"/>
  <c r="Q60" i="4"/>
  <c r="O72" i="4"/>
  <c r="K59" i="4"/>
  <c r="M59" i="4" s="1"/>
  <c r="I24" i="4"/>
  <c r="J18" i="4"/>
  <c r="AE405" i="5"/>
  <c r="AF405" i="5" s="1"/>
  <c r="T32" i="4"/>
  <c r="AD35" i="6"/>
  <c r="Q72" i="4"/>
  <c r="O11" i="4"/>
  <c r="I11" i="4"/>
  <c r="Q11" i="4"/>
  <c r="I57" i="4"/>
  <c r="Q22" i="4"/>
  <c r="R22" i="4" s="1"/>
  <c r="K33" i="4"/>
  <c r="M33" i="4" s="1"/>
  <c r="O45" i="4"/>
  <c r="AD11" i="6"/>
  <c r="O22" i="4"/>
  <c r="T22" i="4"/>
  <c r="O33" i="4"/>
  <c r="Q45" i="4"/>
  <c r="T33" i="4"/>
  <c r="Q33" i="4"/>
  <c r="G5" i="8"/>
  <c r="J5" i="8" s="1"/>
  <c r="K5" i="8" s="1"/>
  <c r="H6" i="8"/>
  <c r="G6" i="8"/>
  <c r="H25" i="18"/>
  <c r="L25" i="18" s="1"/>
  <c r="I25" i="18"/>
  <c r="M25" i="18" s="1"/>
  <c r="N25" i="18" s="1"/>
  <c r="O25" i="18" s="1"/>
  <c r="U8" i="6"/>
  <c r="T8" i="6"/>
  <c r="J44" i="4"/>
  <c r="AC411" i="5"/>
  <c r="AD411" i="5"/>
  <c r="W18" i="6"/>
  <c r="V18" i="6"/>
  <c r="AE401" i="5"/>
  <c r="AF401" i="5" s="1"/>
  <c r="W21" i="6"/>
  <c r="V21" i="6"/>
  <c r="X21" i="6" s="1"/>
  <c r="Y21" i="6" s="1"/>
  <c r="T20" i="4"/>
  <c r="K20" i="4"/>
  <c r="M20" i="4" s="1"/>
  <c r="AC397" i="5"/>
  <c r="AE397" i="5" s="1"/>
  <c r="AF397" i="5" s="1"/>
  <c r="J56" i="4"/>
  <c r="C56" i="4"/>
  <c r="C44" i="4"/>
  <c r="J30" i="4"/>
  <c r="C19" i="4"/>
  <c r="C30" i="4"/>
  <c r="J54" i="4"/>
  <c r="J42" i="4"/>
  <c r="C42" i="4"/>
  <c r="W20" i="6"/>
  <c r="V20" i="6"/>
  <c r="X20" i="6" s="1"/>
  <c r="Y20" i="6" s="1"/>
  <c r="C43" i="4"/>
  <c r="C18" i="4"/>
  <c r="AD26" i="6"/>
  <c r="U27" i="6"/>
  <c r="T27" i="6"/>
  <c r="AC15" i="6"/>
  <c r="AB15" i="6"/>
  <c r="AA15" i="6"/>
  <c r="O20" i="4"/>
  <c r="Q20" i="4"/>
  <c r="AC21" i="6"/>
  <c r="AA21" i="6"/>
  <c r="AA27" i="6"/>
  <c r="AC27" i="6"/>
  <c r="F41" i="3"/>
  <c r="N55" i="4"/>
  <c r="P44" i="4"/>
  <c r="L15" i="7"/>
  <c r="M15" i="7" s="1"/>
  <c r="E15" i="18"/>
  <c r="D5" i="18"/>
  <c r="H18" i="4"/>
  <c r="D15" i="18"/>
  <c r="C6" i="18"/>
  <c r="D44" i="4"/>
  <c r="D7" i="4"/>
  <c r="C69" i="4"/>
  <c r="H7" i="4"/>
  <c r="E19" i="4"/>
  <c r="G19" i="4" s="1"/>
  <c r="E30" i="4"/>
  <c r="G30" i="4" s="1"/>
  <c r="E69" i="4"/>
  <c r="G69" i="4" s="1"/>
  <c r="C15" i="18"/>
  <c r="C7" i="18"/>
  <c r="D43" i="4"/>
  <c r="D6" i="4"/>
  <c r="H68" i="4"/>
  <c r="E5" i="18"/>
  <c r="C8" i="18"/>
  <c r="D42" i="4"/>
  <c r="H30" i="4"/>
  <c r="E6" i="18"/>
  <c r="C9" i="18"/>
  <c r="H19" i="4"/>
  <c r="E31" i="4"/>
  <c r="G31" i="4" s="1"/>
  <c r="Q31" i="4" s="1"/>
  <c r="E42" i="4"/>
  <c r="G42" i="4" s="1"/>
  <c r="E70" i="4"/>
  <c r="G70" i="4" s="1"/>
  <c r="E7" i="18"/>
  <c r="C10" i="18"/>
  <c r="C68" i="4"/>
  <c r="E8" i="18"/>
  <c r="C11" i="18"/>
  <c r="D71" i="4"/>
  <c r="H69" i="4"/>
  <c r="E9" i="18"/>
  <c r="C12" i="18"/>
  <c r="D70" i="4"/>
  <c r="H31" i="4"/>
  <c r="E71" i="4"/>
  <c r="G71" i="4" s="1"/>
  <c r="E10" i="18"/>
  <c r="C13" i="18"/>
  <c r="D69" i="4"/>
  <c r="E43" i="4"/>
  <c r="G43" i="4" s="1"/>
  <c r="H42" i="4"/>
  <c r="E11" i="18"/>
  <c r="C14" i="18"/>
  <c r="D68" i="4"/>
  <c r="D31" i="4"/>
  <c r="C67" i="4"/>
  <c r="J71" i="4"/>
  <c r="E12" i="18"/>
  <c r="C5" i="18"/>
  <c r="D67" i="4"/>
  <c r="D30" i="4"/>
  <c r="E54" i="4"/>
  <c r="G54" i="4" s="1"/>
  <c r="Q54" i="4" s="1"/>
  <c r="H70" i="4"/>
  <c r="E13" i="18"/>
  <c r="D66" i="4"/>
  <c r="J66" i="4"/>
  <c r="E14" i="18"/>
  <c r="E44" i="4"/>
  <c r="G44" i="4" s="1"/>
  <c r="O44" i="4" s="1"/>
  <c r="H54" i="4"/>
  <c r="D6" i="18"/>
  <c r="J7" i="4"/>
  <c r="C66" i="4"/>
  <c r="H43" i="4"/>
  <c r="E55" i="4"/>
  <c r="G55" i="4" s="1"/>
  <c r="Q55" i="4" s="1"/>
  <c r="D7" i="18"/>
  <c r="C7" i="4"/>
  <c r="E66" i="4"/>
  <c r="G66" i="4" s="1"/>
  <c r="H71" i="4"/>
  <c r="D8" i="18"/>
  <c r="C71" i="4"/>
  <c r="J67" i="4"/>
  <c r="D9" i="18"/>
  <c r="D56" i="4"/>
  <c r="D19" i="4"/>
  <c r="E56" i="4"/>
  <c r="G56" i="4" s="1"/>
  <c r="O56" i="4" s="1"/>
  <c r="H55" i="4"/>
  <c r="H66" i="4"/>
  <c r="D10" i="18"/>
  <c r="D55" i="4"/>
  <c r="D18" i="4"/>
  <c r="E6" i="4"/>
  <c r="G6" i="4" s="1"/>
  <c r="E67" i="4"/>
  <c r="G67" i="4" s="1"/>
  <c r="D11" i="18"/>
  <c r="D54" i="4"/>
  <c r="J6" i="4"/>
  <c r="H44" i="4"/>
  <c r="D12" i="18"/>
  <c r="C6" i="4"/>
  <c r="C70" i="4"/>
  <c r="H6" i="4"/>
  <c r="J68" i="4"/>
  <c r="D13" i="18"/>
  <c r="E7" i="4"/>
  <c r="G7" i="4" s="1"/>
  <c r="E18" i="4"/>
  <c r="G18" i="4" s="1"/>
  <c r="H56" i="4"/>
  <c r="E68" i="4"/>
  <c r="G68" i="4" s="1"/>
  <c r="H67" i="4"/>
  <c r="D14" i="18"/>
  <c r="J31" i="4"/>
  <c r="C55" i="4"/>
  <c r="C54" i="4"/>
  <c r="C31" i="4"/>
  <c r="V4" i="6"/>
  <c r="W4" i="6"/>
  <c r="U25" i="6"/>
  <c r="N69" i="4"/>
  <c r="U24" i="6"/>
  <c r="T24" i="6"/>
  <c r="T72" i="4"/>
  <c r="H30" i="11"/>
  <c r="G43" i="3" s="1"/>
  <c r="T19" i="6"/>
  <c r="U19" i="6"/>
  <c r="K72" i="4"/>
  <c r="M72" i="4" s="1"/>
  <c r="AB13" i="6"/>
  <c r="AD13" i="6" s="1"/>
  <c r="I72" i="4"/>
  <c r="K12" i="7"/>
  <c r="L12" i="7"/>
  <c r="M12" i="7" s="1"/>
  <c r="AD406" i="5"/>
  <c r="AE406" i="5" s="1"/>
  <c r="AF406" i="5" s="1"/>
  <c r="I12" i="4"/>
  <c r="K12" i="4"/>
  <c r="M12" i="4" s="1"/>
  <c r="AA404" i="5"/>
  <c r="AB404" i="5"/>
  <c r="I20" i="4"/>
  <c r="G47" i="3"/>
  <c r="H24" i="3"/>
  <c r="C29" i="3"/>
  <c r="E56" i="3" s="1"/>
  <c r="I24" i="3"/>
  <c r="T4" i="6"/>
  <c r="I8" i="7"/>
  <c r="J8" i="7" s="1"/>
  <c r="H8" i="7"/>
  <c r="O59" i="4"/>
  <c r="AA9" i="6"/>
  <c r="AC9" i="6"/>
  <c r="AB28" i="6"/>
  <c r="AC28" i="6"/>
  <c r="AB31" i="6"/>
  <c r="AA31" i="6"/>
  <c r="AC31" i="6"/>
  <c r="K7" i="7"/>
  <c r="Q59" i="4"/>
  <c r="AB9" i="6"/>
  <c r="T9" i="4"/>
  <c r="K9" i="4"/>
  <c r="M9" i="4" s="1"/>
  <c r="U7" i="6"/>
  <c r="T7" i="6"/>
  <c r="AC23" i="6"/>
  <c r="AB23" i="6"/>
  <c r="AA23" i="6"/>
  <c r="I59" i="4"/>
  <c r="I6" i="7"/>
  <c r="J6" i="7" s="1"/>
  <c r="P69" i="4"/>
  <c r="F11" i="7"/>
  <c r="I11" i="7" s="1"/>
  <c r="J11" i="7" s="1"/>
  <c r="N70" i="4"/>
  <c r="C84" i="4"/>
  <c r="L14" i="7"/>
  <c r="M14" i="7" s="1"/>
  <c r="P70" i="4"/>
  <c r="N6" i="4"/>
  <c r="L13" i="7"/>
  <c r="M13" i="7" s="1"/>
  <c r="P6" i="4"/>
  <c r="P43" i="4"/>
  <c r="I28" i="3"/>
  <c r="F9" i="7"/>
  <c r="I9" i="7" s="1"/>
  <c r="J9" i="7" s="1"/>
  <c r="I27" i="3"/>
  <c r="F23" i="11"/>
  <c r="D42" i="3" s="1"/>
  <c r="E42" i="3" s="1"/>
  <c r="F42" i="3" s="1"/>
  <c r="N71" i="4"/>
  <c r="P71" i="4"/>
  <c r="C23" i="18"/>
  <c r="D21" i="3"/>
  <c r="N66" i="4"/>
  <c r="N7" i="4"/>
  <c r="T31" i="6"/>
  <c r="H6" i="7"/>
  <c r="H7" i="7"/>
  <c r="L7" i="7" s="1"/>
  <c r="M7" i="7" s="1"/>
  <c r="P66" i="4"/>
  <c r="P7" i="4"/>
  <c r="P42" i="4"/>
  <c r="N43" i="4"/>
  <c r="AA33" i="6"/>
  <c r="C24" i="18"/>
  <c r="T12" i="6"/>
  <c r="D23" i="18"/>
  <c r="N67" i="4"/>
  <c r="P67" i="4"/>
  <c r="N42" i="4"/>
  <c r="D20" i="3"/>
  <c r="C25" i="3" s="1"/>
  <c r="D24" i="18"/>
  <c r="N68" i="4"/>
  <c r="E23" i="18"/>
  <c r="P68" i="4"/>
  <c r="E24" i="18"/>
  <c r="H40" i="3" l="1"/>
  <c r="F40" i="3"/>
  <c r="H11" i="7"/>
  <c r="X23" i="6"/>
  <c r="Y23" i="6" s="1"/>
  <c r="AD5" i="6"/>
  <c r="AD6" i="6"/>
  <c r="AE6" i="6" s="1"/>
  <c r="V9" i="6"/>
  <c r="X9" i="6" s="1"/>
  <c r="Y9" i="6" s="1"/>
  <c r="AD22" i="6"/>
  <c r="AE22" i="6" s="1"/>
  <c r="X14" i="6"/>
  <c r="Y14" i="6" s="1"/>
  <c r="AD16" i="6"/>
  <c r="AE16" i="6" s="1"/>
  <c r="AD14" i="6"/>
  <c r="AD7" i="6"/>
  <c r="V29" i="6"/>
  <c r="X29" i="6" s="1"/>
  <c r="Y29" i="6" s="1"/>
  <c r="AE29" i="6" s="1"/>
  <c r="AD33" i="6"/>
  <c r="AE33" i="6" s="1"/>
  <c r="AE5" i="6"/>
  <c r="V10" i="6"/>
  <c r="W10" i="6"/>
  <c r="AD17" i="6"/>
  <c r="AE17" i="6" s="1"/>
  <c r="AD29" i="6"/>
  <c r="AD25" i="6"/>
  <c r="AD36" i="6"/>
  <c r="AE36" i="6" s="1"/>
  <c r="X31" i="6"/>
  <c r="Y31" i="6" s="1"/>
  <c r="AD20" i="6"/>
  <c r="AE20" i="6" s="1"/>
  <c r="X26" i="6"/>
  <c r="Y26" i="6" s="1"/>
  <c r="AE26" i="6" s="1"/>
  <c r="S43" i="4"/>
  <c r="T43" i="4" s="1"/>
  <c r="S67" i="4"/>
  <c r="T67" i="4" s="1"/>
  <c r="S19" i="4"/>
  <c r="V35" i="6"/>
  <c r="W35" i="6"/>
  <c r="X34" i="6"/>
  <c r="Y34" i="6" s="1"/>
  <c r="AE34" i="6" s="1"/>
  <c r="AD4" i="6"/>
  <c r="AE13" i="6"/>
  <c r="X12" i="6"/>
  <c r="Y12" i="6" s="1"/>
  <c r="AE12" i="6" s="1"/>
  <c r="AD30" i="6"/>
  <c r="AE30" i="6" s="1"/>
  <c r="Q19" i="4"/>
  <c r="AC403" i="5"/>
  <c r="AD403" i="5"/>
  <c r="AE402" i="5"/>
  <c r="AF402" i="5" s="1"/>
  <c r="R23" i="4"/>
  <c r="I16" i="18"/>
  <c r="M16" i="18" s="1"/>
  <c r="U23" i="4"/>
  <c r="U24" i="4"/>
  <c r="R36" i="4"/>
  <c r="R10" i="4"/>
  <c r="R9" i="4"/>
  <c r="R72" i="4"/>
  <c r="R33" i="4"/>
  <c r="AE395" i="5"/>
  <c r="AF395" i="5" s="1"/>
  <c r="R57" i="4"/>
  <c r="G25" i="4"/>
  <c r="D19" i="16" s="1"/>
  <c r="F19" i="16" s="1"/>
  <c r="U47" i="4"/>
  <c r="U21" i="4"/>
  <c r="R47" i="4"/>
  <c r="AE11" i="6"/>
  <c r="O42" i="4"/>
  <c r="N26" i="18"/>
  <c r="O26" i="18" s="1"/>
  <c r="D27" i="18"/>
  <c r="R46" i="4"/>
  <c r="F24" i="18"/>
  <c r="H24" i="18" s="1"/>
  <c r="L24" i="18" s="1"/>
  <c r="H17" i="18"/>
  <c r="L17" i="18" s="1"/>
  <c r="N17" i="18" s="1"/>
  <c r="O17" i="18" s="1"/>
  <c r="U45" i="4"/>
  <c r="R24" i="4"/>
  <c r="R34" i="4"/>
  <c r="R45" i="4"/>
  <c r="U46" i="4"/>
  <c r="O6" i="4"/>
  <c r="R58" i="4"/>
  <c r="U32" i="4"/>
  <c r="O43" i="4"/>
  <c r="I19" i="4"/>
  <c r="R12" i="4"/>
  <c r="U22" i="4"/>
  <c r="R35" i="4"/>
  <c r="U35" i="4"/>
  <c r="F10" i="18"/>
  <c r="I10" i="18" s="1"/>
  <c r="M10" i="18" s="1"/>
  <c r="R8" i="4"/>
  <c r="U8" i="4"/>
  <c r="I6" i="4"/>
  <c r="U48" i="4"/>
  <c r="R21" i="4"/>
  <c r="U11" i="4"/>
  <c r="Q42" i="4"/>
  <c r="K6" i="4"/>
  <c r="M6" i="4" s="1"/>
  <c r="I43" i="4"/>
  <c r="I42" i="4"/>
  <c r="R48" i="4"/>
  <c r="U57" i="4"/>
  <c r="K42" i="4"/>
  <c r="M42" i="4" s="1"/>
  <c r="R60" i="4"/>
  <c r="O18" i="4"/>
  <c r="U36" i="4"/>
  <c r="R32" i="4"/>
  <c r="U58" i="4"/>
  <c r="R59" i="4"/>
  <c r="I70" i="4"/>
  <c r="F15" i="18"/>
  <c r="H15" i="18" s="1"/>
  <c r="L15" i="18" s="1"/>
  <c r="N16" i="18"/>
  <c r="O16" i="18" s="1"/>
  <c r="I44" i="4"/>
  <c r="S54" i="4"/>
  <c r="T54" i="4" s="1"/>
  <c r="AD15" i="6"/>
  <c r="AE15" i="6" s="1"/>
  <c r="S42" i="4"/>
  <c r="T42" i="4" s="1"/>
  <c r="S55" i="4"/>
  <c r="T55" i="4" s="1"/>
  <c r="U33" i="4"/>
  <c r="S31" i="4"/>
  <c r="T31" i="4" s="1"/>
  <c r="AE14" i="6"/>
  <c r="U59" i="4"/>
  <c r="R11" i="4"/>
  <c r="Q69" i="4"/>
  <c r="AE411" i="5"/>
  <c r="AF411" i="5" s="1"/>
  <c r="I55" i="4"/>
  <c r="R55" i="4" s="1"/>
  <c r="G13" i="18"/>
  <c r="K13" i="18" s="1"/>
  <c r="G9" i="18"/>
  <c r="K9" i="18" s="1"/>
  <c r="F7" i="18"/>
  <c r="H7" i="18" s="1"/>
  <c r="L7" i="18" s="1"/>
  <c r="AD23" i="6"/>
  <c r="AE23" i="6" s="1"/>
  <c r="I67" i="4"/>
  <c r="I69" i="4"/>
  <c r="U60" i="4"/>
  <c r="M60" i="4"/>
  <c r="U10" i="4"/>
  <c r="F11" i="18"/>
  <c r="H11" i="18" s="1"/>
  <c r="L11" i="18" s="1"/>
  <c r="G37" i="4"/>
  <c r="D80" i="4" s="1"/>
  <c r="O71" i="4"/>
  <c r="O67" i="4"/>
  <c r="G8" i="18"/>
  <c r="K8" i="18" s="1"/>
  <c r="K67" i="4"/>
  <c r="M67" i="4" s="1"/>
  <c r="O19" i="4"/>
  <c r="K71" i="4"/>
  <c r="M71" i="4" s="1"/>
  <c r="S7" i="4"/>
  <c r="T7" i="4" s="1"/>
  <c r="Q43" i="4"/>
  <c r="I71" i="4"/>
  <c r="U20" i="4"/>
  <c r="Q6" i="4"/>
  <c r="J6" i="8"/>
  <c r="O30" i="4"/>
  <c r="F5" i="18"/>
  <c r="C18" i="18"/>
  <c r="K70" i="4"/>
  <c r="M70" i="4" s="1"/>
  <c r="K9" i="7"/>
  <c r="AD404" i="5"/>
  <c r="AC404" i="5"/>
  <c r="AE404" i="5" s="1"/>
  <c r="AF404" i="5" s="1"/>
  <c r="J69" i="4" s="1"/>
  <c r="K69" i="4" s="1"/>
  <c r="M69" i="4" s="1"/>
  <c r="AD9" i="6"/>
  <c r="AE9" i="6" s="1"/>
  <c r="G12" i="18"/>
  <c r="K12" i="18" s="1"/>
  <c r="I7" i="4"/>
  <c r="Q68" i="4"/>
  <c r="Q7" i="4"/>
  <c r="U9" i="4"/>
  <c r="O31" i="4"/>
  <c r="G49" i="4"/>
  <c r="F6" i="18"/>
  <c r="Q18" i="4"/>
  <c r="F14" i="18"/>
  <c r="G23" i="18"/>
  <c r="I18" i="4"/>
  <c r="K19" i="4"/>
  <c r="M19" i="4" s="1"/>
  <c r="K68" i="4"/>
  <c r="M68" i="4" s="1"/>
  <c r="O68" i="4"/>
  <c r="K30" i="4"/>
  <c r="M30" i="4" s="1"/>
  <c r="W7" i="6"/>
  <c r="V7" i="6"/>
  <c r="X7" i="6" s="1"/>
  <c r="Y7" i="6" s="1"/>
  <c r="K54" i="4"/>
  <c r="M54" i="4" s="1"/>
  <c r="D18" i="18"/>
  <c r="G6" i="18"/>
  <c r="K6" i="18" s="1"/>
  <c r="G15" i="18"/>
  <c r="K15" i="18" s="1"/>
  <c r="AD27" i="6"/>
  <c r="K44" i="4"/>
  <c r="M44" i="4" s="1"/>
  <c r="Q66" i="4"/>
  <c r="O69" i="4"/>
  <c r="K18" i="4"/>
  <c r="M18" i="4" s="1"/>
  <c r="F9" i="18"/>
  <c r="K7" i="4"/>
  <c r="M7" i="4" s="1"/>
  <c r="Q56" i="4"/>
  <c r="O70" i="4"/>
  <c r="F13" i="18"/>
  <c r="Q30" i="4"/>
  <c r="K56" i="4"/>
  <c r="M56" i="4" s="1"/>
  <c r="I17" i="7"/>
  <c r="K6" i="7"/>
  <c r="J17" i="7"/>
  <c r="D56" i="3"/>
  <c r="G11" i="18"/>
  <c r="K11" i="18" s="1"/>
  <c r="I30" i="4"/>
  <c r="I25" i="3"/>
  <c r="I29" i="3" s="1"/>
  <c r="E25" i="3"/>
  <c r="I47" i="3" s="1"/>
  <c r="H25" i="3"/>
  <c r="H29" i="3" s="1"/>
  <c r="O66" i="4"/>
  <c r="K8" i="7"/>
  <c r="L8" i="7"/>
  <c r="M8" i="7" s="1"/>
  <c r="G13" i="4"/>
  <c r="I54" i="4"/>
  <c r="R54" i="4" s="1"/>
  <c r="G10" i="18"/>
  <c r="K10" i="18" s="1"/>
  <c r="F8" i="18"/>
  <c r="Q44" i="4"/>
  <c r="X18" i="6"/>
  <c r="Y18" i="6" s="1"/>
  <c r="AE18" i="6" s="1"/>
  <c r="T19" i="4"/>
  <c r="Q70" i="4"/>
  <c r="F17" i="7"/>
  <c r="G5" i="18"/>
  <c r="I56" i="4"/>
  <c r="G7" i="18"/>
  <c r="K7" i="18" s="1"/>
  <c r="H9" i="7"/>
  <c r="L9" i="7" s="1"/>
  <c r="M9" i="7" s="1"/>
  <c r="W19" i="6"/>
  <c r="V19" i="6"/>
  <c r="X19" i="6" s="1"/>
  <c r="Y19" i="6" s="1"/>
  <c r="AE19" i="6" s="1"/>
  <c r="X4" i="6"/>
  <c r="Y4" i="6" s="1"/>
  <c r="H47" i="3"/>
  <c r="U72" i="4"/>
  <c r="G14" i="18"/>
  <c r="K14" i="18" s="1"/>
  <c r="I31" i="4"/>
  <c r="R31" i="4" s="1"/>
  <c r="I68" i="4"/>
  <c r="W8" i="6"/>
  <c r="V8" i="6"/>
  <c r="X8" i="6" s="1"/>
  <c r="Y8" i="6" s="1"/>
  <c r="AE8" i="6" s="1"/>
  <c r="G61" i="4"/>
  <c r="AD28" i="6"/>
  <c r="AE28" i="6" s="1"/>
  <c r="G73" i="4"/>
  <c r="H43" i="3"/>
  <c r="C77" i="3" s="1"/>
  <c r="F43" i="3"/>
  <c r="K31" i="4"/>
  <c r="M31" i="4" s="1"/>
  <c r="K66" i="4"/>
  <c r="M66" i="4" s="1"/>
  <c r="O55" i="4"/>
  <c r="U12" i="4"/>
  <c r="O54" i="4"/>
  <c r="V27" i="6"/>
  <c r="W27" i="6"/>
  <c r="AD31" i="6"/>
  <c r="G24" i="18"/>
  <c r="K24" i="18" s="1"/>
  <c r="K11" i="7"/>
  <c r="L11" i="7"/>
  <c r="M11" i="7" s="1"/>
  <c r="O7" i="4"/>
  <c r="C27" i="18"/>
  <c r="F23" i="18"/>
  <c r="Q71" i="4"/>
  <c r="R20" i="4"/>
  <c r="Q67" i="4"/>
  <c r="W24" i="6"/>
  <c r="V24" i="6"/>
  <c r="X24" i="6" s="1"/>
  <c r="Y24" i="6" s="1"/>
  <c r="AE24" i="6" s="1"/>
  <c r="V25" i="6"/>
  <c r="W25" i="6"/>
  <c r="I66" i="4"/>
  <c r="F12" i="18"/>
  <c r="AD21" i="6"/>
  <c r="AE21" i="6" s="1"/>
  <c r="H17" i="7" l="1"/>
  <c r="AE4" i="6"/>
  <c r="AE7" i="6"/>
  <c r="X10" i="6"/>
  <c r="Y10" i="6" s="1"/>
  <c r="AE31" i="6"/>
  <c r="D30" i="18"/>
  <c r="X25" i="6"/>
  <c r="Y25" i="6" s="1"/>
  <c r="AE25" i="6" s="1"/>
  <c r="X35" i="6"/>
  <c r="Y35" i="6" s="1"/>
  <c r="AE35" i="6" s="1"/>
  <c r="X27" i="6"/>
  <c r="Y27" i="6" s="1"/>
  <c r="AE27" i="6" s="1"/>
  <c r="R19" i="4"/>
  <c r="AE403" i="5"/>
  <c r="AF403" i="5" s="1"/>
  <c r="D79" i="4"/>
  <c r="O13" i="4"/>
  <c r="D16" i="17" s="1"/>
  <c r="F16" i="17" s="1"/>
  <c r="O25" i="4"/>
  <c r="D16" i="16" s="1"/>
  <c r="F16" i="16" s="1"/>
  <c r="O49" i="4"/>
  <c r="D23" i="14" s="1"/>
  <c r="F23" i="14" s="1"/>
  <c r="R70" i="4"/>
  <c r="I24" i="18"/>
  <c r="M24" i="18" s="1"/>
  <c r="N24" i="18" s="1"/>
  <c r="O24" i="18" s="1"/>
  <c r="R67" i="4"/>
  <c r="U19" i="4"/>
  <c r="R43" i="4"/>
  <c r="H10" i="18"/>
  <c r="L10" i="18" s="1"/>
  <c r="N10" i="18" s="1"/>
  <c r="O10" i="18" s="1"/>
  <c r="R30" i="4"/>
  <c r="R37" i="4" s="1"/>
  <c r="R42" i="4"/>
  <c r="U67" i="4"/>
  <c r="D19" i="15"/>
  <c r="F19" i="15" s="1"/>
  <c r="U42" i="4"/>
  <c r="R71" i="4"/>
  <c r="R6" i="4"/>
  <c r="U31" i="4"/>
  <c r="R68" i="4"/>
  <c r="I15" i="18"/>
  <c r="M15" i="18" s="1"/>
  <c r="N15" i="18" s="1"/>
  <c r="O15" i="18" s="1"/>
  <c r="I11" i="18"/>
  <c r="M11" i="18" s="1"/>
  <c r="N11" i="18" s="1"/>
  <c r="O11" i="18" s="1"/>
  <c r="R44" i="4"/>
  <c r="I7" i="18"/>
  <c r="M7" i="18" s="1"/>
  <c r="N7" i="18" s="1"/>
  <c r="O7" i="18" s="1"/>
  <c r="R18" i="4"/>
  <c r="R25" i="4" s="1"/>
  <c r="R56" i="4"/>
  <c r="R61" i="4" s="1"/>
  <c r="R7" i="4"/>
  <c r="O61" i="4"/>
  <c r="E82" i="4" s="1"/>
  <c r="R69" i="4"/>
  <c r="K6" i="8"/>
  <c r="J8" i="8"/>
  <c r="D5" i="9"/>
  <c r="F5" i="9" s="1"/>
  <c r="F10" i="9" s="1"/>
  <c r="F56" i="3" s="1"/>
  <c r="G56" i="3" s="1"/>
  <c r="D26" i="14"/>
  <c r="F26" i="14" s="1"/>
  <c r="D81" i="4"/>
  <c r="L6" i="7"/>
  <c r="H9" i="18"/>
  <c r="L9" i="18" s="1"/>
  <c r="I9" i="18"/>
  <c r="M9" i="18" s="1"/>
  <c r="I6" i="18"/>
  <c r="M6" i="18" s="1"/>
  <c r="H6" i="18"/>
  <c r="L6" i="18" s="1"/>
  <c r="K17" i="7"/>
  <c r="J55" i="4"/>
  <c r="K55" i="4" s="1"/>
  <c r="M55" i="4" s="1"/>
  <c r="J43" i="4"/>
  <c r="K43" i="4" s="1"/>
  <c r="M43" i="4" s="1"/>
  <c r="D23" i="13"/>
  <c r="F23" i="13" s="1"/>
  <c r="D82" i="4"/>
  <c r="I12" i="18"/>
  <c r="M12" i="18" s="1"/>
  <c r="H12" i="18"/>
  <c r="L12" i="18" s="1"/>
  <c r="K23" i="18"/>
  <c r="G27" i="18"/>
  <c r="H14" i="18"/>
  <c r="L14" i="18" s="1"/>
  <c r="I14" i="18"/>
  <c r="M14" i="18" s="1"/>
  <c r="C30" i="18"/>
  <c r="H5" i="18"/>
  <c r="I5" i="18"/>
  <c r="F18" i="18"/>
  <c r="K5" i="18"/>
  <c r="G18" i="18"/>
  <c r="U7" i="4"/>
  <c r="D19" i="17"/>
  <c r="F19" i="17" s="1"/>
  <c r="D78" i="4"/>
  <c r="R66" i="4"/>
  <c r="D23" i="12"/>
  <c r="F23" i="12" s="1"/>
  <c r="D83" i="4"/>
  <c r="O73" i="4"/>
  <c r="U54" i="4"/>
  <c r="I53" i="3"/>
  <c r="I42" i="3"/>
  <c r="I48" i="3"/>
  <c r="I54" i="3"/>
  <c r="E29" i="3"/>
  <c r="I40" i="3"/>
  <c r="I41" i="3"/>
  <c r="I50" i="3"/>
  <c r="I38" i="3"/>
  <c r="I46" i="3"/>
  <c r="I51" i="3"/>
  <c r="I65" i="3"/>
  <c r="I49" i="3"/>
  <c r="I44" i="3"/>
  <c r="I52" i="3"/>
  <c r="I43" i="3"/>
  <c r="O37" i="4"/>
  <c r="H23" i="18"/>
  <c r="I23" i="18"/>
  <c r="F27" i="18"/>
  <c r="H8" i="18"/>
  <c r="L8" i="18" s="1"/>
  <c r="I8" i="18"/>
  <c r="M8" i="18" s="1"/>
  <c r="H13" i="18"/>
  <c r="L13" i="18" s="1"/>
  <c r="I13" i="18"/>
  <c r="M13" i="18" s="1"/>
  <c r="E81" i="4" l="1"/>
  <c r="S68" i="4"/>
  <c r="T68" i="4" s="1"/>
  <c r="U68" i="4" s="1"/>
  <c r="S56" i="4"/>
  <c r="T56" i="4" s="1"/>
  <c r="U56" i="4" s="1"/>
  <c r="S18" i="4"/>
  <c r="T18" i="4" s="1"/>
  <c r="U18" i="4" s="1"/>
  <c r="U25" i="4" s="1"/>
  <c r="S70" i="4"/>
  <c r="T70" i="4" s="1"/>
  <c r="U70" i="4" s="1"/>
  <c r="S44" i="4"/>
  <c r="T44" i="4" s="1"/>
  <c r="U44" i="4" s="1"/>
  <c r="S30" i="4"/>
  <c r="T30" i="4" s="1"/>
  <c r="U30" i="4" s="1"/>
  <c r="S71" i="4"/>
  <c r="T71" i="4" s="1"/>
  <c r="U71" i="4" s="1"/>
  <c r="S66" i="4"/>
  <c r="T66" i="4" s="1"/>
  <c r="U66" i="4" s="1"/>
  <c r="U73" i="4" s="1"/>
  <c r="F31" i="12" s="1"/>
  <c r="F32" i="12" s="1"/>
  <c r="S6" i="4"/>
  <c r="T6" i="4" s="1"/>
  <c r="U6" i="4" s="1"/>
  <c r="S69" i="4"/>
  <c r="T69" i="4" s="1"/>
  <c r="U69" i="4" s="1"/>
  <c r="AE10" i="6"/>
  <c r="E79" i="4"/>
  <c r="F30" i="18"/>
  <c r="E78" i="4"/>
  <c r="N6" i="18"/>
  <c r="O6" i="18" s="1"/>
  <c r="U37" i="4"/>
  <c r="U13" i="4"/>
  <c r="R49" i="4"/>
  <c r="E24" i="14" s="1"/>
  <c r="F24" i="14" s="1"/>
  <c r="D20" i="13"/>
  <c r="F20" i="13" s="1"/>
  <c r="R13" i="4"/>
  <c r="E17" i="17" s="1"/>
  <c r="F17" i="17" s="1"/>
  <c r="D21" i="17" s="1"/>
  <c r="F21" i="17" s="1"/>
  <c r="F22" i="17" s="1"/>
  <c r="F32" i="3" s="1"/>
  <c r="G32" i="3" s="1"/>
  <c r="N12" i="18"/>
  <c r="O12" i="18" s="1"/>
  <c r="R73" i="4"/>
  <c r="F83" i="4" s="1"/>
  <c r="N14" i="18"/>
  <c r="O14" i="18" s="1"/>
  <c r="E21" i="13"/>
  <c r="F21" i="13" s="1"/>
  <c r="F82" i="4"/>
  <c r="U43" i="4"/>
  <c r="U55" i="4"/>
  <c r="U61" i="4" s="1"/>
  <c r="G61" i="3"/>
  <c r="K8" i="8"/>
  <c r="M5" i="18"/>
  <c r="M18" i="18" s="1"/>
  <c r="I18" i="18"/>
  <c r="I30" i="18" s="1"/>
  <c r="N9" i="18"/>
  <c r="O9" i="18" s="1"/>
  <c r="D84" i="4"/>
  <c r="M6" i="7"/>
  <c r="M17" i="7" s="1"/>
  <c r="L17" i="7"/>
  <c r="G62" i="3" s="1"/>
  <c r="N13" i="18"/>
  <c r="O13" i="18" s="1"/>
  <c r="E83" i="4"/>
  <c r="D19" i="12"/>
  <c r="F19" i="12" s="1"/>
  <c r="E17" i="16"/>
  <c r="F17" i="16" s="1"/>
  <c r="F79" i="4"/>
  <c r="H27" i="18"/>
  <c r="L23" i="18"/>
  <c r="L27" i="18" s="1"/>
  <c r="M23" i="18"/>
  <c r="M27" i="18" s="1"/>
  <c r="I27" i="18"/>
  <c r="E17" i="15"/>
  <c r="F17" i="15" s="1"/>
  <c r="F80" i="4"/>
  <c r="K27" i="18"/>
  <c r="D16" i="15"/>
  <c r="F16" i="15" s="1"/>
  <c r="E80" i="4"/>
  <c r="L5" i="18"/>
  <c r="L18" i="18" s="1"/>
  <c r="H18" i="18"/>
  <c r="N8" i="18"/>
  <c r="O8" i="18" s="1"/>
  <c r="G30" i="18"/>
  <c r="K18" i="18"/>
  <c r="K30" i="18" s="1"/>
  <c r="H56" i="3"/>
  <c r="I56" i="3"/>
  <c r="U49" i="4" l="1"/>
  <c r="D25" i="13"/>
  <c r="F25" i="13" s="1"/>
  <c r="F26" i="13" s="1"/>
  <c r="F36" i="3" s="1"/>
  <c r="G36" i="3" s="1"/>
  <c r="H36" i="3" s="1"/>
  <c r="F81" i="4"/>
  <c r="E20" i="12"/>
  <c r="F20" i="12" s="1"/>
  <c r="N5" i="18"/>
  <c r="N18" i="18" s="1"/>
  <c r="F78" i="4"/>
  <c r="E84" i="4"/>
  <c r="I61" i="3"/>
  <c r="H61" i="3"/>
  <c r="H32" i="3"/>
  <c r="I32" i="3"/>
  <c r="L30" i="18"/>
  <c r="D28" i="14"/>
  <c r="F28" i="14" s="1"/>
  <c r="F29" i="14" s="1"/>
  <c r="F35" i="3" s="1"/>
  <c r="G35" i="3" s="1"/>
  <c r="D25" i="12"/>
  <c r="F25" i="12" s="1"/>
  <c r="F26" i="12" s="1"/>
  <c r="F35" i="12" s="1"/>
  <c r="D21" i="15"/>
  <c r="F21" i="15" s="1"/>
  <c r="F22" i="15" s="1"/>
  <c r="F34" i="3" s="1"/>
  <c r="G34" i="3" s="1"/>
  <c r="H30" i="18"/>
  <c r="I62" i="3"/>
  <c r="H62" i="3"/>
  <c r="N23" i="18"/>
  <c r="D21" i="16"/>
  <c r="F21" i="16" s="1"/>
  <c r="F22" i="16" s="1"/>
  <c r="F33" i="3" s="1"/>
  <c r="G33" i="3" s="1"/>
  <c r="M30" i="18"/>
  <c r="I36" i="3" l="1"/>
  <c r="F84" i="4"/>
  <c r="O5" i="18"/>
  <c r="H34" i="3"/>
  <c r="I34" i="3"/>
  <c r="F37" i="3"/>
  <c r="G37" i="3" s="1"/>
  <c r="E55" i="3" s="1"/>
  <c r="G55" i="3" s="1"/>
  <c r="F36" i="12"/>
  <c r="H35" i="3"/>
  <c r="I35" i="3"/>
  <c r="N27" i="18"/>
  <c r="O27" i="18" s="1"/>
  <c r="O23" i="18"/>
  <c r="H33" i="3"/>
  <c r="I33" i="3"/>
  <c r="N30" i="18"/>
  <c r="O18" i="18"/>
  <c r="H55" i="3" l="1"/>
  <c r="I55" i="3"/>
  <c r="O30" i="18"/>
  <c r="G63" i="3"/>
  <c r="H37" i="3"/>
  <c r="I37" i="3"/>
  <c r="G57" i="3"/>
  <c r="I57" i="3" l="1"/>
  <c r="I72" i="3" s="1"/>
  <c r="E64" i="3"/>
  <c r="G64" i="3" s="1"/>
  <c r="G66" i="3" s="1"/>
  <c r="G69" i="3" s="1"/>
  <c r="G73" i="3" s="1"/>
  <c r="G72" i="3"/>
  <c r="H57" i="3"/>
  <c r="I63" i="3"/>
  <c r="H63" i="3"/>
  <c r="F90" i="3" l="1"/>
  <c r="E91" i="3"/>
  <c r="F91" i="3"/>
  <c r="G91" i="3"/>
  <c r="D92" i="3"/>
  <c r="E92" i="3"/>
  <c r="F92" i="3"/>
  <c r="E88" i="3"/>
  <c r="E89" i="3"/>
  <c r="F88" i="3"/>
  <c r="F89" i="3"/>
  <c r="F105" i="3"/>
  <c r="H105" i="3"/>
  <c r="F102" i="3"/>
  <c r="D104" i="3"/>
  <c r="G102" i="3"/>
  <c r="D103" i="3"/>
  <c r="E103" i="3"/>
  <c r="E101" i="3"/>
  <c r="H104" i="3"/>
  <c r="G101" i="3"/>
  <c r="D105" i="3"/>
  <c r="F101" i="3"/>
  <c r="D102" i="3"/>
  <c r="H101" i="3"/>
  <c r="E105" i="3"/>
  <c r="C78" i="3"/>
  <c r="H102" i="3"/>
  <c r="G103" i="3"/>
  <c r="G105" i="3"/>
  <c r="F104" i="3"/>
  <c r="E102" i="3"/>
  <c r="H103" i="3"/>
  <c r="G104" i="3"/>
  <c r="F103" i="3"/>
  <c r="E104" i="3"/>
  <c r="G89" i="3"/>
  <c r="D90" i="3"/>
  <c r="G92" i="3"/>
  <c r="D88" i="3"/>
  <c r="D91" i="3"/>
  <c r="G88" i="3"/>
  <c r="D101" i="3"/>
  <c r="D89" i="3"/>
  <c r="G90" i="3"/>
  <c r="E90" i="3"/>
  <c r="H92" i="3"/>
  <c r="H88" i="3"/>
  <c r="H89" i="3"/>
  <c r="H90" i="3"/>
  <c r="H91" i="3"/>
  <c r="H72" i="3"/>
  <c r="H64" i="3"/>
  <c r="H66" i="3" s="1"/>
  <c r="H69" i="3" s="1"/>
  <c r="I64" i="3"/>
  <c r="I66" i="3" s="1"/>
  <c r="I69" i="3" s="1"/>
  <c r="I73" i="3" s="1"/>
  <c r="C79" i="3" l="1"/>
  <c r="H73" i="3"/>
</calcChain>
</file>

<file path=xl/sharedStrings.xml><?xml version="1.0" encoding="utf-8"?>
<sst xmlns="http://schemas.openxmlformats.org/spreadsheetml/2006/main" count="2316" uniqueCount="641">
  <si>
    <t>Budget Authors and Contact Information:</t>
  </si>
  <si>
    <t>Department of Agriculture and Applied Economics</t>
  </si>
  <si>
    <t>University of Georgia</t>
  </si>
  <si>
    <t>Phone:  706-542-3577</t>
  </si>
  <si>
    <t>Will Secor Email:  wsecor@uga.edu</t>
  </si>
  <si>
    <t>Disclaimer:</t>
  </si>
  <si>
    <t>Validation:</t>
  </si>
  <si>
    <t>Equipment operations costs (fuel, lube, repairs &amp; maintenance, and fixed costs) are based on new equipment prices.</t>
  </si>
  <si>
    <t xml:space="preserve">Source: Mississippi State Budget Generator Forage Input Files (https://www.agecon.msstate.edu/whatwedo/budgets/generator/index.php). </t>
  </si>
  <si>
    <t>Field efficiency and repairs calculations are based on engineering equations from the American Society of Agricultural &amp; Biological Engineers.</t>
  </si>
  <si>
    <t>Variable Costs</t>
  </si>
  <si>
    <t>Units</t>
  </si>
  <si>
    <t>Units/Ac</t>
  </si>
  <si>
    <t>$/Unit</t>
  </si>
  <si>
    <t>Total Cost</t>
  </si>
  <si>
    <t>Cost/Ac</t>
  </si>
  <si>
    <t>Your Farm</t>
  </si>
  <si>
    <t>Ton</t>
  </si>
  <si>
    <t>___________</t>
  </si>
  <si>
    <t>Acre</t>
  </si>
  <si>
    <t>Other</t>
  </si>
  <si>
    <t>$</t>
  </si>
  <si>
    <t/>
  </si>
  <si>
    <t>Total Variable Costs</t>
  </si>
  <si>
    <t>Fixed Costs</t>
  </si>
  <si>
    <t>Equipment Fixed Costs</t>
  </si>
  <si>
    <t>Management</t>
  </si>
  <si>
    <t>% OF VC</t>
  </si>
  <si>
    <t>Land</t>
  </si>
  <si>
    <t>Total Fixed Costs</t>
  </si>
  <si>
    <t>Total Costs</t>
  </si>
  <si>
    <t>Sensitivity Analysis</t>
  </si>
  <si>
    <t>-10%</t>
  </si>
  <si>
    <t>-5%</t>
  </si>
  <si>
    <t>Expected</t>
  </si>
  <si>
    <t>+5%</t>
  </si>
  <si>
    <t>+10%</t>
  </si>
  <si>
    <t>Cow-Calf Budget</t>
  </si>
  <si>
    <t>Bull Culling Percentage (Decimal)</t>
  </si>
  <si>
    <t>Number of Brood Cows</t>
  </si>
  <si>
    <t>Number of Replacement Heifers Raised</t>
  </si>
  <si>
    <t>Number of Calves Sold</t>
  </si>
  <si>
    <t>Number of Bulls</t>
  </si>
  <si>
    <t>Budget Parameter</t>
  </si>
  <si>
    <t>Value</t>
  </si>
  <si>
    <t>Revenue</t>
  </si>
  <si>
    <t>Steer Calves</t>
  </si>
  <si>
    <t>Heifer Calves</t>
  </si>
  <si>
    <t>Cull Cows</t>
  </si>
  <si>
    <t>Head</t>
  </si>
  <si>
    <t>Cwt/head</t>
  </si>
  <si>
    <t>$/cwt</t>
  </si>
  <si>
    <t>$/Herd</t>
  </si>
  <si>
    <t>$/Cow</t>
  </si>
  <si>
    <t>Cull Bulls</t>
  </si>
  <si>
    <t>Bermuda Pasture</t>
  </si>
  <si>
    <t>Fescue Pasture</t>
  </si>
  <si>
    <t>Winter Annual Pasture</t>
  </si>
  <si>
    <t>Summer Annual Pasture</t>
  </si>
  <si>
    <t>Hay Production</t>
  </si>
  <si>
    <t>Purchased Hay</t>
  </si>
  <si>
    <t>Tons/Cow</t>
  </si>
  <si>
    <t>Total Supplemental Feed</t>
  </si>
  <si>
    <t>Cow Unit</t>
  </si>
  <si>
    <t xml:space="preserve"> - Cow Herd</t>
  </si>
  <si>
    <t xml:space="preserve"> - Replacement Heifers</t>
  </si>
  <si>
    <t xml:space="preserve"> - Bulls</t>
  </si>
  <si>
    <t xml:space="preserve"> - Calves</t>
  </si>
  <si>
    <t>Salt &amp; Minerals</t>
  </si>
  <si>
    <t>Lbs./Cow</t>
  </si>
  <si>
    <t>Total Vet &amp; Medicine</t>
  </si>
  <si>
    <t>Cow</t>
  </si>
  <si>
    <t>Heifer</t>
  </si>
  <si>
    <t>Bull</t>
  </si>
  <si>
    <t>calf</t>
  </si>
  <si>
    <t>Fence &amp; Facilties Repairs &amp; Maintenance</t>
  </si>
  <si>
    <t>% of Facilities</t>
  </si>
  <si>
    <t>Labor (including insurance, taxes, and SS)</t>
  </si>
  <si>
    <t>Hrs./Cow</t>
  </si>
  <si>
    <t>Pasture Rent</t>
  </si>
  <si>
    <t>Acres</t>
  </si>
  <si>
    <t>Machinery Rent</t>
  </si>
  <si>
    <t>Year</t>
  </si>
  <si>
    <t>Interest on Operating Capital (8 months)</t>
  </si>
  <si>
    <t>Percent</t>
  </si>
  <si>
    <t>ANNUAL EQUIPMENT IN DETAIL</t>
  </si>
  <si>
    <t>BERMUDA PASTURE</t>
  </si>
  <si>
    <t>Tractors and Implements</t>
  </si>
  <si>
    <t>Implement</t>
  </si>
  <si>
    <t>Budget Name</t>
  </si>
  <si>
    <t>Size</t>
  </si>
  <si>
    <t>Perf Rate hrs/ac</t>
  </si>
  <si>
    <t>Times Over</t>
  </si>
  <si>
    <t>Total Hrs</t>
  </si>
  <si>
    <t>Implement
Rprs/Hr</t>
  </si>
  <si>
    <t>Implement
Rprs/Ac</t>
  </si>
  <si>
    <t>Implement
FC/Hr</t>
  </si>
  <si>
    <t>Implement
FC/Ac</t>
  </si>
  <si>
    <t>Tractor/Power Units</t>
  </si>
  <si>
    <t>Budget name</t>
  </si>
  <si>
    <t>Fuel
gal/hr</t>
  </si>
  <si>
    <t>Total Fuel gal/ac</t>
  </si>
  <si>
    <t>Tractor Rprs/Hr</t>
  </si>
  <si>
    <t>Tractor Rprs/Ac</t>
  </si>
  <si>
    <t>Total Rprs/Ac</t>
  </si>
  <si>
    <t>Tractor
FC/Hr</t>
  </si>
  <si>
    <t>Tractor FC/Ac</t>
  </si>
  <si>
    <t>Total
FC/Ac</t>
  </si>
  <si>
    <t>3.43, Spray (Broadcast) 27'</t>
  </si>
  <si>
    <t>0.14, Tractor (60-89 hp) 2WD 75</t>
  </si>
  <si>
    <t>16.02, Rotary Mower 12'</t>
  </si>
  <si>
    <t>0.2, Tractor (90-119 hp) 2WD 105</t>
  </si>
  <si>
    <t>FESCUE PASTURE</t>
  </si>
  <si>
    <t>WINTER ANNUALS</t>
  </si>
  <si>
    <t>SUMMER ANNUALS</t>
  </si>
  <si>
    <t>Implements</t>
  </si>
  <si>
    <t>Intermediate Interest Rate</t>
  </si>
  <si>
    <t>Insurance + Tax Rate</t>
  </si>
  <si>
    <t>CROSS'S METHOD</t>
  </si>
  <si>
    <t>MSU METHOD</t>
  </si>
  <si>
    <t>Combined Name</t>
  </si>
  <si>
    <t>id</t>
  </si>
  <si>
    <t>sp</t>
  </si>
  <si>
    <t>NAME</t>
  </si>
  <si>
    <t>SIZE</t>
  </si>
  <si>
    <t>Name</t>
  </si>
  <si>
    <t>PURPRICE</t>
  </si>
  <si>
    <t>WIDTH</t>
  </si>
  <si>
    <t>SPEED</t>
  </si>
  <si>
    <t>EFF</t>
  </si>
  <si>
    <t>UGA PERF</t>
  </si>
  <si>
    <t>SVRATE</t>
  </si>
  <si>
    <t>RMRATE</t>
  </si>
  <si>
    <t>USELIFE</t>
  </si>
  <si>
    <t>ANNUSE</t>
  </si>
  <si>
    <t>USAGE</t>
  </si>
  <si>
    <t>Hrs Life</t>
  </si>
  <si>
    <t>Yrs Old</t>
  </si>
  <si>
    <t>RF1</t>
  </si>
  <si>
    <t>RF2</t>
  </si>
  <si>
    <t>Repair $/yr</t>
  </si>
  <si>
    <t>Repair $/hr</t>
  </si>
  <si>
    <t>RPR $/YR</t>
  </si>
  <si>
    <t>RPR $/HR</t>
  </si>
  <si>
    <t>Salvage</t>
  </si>
  <si>
    <t>Deprec</t>
  </si>
  <si>
    <t>Avg Invest</t>
  </si>
  <si>
    <t>Int on AI</t>
  </si>
  <si>
    <t>ins+Tax on AI</t>
  </si>
  <si>
    <t>Total FC</t>
  </si>
  <si>
    <t>FC/Hr</t>
  </si>
  <si>
    <t xml:space="preserve">, </t>
  </si>
  <si>
    <t xml:space="preserve">Bed-Disk  (Hipper) </t>
  </si>
  <si>
    <t xml:space="preserve"> 4R-36</t>
  </si>
  <si>
    <t xml:space="preserve"> 6R-36</t>
  </si>
  <si>
    <t xml:space="preserve"> 8R-30</t>
  </si>
  <si>
    <t>12R-30</t>
  </si>
  <si>
    <t xml:space="preserve"> 8R-36 2x1</t>
  </si>
  <si>
    <t>12R-36</t>
  </si>
  <si>
    <t xml:space="preserve">Bed-Disk  (Hipper) Fl </t>
  </si>
  <si>
    <t xml:space="preserve"> 8R-36</t>
  </si>
  <si>
    <t xml:space="preserve">Bed-Disk  (Hipper) Rd </t>
  </si>
  <si>
    <t>Bed-Disk  w/roller</t>
  </si>
  <si>
    <t xml:space="preserve"> 12R-30</t>
  </si>
  <si>
    <t xml:space="preserve">Bed/Lister </t>
  </si>
  <si>
    <t xml:space="preserve">Bed/Lister -Roll-Fo </t>
  </si>
  <si>
    <t>8R-36</t>
  </si>
  <si>
    <t>16R-30</t>
  </si>
  <si>
    <t>Bed/Lister -Roll-Ri</t>
  </si>
  <si>
    <t>Bed-Paratill   Fold</t>
  </si>
  <si>
    <t>10R-30</t>
  </si>
  <si>
    <t>Bed-Paratill   Rigid</t>
  </si>
  <si>
    <t xml:space="preserve"> 4R-30</t>
  </si>
  <si>
    <t xml:space="preserve">Bed-Paratill  w/roll </t>
  </si>
  <si>
    <t>4R-30</t>
  </si>
  <si>
    <t>4R-36</t>
  </si>
  <si>
    <t>6R-36</t>
  </si>
  <si>
    <t>Bed-Rip/Disk Fold.</t>
  </si>
  <si>
    <t>Bed-Rip/Disk Rigid</t>
  </si>
  <si>
    <t xml:space="preserve">Bed-Rip/Disk Rigid </t>
  </si>
  <si>
    <t>6R-30</t>
  </si>
  <si>
    <t xml:space="preserve">Bed-Rip/Disk/Cond. </t>
  </si>
  <si>
    <t>6-Row</t>
  </si>
  <si>
    <t>8-Row</t>
  </si>
  <si>
    <t>Bed-Roll-Fold.</t>
  </si>
  <si>
    <t xml:space="preserve">Bed-Roll-Fold. </t>
  </si>
  <si>
    <t xml:space="preserve">Bed-Roll-Rigid </t>
  </si>
  <si>
    <t xml:space="preserve">Bed-Subsoil   Fold </t>
  </si>
  <si>
    <t>8R-36 2x1</t>
  </si>
  <si>
    <t xml:space="preserve">Bed-Subsoil   Rigid </t>
  </si>
  <si>
    <t xml:space="preserve">Blade-Box </t>
  </si>
  <si>
    <t xml:space="preserve"> 6'-7'</t>
  </si>
  <si>
    <t xml:space="preserve"> 8'-10'</t>
  </si>
  <si>
    <t>12'-16'</t>
  </si>
  <si>
    <t xml:space="preserve">Blade-Scraper </t>
  </si>
  <si>
    <t xml:space="preserve">Chisel Plow-Folding </t>
  </si>
  <si>
    <t>16'</t>
  </si>
  <si>
    <t>24'</t>
  </si>
  <si>
    <t>32'</t>
  </si>
  <si>
    <t>42'</t>
  </si>
  <si>
    <t>50'</t>
  </si>
  <si>
    <t>61'</t>
  </si>
  <si>
    <t xml:space="preserve">Chisel Plow-Rigid </t>
  </si>
  <si>
    <t>10'</t>
  </si>
  <si>
    <t>15'</t>
  </si>
  <si>
    <t>20'</t>
  </si>
  <si>
    <t xml:space="preserve">Chisel-Harrow </t>
  </si>
  <si>
    <t>21 shank</t>
  </si>
  <si>
    <t>27 shank</t>
  </si>
  <si>
    <t xml:space="preserve">Coulter-Chisel-Harrow </t>
  </si>
  <si>
    <t>Cult &amp; PD Ridge Till</t>
  </si>
  <si>
    <t xml:space="preserve">Cult &amp; PD Ridge Till </t>
  </si>
  <si>
    <t xml:space="preserve">Cultivate </t>
  </si>
  <si>
    <t xml:space="preserve"> 6R-30</t>
  </si>
  <si>
    <t xml:space="preserve">Cultivate &amp; Post </t>
  </si>
  <si>
    <t>Cultivate Ridge Till</t>
  </si>
  <si>
    <t xml:space="preserve">Cultivate Ridge Till </t>
  </si>
  <si>
    <t xml:space="preserve">Disk &amp; Incorporate </t>
  </si>
  <si>
    <t>14'</t>
  </si>
  <si>
    <t>28'</t>
  </si>
  <si>
    <t xml:space="preserve">Disk Harrow </t>
  </si>
  <si>
    <t xml:space="preserve">Disk Harrow 40-100 hp </t>
  </si>
  <si>
    <t xml:space="preserve">Disk Ripper </t>
  </si>
  <si>
    <t xml:space="preserve">Ditcher </t>
  </si>
  <si>
    <t xml:space="preserve"> </t>
  </si>
  <si>
    <t xml:space="preserve">Ditcher (1m/160a) </t>
  </si>
  <si>
    <t xml:space="preserve">Fert Appl (Liquid) </t>
  </si>
  <si>
    <t>10R-36</t>
  </si>
  <si>
    <t xml:space="preserve">Field Cult &amp; Inc </t>
  </si>
  <si>
    <t xml:space="preserve">Field Cult &amp; Inc Fld </t>
  </si>
  <si>
    <t xml:space="preserve">Field Cult &amp; Inc Rdg </t>
  </si>
  <si>
    <t>12'</t>
  </si>
  <si>
    <t xml:space="preserve">Field Cultivate Fld </t>
  </si>
  <si>
    <t xml:space="preserve">Field Cultivate Rdg </t>
  </si>
  <si>
    <t xml:space="preserve">Grain Drill </t>
  </si>
  <si>
    <t xml:space="preserve"> 8'</t>
  </si>
  <si>
    <t>30'</t>
  </si>
  <si>
    <t>35'</t>
  </si>
  <si>
    <t xml:space="preserve">Grain Drill &amp; Pre </t>
  </si>
  <si>
    <t xml:space="preserve">Grain Drill &amp; Pre T </t>
  </si>
  <si>
    <t xml:space="preserve">Harrow -  Rigid </t>
  </si>
  <si>
    <t>21'</t>
  </si>
  <si>
    <t xml:space="preserve">Harrow - Folding </t>
  </si>
  <si>
    <t>40'</t>
  </si>
  <si>
    <t>48'</t>
  </si>
  <si>
    <t xml:space="preserve">Harrow - Rigid </t>
  </si>
  <si>
    <t>13'</t>
  </si>
  <si>
    <t xml:space="preserve">Heavy Disk </t>
  </si>
  <si>
    <t xml:space="preserve">Land Plane </t>
  </si>
  <si>
    <t>50'x16'</t>
  </si>
  <si>
    <t xml:space="preserve">Levee Pull &amp; Seed </t>
  </si>
  <si>
    <t>8 Blade</t>
  </si>
  <si>
    <t xml:space="preserve">Levee Pull (1m/80a) </t>
  </si>
  <si>
    <t>8 blade</t>
  </si>
  <si>
    <t xml:space="preserve">Levee Splitter (1/80a) </t>
  </si>
  <si>
    <t xml:space="preserve">NT Grain Drill </t>
  </si>
  <si>
    <t xml:space="preserve"> 6'</t>
  </si>
  <si>
    <t xml:space="preserve">NT Grain Drill &amp; Pre </t>
  </si>
  <si>
    <t xml:space="preserve">NT Plant &amp; Pre-Folding </t>
  </si>
  <si>
    <t>12R-20</t>
  </si>
  <si>
    <t>23R-15</t>
  </si>
  <si>
    <t>24R-15</t>
  </si>
  <si>
    <t>31R-15</t>
  </si>
  <si>
    <t>24R-20</t>
  </si>
  <si>
    <t>32R-15</t>
  </si>
  <si>
    <t>24R-30</t>
  </si>
  <si>
    <t>36R-20</t>
  </si>
  <si>
    <t xml:space="preserve">NT Plant &amp; Pre-Rigid </t>
  </si>
  <si>
    <t>11R-15</t>
  </si>
  <si>
    <t>11R-20</t>
  </si>
  <si>
    <t>15R-15</t>
  </si>
  <si>
    <t>13R-18/20</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</si>
  <si>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</si>
  <si>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</si>
  <si>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</si>
  <si>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</si>
  <si>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</si>
  <si>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</si>
  <si>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</si>
  <si>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Peanut Plant &amp; Pre Twin </t>
  </si>
  <si>
    <t xml:space="preserve">Pipe Spool 160 ac </t>
  </si>
  <si>
    <t>1/4m roll</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</si>
  <si>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</si>
  <si>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</si>
  <si>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</si>
  <si>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</si>
  <si>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</si>
  <si>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</si>
  <si>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</si>
  <si>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Plow </t>
  </si>
  <si>
    <t>4 Bottom Switch</t>
  </si>
  <si>
    <t>5 Bottom Switch</t>
  </si>
  <si>
    <t xml:space="preserve">Roller/Cultipacker </t>
  </si>
  <si>
    <t>38'</t>
  </si>
  <si>
    <t xml:space="preserve">Roller/Stubble </t>
  </si>
  <si>
    <t xml:space="preserve">Rotary Cutter </t>
  </si>
  <si>
    <t xml:space="preserve"> 7'</t>
  </si>
  <si>
    <t xml:space="preserve">Rotary Cutter-Flex </t>
  </si>
  <si>
    <t xml:space="preserve">Row Cond &amp; Inc-Fold. </t>
  </si>
  <si>
    <t>26'</t>
  </si>
  <si>
    <t xml:space="preserve">Row Cond &amp; Inc-Rigid </t>
  </si>
  <si>
    <t xml:space="preserve">Row Cond Folding </t>
  </si>
  <si>
    <t xml:space="preserve">Row Cond Rigid </t>
  </si>
  <si>
    <t xml:space="preserve">Row Cond./Roll-Fold. </t>
  </si>
  <si>
    <t xml:space="preserve">Row Cond./Roll-Rigid </t>
  </si>
  <si>
    <t xml:space="preserve">Spin Spreader </t>
  </si>
  <si>
    <t>5 ton</t>
  </si>
  <si>
    <t xml:space="preserve">Spray (ATV Ropewick) </t>
  </si>
  <si>
    <t>75"</t>
  </si>
  <si>
    <t xml:space="preserve">Spray (ATV) </t>
  </si>
  <si>
    <t>12'/17'</t>
  </si>
  <si>
    <t xml:space="preserve">Spray (Band) </t>
  </si>
  <si>
    <t>27' Fold</t>
  </si>
  <si>
    <t>40' Fold</t>
  </si>
  <si>
    <t>50' Fold</t>
  </si>
  <si>
    <t>53' Fold</t>
  </si>
  <si>
    <t>60' Fold</t>
  </si>
  <si>
    <t xml:space="preserve">Spray (Bcast/HB) </t>
  </si>
  <si>
    <t>13' Rigid</t>
  </si>
  <si>
    <t>20' Rigid</t>
  </si>
  <si>
    <t>27' Rigid</t>
  </si>
  <si>
    <t>30' Fold</t>
  </si>
  <si>
    <t xml:space="preserve">Spray (Bcast/HB/HD) </t>
  </si>
  <si>
    <t>27'</t>
  </si>
  <si>
    <t xml:space="preserve">Spray (Broadcast) </t>
  </si>
  <si>
    <t>53'</t>
  </si>
  <si>
    <t>60'</t>
  </si>
  <si>
    <t xml:space="preserve">Spray (Direct/Hood) </t>
  </si>
  <si>
    <t xml:space="preserve">Spray (Direct/Layby) </t>
  </si>
  <si>
    <t>16R-20</t>
  </si>
  <si>
    <t xml:space="preserve">Spray (Levee Leaper) </t>
  </si>
  <si>
    <t xml:space="preserve">Spray (Pull Type) </t>
  </si>
  <si>
    <t xml:space="preserve"> 60'</t>
  </si>
  <si>
    <t xml:space="preserve"> 80'</t>
  </si>
  <si>
    <t xml:space="preserve"> 90'</t>
  </si>
  <si>
    <t>100'</t>
  </si>
  <si>
    <t>120'</t>
  </si>
  <si>
    <t xml:space="preserve">Spray (Ropewick) </t>
  </si>
  <si>
    <t xml:space="preserve">Spray (Spot) </t>
  </si>
  <si>
    <t xml:space="preserve">ST Plant Rigid </t>
  </si>
  <si>
    <t xml:space="preserve">Strip Till </t>
  </si>
  <si>
    <t xml:space="preserve">Subsoiler </t>
  </si>
  <si>
    <t>3 shank</t>
  </si>
  <si>
    <t>4 shank</t>
  </si>
  <si>
    <t>5 shank</t>
  </si>
  <si>
    <t xml:space="preserve">Subsoiler low-till </t>
  </si>
  <si>
    <t>6 shank</t>
  </si>
  <si>
    <t>8 shank</t>
  </si>
  <si>
    <t xml:space="preserve">Hay Baler </t>
  </si>
  <si>
    <t>Lg Round</t>
  </si>
  <si>
    <t>Med Rnd</t>
  </si>
  <si>
    <t>Square</t>
  </si>
  <si>
    <t xml:space="preserve">Hay Cut-Cond </t>
  </si>
  <si>
    <t>9'</t>
  </si>
  <si>
    <t xml:space="preserve">Hay Disc Mower </t>
  </si>
  <si>
    <t>8'</t>
  </si>
  <si>
    <t xml:space="preserve">Hay Mover </t>
  </si>
  <si>
    <t>1B Lift</t>
  </si>
  <si>
    <t xml:space="preserve">Front Loader </t>
  </si>
  <si>
    <t>.5 yd</t>
  </si>
  <si>
    <t xml:space="preserve">Hay Trailer </t>
  </si>
  <si>
    <t xml:space="preserve">Hay Rake </t>
  </si>
  <si>
    <t>8.5'</t>
  </si>
  <si>
    <t>17'</t>
  </si>
  <si>
    <t xml:space="preserve">Hay Tedder </t>
  </si>
  <si>
    <t xml:space="preserve">Rotary Mower </t>
  </si>
  <si>
    <t>7'</t>
  </si>
  <si>
    <t xml:space="preserve">Row Cond </t>
  </si>
  <si>
    <t xml:space="preserve">Row Cond &amp; Inc </t>
  </si>
  <si>
    <t>Tractors</t>
  </si>
  <si>
    <t>CROSS</t>
  </si>
  <si>
    <t>cat</t>
  </si>
  <si>
    <t>FuelRATE</t>
  </si>
  <si>
    <t>SV</t>
  </si>
  <si>
    <t>D</t>
  </si>
  <si>
    <t>Int</t>
  </si>
  <si>
    <t>HIT</t>
  </si>
  <si>
    <t>FC/hr</t>
  </si>
  <si>
    <t>DIFF</t>
  </si>
  <si>
    <t xml:space="preserve">Tractor (20-39 hp) </t>
  </si>
  <si>
    <t>MFWD 30</t>
  </si>
  <si>
    <t xml:space="preserve">Tractor (40-59 hp) </t>
  </si>
  <si>
    <t>2WD 50</t>
  </si>
  <si>
    <t>MFWD 50</t>
  </si>
  <si>
    <t xml:space="preserve">Tractor (60-89 hp) </t>
  </si>
  <si>
    <t>2WD 75</t>
  </si>
  <si>
    <t>MFWD 75</t>
  </si>
  <si>
    <t xml:space="preserve">Tractor (90-119 hp) </t>
  </si>
  <si>
    <t>2WD 105</t>
  </si>
  <si>
    <t>MFWD 105</t>
  </si>
  <si>
    <t xml:space="preserve">Tractor (120-139 hp) </t>
  </si>
  <si>
    <t>2WD 130</t>
  </si>
  <si>
    <t>MFWD 130</t>
  </si>
  <si>
    <t xml:space="preserve">Tractor (140-159 hp) </t>
  </si>
  <si>
    <t>2WD 150</t>
  </si>
  <si>
    <t>MFWD 150</t>
  </si>
  <si>
    <t xml:space="preserve">Tractor (160-179 hp) </t>
  </si>
  <si>
    <t>2WD 170</t>
  </si>
  <si>
    <t>MFWD 170</t>
  </si>
  <si>
    <t xml:space="preserve">Tractor (180-199 hp) </t>
  </si>
  <si>
    <t>MFWD 190</t>
  </si>
  <si>
    <t xml:space="preserve">Tractor (200-249 hp) </t>
  </si>
  <si>
    <t>MFWD 225</t>
  </si>
  <si>
    <t>Track 225</t>
  </si>
  <si>
    <t xml:space="preserve">Tractor (250-349 hp) </t>
  </si>
  <si>
    <t>4WD 300</t>
  </si>
  <si>
    <t>MFWD 300</t>
  </si>
  <si>
    <t>Track 300</t>
  </si>
  <si>
    <t xml:space="preserve">Tractor (350-449 hp) </t>
  </si>
  <si>
    <t>4WD 400</t>
  </si>
  <si>
    <t>Track 400</t>
  </si>
  <si>
    <t xml:space="preserve">Tractor (450-550 hp) </t>
  </si>
  <si>
    <t>4WD 500</t>
  </si>
  <si>
    <t>Track 500</t>
  </si>
  <si>
    <t xml:space="preserve">Utility Vehicle </t>
  </si>
  <si>
    <t>900 CC</t>
  </si>
  <si>
    <t>600 CC</t>
  </si>
  <si>
    <t>800 CC</t>
  </si>
  <si>
    <t>Item</t>
  </si>
  <si>
    <t>Number</t>
  </si>
  <si>
    <t>Salvage Value</t>
  </si>
  <si>
    <t>Years of Useful Life</t>
  </si>
  <si>
    <t>Annual Depreciation</t>
  </si>
  <si>
    <t>Average Value</t>
  </si>
  <si>
    <t>Interest on Average Value</t>
  </si>
  <si>
    <t>Insurance &amp; Taxes on Average Value</t>
  </si>
  <si>
    <t>Fixed Cost Total</t>
  </si>
  <si>
    <t>Fences (Miles)</t>
  </si>
  <si>
    <t>Squeeze Chute</t>
  </si>
  <si>
    <t>Alleys &amp; Pen</t>
  </si>
  <si>
    <t>Barn</t>
  </si>
  <si>
    <t>Feed Troughs</t>
  </si>
  <si>
    <t>Miscellanous Equipment</t>
  </si>
  <si>
    <t>Total Buildings &amp; Facilities</t>
  </si>
  <si>
    <t>Cull Heifers</t>
  </si>
  <si>
    <t>Purchased Cows</t>
  </si>
  <si>
    <t>Purchased Heifers</t>
  </si>
  <si>
    <t>Purchased Bulls</t>
  </si>
  <si>
    <t>Unit</t>
  </si>
  <si>
    <t>Price</t>
  </si>
  <si>
    <t>Total</t>
  </si>
  <si>
    <t>Commission</t>
  </si>
  <si>
    <t>Yardage</t>
  </si>
  <si>
    <t>Hauling</t>
  </si>
  <si>
    <t>Checkoff</t>
  </si>
  <si>
    <t>Days</t>
  </si>
  <si>
    <t>Miles</t>
  </si>
  <si>
    <t>Total Costs per Head</t>
  </si>
  <si>
    <t>Verterinary Expenses Detail</t>
  </si>
  <si>
    <t>Delice</t>
  </si>
  <si>
    <t>Fly Tags</t>
  </si>
  <si>
    <t>Preg Check</t>
  </si>
  <si>
    <t>Total Vet Expenses for Cows</t>
  </si>
  <si>
    <t>Synchronization</t>
  </si>
  <si>
    <t>Clostridial</t>
  </si>
  <si>
    <t>Respritory</t>
  </si>
  <si>
    <t>Semen</t>
  </si>
  <si>
    <t>Total Vet Expenses for Replacements</t>
  </si>
  <si>
    <t>Breeding Soundness Exam</t>
  </si>
  <si>
    <t>Total Vet Expenses for Bulls</t>
  </si>
  <si>
    <t>Implant</t>
  </si>
  <si>
    <t>Total Vet Expenses for Calves</t>
  </si>
  <si>
    <t>$/Application</t>
  </si>
  <si>
    <t>Total Cost/Cow</t>
  </si>
  <si>
    <t>Calf</t>
  </si>
  <si>
    <t>Veterinary Expenses for Replacement Heifers</t>
  </si>
  <si>
    <t>Veterinary Expenses for Cow Herd</t>
  </si>
  <si>
    <t>Veterinary Expenses for Herd Bulls</t>
  </si>
  <si>
    <t>Veterinary Expenses for Calves</t>
  </si>
  <si>
    <t>Buildings &amp; Facilities Costs</t>
  </si>
  <si>
    <t>Livestock Fixed Costs</t>
  </si>
  <si>
    <t>Supplemental Feed Cost Detail</t>
  </si>
  <si>
    <t>Supplemental Feed for Cows</t>
  </si>
  <si>
    <t>Days Fed</t>
  </si>
  <si>
    <t>Total Pounds per Cow</t>
  </si>
  <si>
    <t>$/unit</t>
  </si>
  <si>
    <t>Cost/Cow</t>
  </si>
  <si>
    <t>Supplemental Feed for Replacement Heifers</t>
  </si>
  <si>
    <t>Supplemental Feed for Herd Bulls</t>
  </si>
  <si>
    <t>Supplemental Feed for Calves</t>
  </si>
  <si>
    <t>50:50 Corn Gluten : Soy Hull Pellets</t>
  </si>
  <si>
    <t>Tons</t>
  </si>
  <si>
    <t>33:33:33 Corn Gluten : Soy Hull Pellets : Corn</t>
  </si>
  <si>
    <t>Total Pounds per Heifer</t>
  </si>
  <si>
    <t>Cost/Heifer</t>
  </si>
  <si>
    <t>Total Pounds per Bull</t>
  </si>
  <si>
    <t>Total Pounds per Calf</t>
  </si>
  <si>
    <t>Cost/Calf</t>
  </si>
  <si>
    <t>Cost/Bull</t>
  </si>
  <si>
    <t>Pounds Fed per Day</t>
  </si>
  <si>
    <t>Bahia Pasture</t>
  </si>
  <si>
    <t>Hybrid Bermuda Hay Per Acre Cost Detail</t>
  </si>
  <si>
    <t>Yield (tons/ac)</t>
  </si>
  <si>
    <t>Summer Annual Pasture Per Acre Cost Detail</t>
  </si>
  <si>
    <t>Winter Grazing Per Acre Cost Detail</t>
  </si>
  <si>
    <t>Fescue Pasture Per Acre Cost Detail</t>
  </si>
  <si>
    <t>Hybrid Bermuda Pasture Per Acre Cost Detail</t>
  </si>
  <si>
    <t>Bahia Pasture Per Acre Cost Detail</t>
  </si>
  <si>
    <t>HAY</t>
  </si>
  <si>
    <t>11.02, Hay Cut-Cond 12'</t>
  </si>
  <si>
    <t>15.01, Hay Tedder 17'</t>
  </si>
  <si>
    <t>14.02, Hay Rake 17'</t>
  </si>
  <si>
    <t>10.01, Hay Baler Lg Round</t>
  </si>
  <si>
    <t>13.01, Hay Mover 1B Lift</t>
  </si>
  <si>
    <t>BAHIA PASTURE</t>
  </si>
  <si>
    <t>Lime</t>
  </si>
  <si>
    <t>Fertilizer</t>
  </si>
  <si>
    <t xml:space="preserve">     Nitrogen</t>
  </si>
  <si>
    <t>Pounds</t>
  </si>
  <si>
    <t xml:space="preserve">     Phosphate</t>
  </si>
  <si>
    <t xml:space="preserve">     Potash</t>
  </si>
  <si>
    <t xml:space="preserve">     Custom Application</t>
  </si>
  <si>
    <t>Crop Protection</t>
  </si>
  <si>
    <t xml:space="preserve">     Pre-emergent Herbicide</t>
  </si>
  <si>
    <t>Apps</t>
  </si>
  <si>
    <t xml:space="preserve">     Broadleaf Herbicide</t>
  </si>
  <si>
    <t xml:space="preserve">     Armyworm Control</t>
  </si>
  <si>
    <t xml:space="preserve">     Bermuda Stem Maggot Control</t>
  </si>
  <si>
    <t>Machinery</t>
  </si>
  <si>
    <t xml:space="preserve">     Fuel</t>
  </si>
  <si>
    <t>Gallons</t>
  </si>
  <si>
    <t xml:space="preserve">     Repairs &amp; Maintenance</t>
  </si>
  <si>
    <t xml:space="preserve">     Net Wrap</t>
  </si>
  <si>
    <t>Bale</t>
  </si>
  <si>
    <t>Land Rental</t>
  </si>
  <si>
    <t>Operator Labor</t>
  </si>
  <si>
    <t>Hours</t>
  </si>
  <si>
    <t>Interest on Operating Capital</t>
  </si>
  <si>
    <t>Total Costs Per Ton</t>
  </si>
  <si>
    <t>Units/Cow</t>
  </si>
  <si>
    <t>Total Quantity</t>
  </si>
  <si>
    <t>Total Costs Per Acre</t>
  </si>
  <si>
    <t>Total Fixed Costs Per Acre</t>
  </si>
  <si>
    <t>Total Variable Costs Per Acre</t>
  </si>
  <si>
    <t>Seed</t>
  </si>
  <si>
    <t xml:space="preserve">     Oats</t>
  </si>
  <si>
    <t xml:space="preserve">     Triticale</t>
  </si>
  <si>
    <t xml:space="preserve">     Clover</t>
  </si>
  <si>
    <t xml:space="preserve">     Ryegrass</t>
  </si>
  <si>
    <t xml:space="preserve">     Rye</t>
  </si>
  <si>
    <t xml:space="preserve">     Wheat</t>
  </si>
  <si>
    <t>0.66, Chisel Plow-Rigid 15'</t>
  </si>
  <si>
    <t>1.04, Disk Harrow 14'</t>
  </si>
  <si>
    <t>1.74, NT Grain Drill &amp; Pre 12'</t>
  </si>
  <si>
    <t>Herbicides: Pre-Planting</t>
  </si>
  <si>
    <t xml:space="preserve">     Sorghum</t>
  </si>
  <si>
    <t xml:space="preserve">     Sorghum x Sudan</t>
  </si>
  <si>
    <t xml:space="preserve">     Pearl Millet</t>
  </si>
  <si>
    <t xml:space="preserve">     Crabgrass</t>
  </si>
  <si>
    <t xml:space="preserve">Rates and products used in the cow-calf enterprise budget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 </t>
  </si>
  <si>
    <t>$/Head</t>
  </si>
  <si>
    <t>Salvage Value/Head</t>
  </si>
  <si>
    <t>Percent of Total</t>
  </si>
  <si>
    <t>Total Fixed Cost</t>
  </si>
  <si>
    <t>Selling Weight (cwt) and Price/cwt Varies</t>
  </si>
  <si>
    <t>Selling Weight (cwt)</t>
  </si>
  <si>
    <t>Price/cwt</t>
  </si>
  <si>
    <t>Cwt</t>
  </si>
  <si>
    <t>Winter Annuals</t>
  </si>
  <si>
    <t>Summer Annuals</t>
  </si>
  <si>
    <t>Hay</t>
  </si>
  <si>
    <t>Field</t>
  </si>
  <si>
    <t>Total Fuel</t>
  </si>
  <si>
    <t>Total Rprs</t>
  </si>
  <si>
    <t>Marketing</t>
  </si>
  <si>
    <t>Retained Heifer Replacement Rate</t>
  </si>
  <si>
    <t>Calving Rate</t>
  </si>
  <si>
    <t>%</t>
  </si>
  <si>
    <t>Calf Death Loss</t>
  </si>
  <si>
    <t>Brood Cow Death Loss</t>
  </si>
  <si>
    <t>Cow Culling Percentage</t>
  </si>
  <si>
    <t>Selling Weight (cwt) and Calf Crop Varies</t>
  </si>
  <si>
    <t>Based on Original Budgets by John C. McKissick</t>
  </si>
  <si>
    <t>Will Secor</t>
  </si>
  <si>
    <t>Number of Purchased Replacement Heifers</t>
  </si>
  <si>
    <t>Calf Crop (%)</t>
  </si>
  <si>
    <t>Net Returns Above Variable Costs Per Cow</t>
  </si>
  <si>
    <t>Local input prices and costs will vary. In collaboration with County Extension Agents, retail input and feed suppliers were solicited for prices from locations across the state. These prices were then aggregated together to come up with the cost estimates used in the budgets. Other input costs were obtained from online sources.</t>
  </si>
  <si>
    <t>Marketing Cost Detail</t>
  </si>
  <si>
    <t>Breakeven Table</t>
  </si>
  <si>
    <t>Breakeven Calf Sales Above Feed Costs ($/cwt)</t>
  </si>
  <si>
    <t>Breakeven Calf Sales Above Variable Costs ($/cwt)</t>
  </si>
  <si>
    <t>Breakeven Calf Sales Above Total Costs ($/cwt)</t>
  </si>
  <si>
    <t>Net Return Above Variable Costs</t>
  </si>
  <si>
    <t>Net Return Above Total Costs</t>
  </si>
  <si>
    <t>Number of Steer Calves Sold</t>
  </si>
  <si>
    <t>Number of Heifer Calves Sold</t>
  </si>
  <si>
    <t>Cost/cwt</t>
  </si>
  <si>
    <t>Prorated Establishment Costs</t>
  </si>
  <si>
    <t>Cost</t>
  </si>
  <si>
    <t>Useful Life</t>
  </si>
  <si>
    <t>Tractors/Power Units</t>
  </si>
  <si>
    <t>Average Investment</t>
  </si>
  <si>
    <t>Depreciation</t>
  </si>
  <si>
    <t>Interest on
Avg. Investment</t>
  </si>
  <si>
    <t>Ins+Tax on
Avg. Investment</t>
  </si>
  <si>
    <t>% Used
Cow-Calf</t>
  </si>
  <si>
    <t>Cow-Calf
Depreciation</t>
  </si>
  <si>
    <t>Cow-Calf
Interest</t>
  </si>
  <si>
    <t>Cow-Calf
Ins+Tax</t>
  </si>
  <si>
    <t>Cow-Calf
Total FC</t>
  </si>
  <si>
    <t>Total Implement Costs</t>
  </si>
  <si>
    <t>Total Tractors/Power Units Costs</t>
  </si>
  <si>
    <t>Total Equipment Fixed Costs</t>
  </si>
  <si>
    <t>13.02, Front Loader .5 yd</t>
  </si>
  <si>
    <t>Fixed Cost/Cow</t>
  </si>
  <si>
    <t>Cow-Calf
FC/Cow</t>
  </si>
  <si>
    <t>TOTAL VARIABLE COSTS AS USED ON BUDGET</t>
  </si>
  <si>
    <t>Quantity/Head</t>
  </si>
  <si>
    <t>Cost/Head</t>
  </si>
  <si>
    <t>Hay Rings</t>
  </si>
  <si>
    <t>Many UGA extension specialists provided input on this budget. They include Lisa Baxter, Brent Credile, Pedro Fontes, Guy Hancock, and Lawton Stewart. John Worley, Emeritus Professor at UGA, also shared his expertise.</t>
  </si>
  <si>
    <t>Notes:</t>
  </si>
  <si>
    <t>This budget assumes four cuttings during the year.
Lime application of 0.33 tons/ac is prorating 1 ton of lime every three years.
Lime application includes the cost of application.
Nitrogen application assumes 50 lb/ac at green up and 50 lb/ac after each of the first three cuttings.
Nitrogen price is the average of UAN, Urea, and Ammonium Sulfate.
Phosphate price is DAP.
Potash is applied twice - 125 lbs/ac @ green up and 125 lbs/ac in mid-summer.
Crop Protection Notes
     Pre-emergent herbicide application costs are the average of Prowl H2O and Rezilon.
     Broadleaf herbicde application cost is an application of DuraCor with MSO.
     Armyworm control and Bermuda Stem Maggot control costs are applications of Mustang Max.</t>
  </si>
  <si>
    <t>Livestock Facilities Detail</t>
  </si>
  <si>
    <t>Breeding Stock Detail</t>
  </si>
  <si>
    <t>Dewormer</t>
  </si>
  <si>
    <t>IBR, BVD, 5-way Lepto, Vibrio</t>
  </si>
  <si>
    <t>IBR, PI3, BVD, BRSV</t>
  </si>
  <si>
    <t>Fixed costs (opportunity cost, depreciation, housing, insurance, interest, and taxes) are partly based on standard equations and methodology approved by the American Agricultural Economiocs Association.</t>
  </si>
  <si>
    <t>While fractions of an animal cannot be sold, the enterprise budget includes fractions of animals as a result of the general formulas used. These are intended to be averages or prorated sales over many years and reflect general relations. The user should adjust these to better fit their operation and their expectations.</t>
  </si>
  <si>
    <r>
      <t xml:space="preserve">Numbers in </t>
    </r>
    <r>
      <rPr>
        <b/>
        <sz val="11"/>
        <color rgb="FF000080"/>
        <rFont val="Calibri"/>
        <family val="2"/>
        <scheme val="minor"/>
      </rPr>
      <t>blue</t>
    </r>
    <r>
      <rPr>
        <b/>
        <sz val="11"/>
        <rFont val="Calibri"/>
        <family val="2"/>
        <scheme val="minor"/>
      </rPr>
      <t xml:space="preserve"> are numbers that may be edited by the user without interfering with the most important formulas. Other numbers may be changed to better reflect a user's particular situation, but it may affect the function of some formulas in this and other sheets in this Workbook.</t>
    </r>
  </si>
  <si>
    <t>Lime application of 0.33 tons/ac is prorating 1 ton of lime every three years.
Lime application includes the cost of application.
Nitrogen price is the average of UAN, Urea, and Ammonium Sulfate.
Phosphate price is DAP.
Crop Protection Notes
     Broadleaf herbicde application cost is an application of DuraCor with MSO.
     Armyworm control costs are applications of Mustang Max.</t>
  </si>
  <si>
    <t>Lime application of 0.33 tons/ac is prorating 1 ton of lime every three years.
Lime application includes the cost of application.
Nitrogen price is the average of UAN, Urea, and Ammonium Sulfate.
Phosphate price is DAP.
Crop Protection Notes
     Broadleaf herbicde application cost is an application of 2-4 D.
     Armyworm control costs are applications of Mustang Max.</t>
  </si>
  <si>
    <t>Bahia Detail</t>
  </si>
  <si>
    <t>Bermuda Detail</t>
  </si>
  <si>
    <t>Fescue Detail</t>
  </si>
  <si>
    <t>Hay Detail</t>
  </si>
  <si>
    <t>Marketing Detail</t>
  </si>
  <si>
    <t>Winter Grazing Detail</t>
  </si>
  <si>
    <t>Summer Grazing Detail</t>
  </si>
  <si>
    <t>Feed Detail</t>
  </si>
  <si>
    <t>Vet Detail</t>
  </si>
  <si>
    <t>Facilities Detail</t>
  </si>
  <si>
    <t>Equipment Detail</t>
  </si>
  <si>
    <t>Georgia, 2025</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</si>
  <si>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and Jan 2025. Due to volatility, prices may change rapidly.</t>
  </si>
  <si>
    <t>Interest rate used for the interest calculation is 8%.</t>
  </si>
  <si>
    <t>The interest rate used in the interest calculation is 8%.
Insurance and taxes are assumed to be 2.4% of the average value of the facilities.</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</si>
  <si>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and Jan 2025. Due to volatility in input markets, prices may change rapidly.]]</t>
  </si>
  <si>
    <t>Lime application of 0.33 tons/ac is prorating 1 ton of lime every three years.
Lime application includes the cost of application.
Nitrogen price is the average of UAN, Urea, and Ammonium Sulfate.
Phosphate price is DAP.
Crop Protection Notes
     Broadleaf herbicde application cost is an application of 2,4-D.
     Armyworm control costs are applications of Mustang 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</si>
</sst>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quot;$&quot;#,##0.00"/>
    <numFmt numFmtId="166" formatCode="0.000"/>
    <numFmt numFmtId="167" formatCode="0.00000"/>
    <numFmt numFmtId="168" formatCode="_(&quot;$&quot;* #,##0_);_(&quot;$&quot;* \(#,##0\);_(&quot;$&quot;* &quot;-&quot;??_);_(@_)"/>
    <numFmt numFmtId="169" formatCode="&quot;$&quot;#,##0"/>
  </numFmts>
  <fonts count="36"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sz val="11"/>
      <name val="Calibri"/>
      <family val="2"/>
      <scheme val="minor"/>
    </font>
    <font>
      <b/>
      <sz val="11"/>
      <color indexed="37"/>
      <name val="Calibri"/>
      <family val="2"/>
      <scheme val="minor"/>
    </font>
    <font>
      <sz val="11"/>
      <name val="Calibri"/>
      <family val="2"/>
      <scheme val="minor"/>
    </font>
    <font>
      <sz val="11"/>
      <color indexed="32"/>
      <name val="Calibri"/>
      <family val="2"/>
      <scheme val="minor"/>
    </font>
    <font>
      <b/>
      <sz val="11"/>
      <color indexed="32"/>
      <name val="Calibri"/>
      <family val="2"/>
      <scheme val="minor"/>
    </font>
    <font>
      <b/>
      <i/>
      <sz val="11"/>
      <color indexed="32"/>
      <name val="Calibri"/>
      <family val="2"/>
      <scheme val="minor"/>
    </font>
    <font>
      <sz val="11"/>
      <color indexed="37"/>
      <name val="Calibri"/>
      <family val="2"/>
      <scheme val="minor"/>
    </font>
    <font>
      <sz val="11"/>
      <color theme="1"/>
      <name val="Calibri"/>
      <family val="2"/>
      <scheme val="minor"/>
    </font>
    <font>
      <sz val="11"/>
      <color rgb="FF000080"/>
      <name val="Calibri"/>
      <family val="2"/>
      <scheme val="minor"/>
    </font>
    <font>
      <b/>
      <sz val="11"/>
      <color theme="1"/>
      <name val="Calibri"/>
      <family val="2"/>
      <scheme val="minor"/>
    </font>
    <font>
      <sz val="11"/>
      <color theme="0"/>
      <name val="Calibri"/>
      <family val="2"/>
      <scheme val="minor"/>
    </font>
    <font>
      <sz val="11"/>
      <color rgb="FFEAEAEA"/>
      <name val="Calibri"/>
      <family val="2"/>
      <scheme val="minor"/>
    </font>
    <font>
      <sz val="11"/>
      <color rgb="FF000000"/>
      <name val="Calibri"/>
      <family val="2"/>
      <scheme val="minor"/>
    </font>
    <font>
      <b/>
      <sz val="11"/>
      <color rgb="FF000080"/>
      <name val="Calibri"/>
      <family val="2"/>
      <scheme val="minor"/>
    </font>
    <font>
      <u/>
      <sz val="12"/>
      <color theme="10"/>
      <name val="Calibri"/>
      <family val="2"/>
      <scheme val="minor"/>
    </font>
    <font>
      <u/>
      <sz val="11"/>
      <color theme="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8"/>
      <color theme="3"/>
      <name val="Calibri Light"/>
      <family val="2"/>
      <scheme val="major"/>
    </font>
    <font>
      <sz val="11"/>
      <color rgb="FF9C6500"/>
      <name val="Calibri"/>
      <family val="2"/>
      <scheme val="minor"/>
    </font>
  </fonts>
  <fills count="3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style="medium">
        <color indexed="64"/>
      </top>
      <bottom style="medium">
        <color indexed="64"/>
      </bottom>
      <diagonal/>
    </border>
    <border>
      <left/>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diagonal/>
    </border>
    <border>
      <left/>
      <right style="medium">
        <color auto="1"/>
      </right>
      <top/>
      <bottom/>
      <diagonal/>
    </border>
    <border>
      <left style="medium">
        <color auto="1"/>
      </left>
      <right/>
      <top style="thin">
        <color indexed="64"/>
      </top>
      <bottom style="thin">
        <color indexed="64"/>
      </bottom>
      <diagonal/>
    </border>
    <border>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top/>
      <bottom style="thin">
        <color indexed="64"/>
      </bottom>
      <diagonal/>
    </border>
    <border>
      <left/>
      <right/>
      <top style="thin">
        <color auto="1"/>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0" fillId="0" borderId="0" applyNumberFormat="0" applyFill="0" applyBorder="0" applyAlignment="0" applyProtection="0"/>
    <xf numFmtId="0" fontId="22" fillId="0" borderId="24" applyNumberFormat="0" applyFill="0" applyAlignment="0" applyProtection="0"/>
    <xf numFmtId="0" fontId="23" fillId="0" borderId="25" applyNumberFormat="0" applyFill="0" applyAlignment="0" applyProtection="0"/>
    <xf numFmtId="0" fontId="24" fillId="0" borderId="26"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27" applyNumberFormat="0" applyAlignment="0" applyProtection="0"/>
    <xf numFmtId="0" fontId="28" fillId="11" borderId="28" applyNumberFormat="0" applyAlignment="0" applyProtection="0"/>
    <xf numFmtId="0" fontId="29" fillId="11" borderId="27" applyNumberFormat="0" applyAlignment="0" applyProtection="0"/>
    <xf numFmtId="0" fontId="30" fillId="0" borderId="29" applyNumberFormat="0" applyFill="0" applyAlignment="0" applyProtection="0"/>
    <xf numFmtId="0" fontId="31" fillId="12" borderId="3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5" fillId="0" borderId="32" applyNumberFormat="0" applyFill="0" applyAlignment="0" applyProtection="0"/>
    <xf numFmtId="0" fontId="1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44" fontId="1" fillId="0" borderId="0" applyFont="0" applyFill="0" applyBorder="0" applyAlignment="0" applyProtection="0"/>
    <xf numFmtId="0" fontId="34" fillId="0" borderId="0" applyNumberFormat="0" applyFill="0" applyBorder="0" applyAlignment="0" applyProtection="0"/>
    <xf numFmtId="0" fontId="35" fillId="9" borderId="0" applyNumberFormat="0" applyBorder="0" applyAlignment="0" applyProtection="0"/>
    <xf numFmtId="0" fontId="1" fillId="13" borderId="31" applyNumberFormat="0" applyFont="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37" borderId="0" applyNumberFormat="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cellStyleXfs>
  <cellXfs count="260">
    <xf numFmtId="0" fontId="0" fillId="0" borderId="0" xfId="0"/>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3" fillId="0" borderId="0" xfId="0" applyFont="1"/>
    <xf numFmtId="0" fontId="4" fillId="2" borderId="0" xfId="0" applyFont="1" applyFill="1" applyAlignment="1">
      <alignment vertical="center" wrapText="1"/>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wrapText="1"/>
    </xf>
    <xf numFmtId="2" fontId="5" fillId="0" borderId="0" xfId="0" applyNumberFormat="1" applyFont="1"/>
    <xf numFmtId="2" fontId="7" fillId="0" borderId="0" xfId="0" applyNumberFormat="1" applyFont="1" applyAlignment="1" applyProtection="1">
      <alignment horizontal="centerContinuous"/>
      <protection locked="0"/>
    </xf>
    <xf numFmtId="2" fontId="8" fillId="0" borderId="0" xfId="0" applyNumberFormat="1" applyFont="1" applyProtection="1">
      <protection locked="0"/>
    </xf>
    <xf numFmtId="2" fontId="9" fillId="0" borderId="0" xfId="0" applyNumberFormat="1" applyFont="1" applyProtection="1">
      <protection locked="0"/>
    </xf>
    <xf numFmtId="2" fontId="6" fillId="0" borderId="1" xfId="0" applyNumberFormat="1" applyFont="1" applyBorder="1" applyProtection="1">
      <protection locked="0"/>
    </xf>
    <xf numFmtId="2" fontId="6" fillId="0" borderId="1" xfId="0" applyNumberFormat="1" applyFont="1" applyBorder="1" applyAlignment="1" applyProtection="1">
      <alignment horizontal="center" wrapText="1"/>
      <protection locked="0"/>
    </xf>
    <xf numFmtId="9" fontId="6" fillId="0" borderId="1" xfId="0" applyNumberFormat="1" applyFont="1" applyBorder="1" applyAlignment="1" applyProtection="1">
      <alignment horizontal="center" wrapText="1"/>
      <protection locked="0"/>
    </xf>
    <xf numFmtId="2" fontId="9" fillId="0" borderId="0" xfId="0" applyNumberFormat="1" applyFont="1"/>
    <xf numFmtId="4" fontId="8" fillId="0" borderId="0" xfId="0" applyNumberFormat="1" applyFont="1"/>
    <xf numFmtId="165" fontId="9" fillId="0" borderId="0" xfId="0" applyNumberFormat="1" applyFont="1"/>
    <xf numFmtId="44" fontId="8" fillId="0" borderId="0" xfId="1" applyFont="1" applyFill="1" applyProtection="1"/>
    <xf numFmtId="2" fontId="8" fillId="0" borderId="0" xfId="0" applyNumberFormat="1" applyFont="1" applyAlignment="1" applyProtection="1">
      <alignment horizontal="center"/>
      <protection locked="0"/>
    </xf>
    <xf numFmtId="165" fontId="8" fillId="0" borderId="0" xfId="0" applyNumberFormat="1" applyFont="1"/>
    <xf numFmtId="2" fontId="8" fillId="0" borderId="0" xfId="0" applyNumberFormat="1" applyFont="1"/>
    <xf numFmtId="2" fontId="8" fillId="0" borderId="2" xfId="0" applyNumberFormat="1" applyFont="1" applyBorder="1" applyProtection="1">
      <protection locked="0"/>
    </xf>
    <xf numFmtId="2" fontId="9" fillId="0" borderId="2" xfId="0" applyNumberFormat="1" applyFont="1" applyBorder="1" applyProtection="1">
      <protection locked="0"/>
    </xf>
    <xf numFmtId="44" fontId="8" fillId="0" borderId="2" xfId="1" applyFont="1" applyFill="1" applyBorder="1" applyProtection="1"/>
    <xf numFmtId="44" fontId="8" fillId="0" borderId="2" xfId="1" applyFont="1" applyFill="1" applyBorder="1" applyProtection="1">
      <protection locked="0"/>
    </xf>
    <xf numFmtId="2" fontId="8" fillId="0" borderId="1" xfId="0" applyNumberFormat="1" applyFont="1" applyBorder="1" applyProtection="1">
      <protection locked="0"/>
    </xf>
    <xf numFmtId="2" fontId="9" fillId="0" borderId="1" xfId="0" applyNumberFormat="1" applyFont="1" applyBorder="1" applyProtection="1">
      <protection locked="0"/>
    </xf>
    <xf numFmtId="2" fontId="8" fillId="0" borderId="1" xfId="0" applyNumberFormat="1" applyFont="1" applyBorder="1"/>
    <xf numFmtId="44" fontId="6" fillId="0" borderId="1" xfId="1" applyFont="1" applyFill="1" applyBorder="1" applyProtection="1"/>
    <xf numFmtId="44" fontId="8" fillId="0" borderId="1" xfId="1" applyFont="1" applyFill="1" applyBorder="1" applyProtection="1">
      <protection locked="0"/>
    </xf>
    <xf numFmtId="2" fontId="6" fillId="0" borderId="0" xfId="0" applyNumberFormat="1" applyFont="1" applyProtection="1">
      <protection locked="0"/>
    </xf>
    <xf numFmtId="44" fontId="6" fillId="0" borderId="0" xfId="1" applyFont="1" applyFill="1" applyBorder="1" applyProtection="1"/>
    <xf numFmtId="44" fontId="6" fillId="0" borderId="0" xfId="1" applyFont="1" applyFill="1" applyProtection="1"/>
    <xf numFmtId="44" fontId="8" fillId="0" borderId="0" xfId="1" applyFont="1" applyFill="1" applyProtection="1">
      <protection locked="0"/>
    </xf>
    <xf numFmtId="2" fontId="6" fillId="0" borderId="2" xfId="0" applyNumberFormat="1" applyFont="1" applyBorder="1" applyProtection="1">
      <protection locked="0"/>
    </xf>
    <xf numFmtId="9" fontId="9" fillId="0" borderId="0" xfId="2" applyFont="1" applyFill="1" applyProtection="1"/>
    <xf numFmtId="3" fontId="8" fillId="0" borderId="2" xfId="0" applyNumberFormat="1" applyFont="1" applyBorder="1"/>
    <xf numFmtId="165" fontId="9" fillId="0" borderId="2" xfId="0" applyNumberFormat="1" applyFont="1" applyBorder="1"/>
    <xf numFmtId="165" fontId="8" fillId="0" borderId="1" xfId="0" applyNumberFormat="1" applyFont="1" applyBorder="1"/>
    <xf numFmtId="44" fontId="6" fillId="0" borderId="1" xfId="1" applyFont="1" applyFill="1" applyBorder="1" applyAlignment="1" applyProtection="1">
      <alignment horizontal="right"/>
    </xf>
    <xf numFmtId="44" fontId="6" fillId="0" borderId="0" xfId="1" applyFont="1" applyFill="1" applyBorder="1" applyAlignment="1" applyProtection="1">
      <alignment horizontal="right"/>
    </xf>
    <xf numFmtId="2" fontId="8" fillId="0" borderId="2" xfId="0" applyNumberFormat="1" applyFont="1" applyBorder="1"/>
    <xf numFmtId="165" fontId="8" fillId="0" borderId="2" xfId="0" applyNumberFormat="1" applyFont="1" applyBorder="1"/>
    <xf numFmtId="44" fontId="6" fillId="0" borderId="2" xfId="1" applyFont="1" applyFill="1" applyBorder="1" applyAlignment="1" applyProtection="1">
      <alignment horizontal="right"/>
    </xf>
    <xf numFmtId="44" fontId="6" fillId="0" borderId="2" xfId="1" applyFont="1" applyFill="1" applyBorder="1" applyProtection="1"/>
    <xf numFmtId="165" fontId="8" fillId="0" borderId="0" xfId="0" applyNumberFormat="1" applyFont="1" applyProtection="1">
      <protection locked="0"/>
    </xf>
    <xf numFmtId="0" fontId="8" fillId="0" borderId="0" xfId="0" applyFont="1" applyProtection="1">
      <protection locked="0"/>
    </xf>
    <xf numFmtId="0" fontId="8" fillId="0" borderId="10" xfId="2" quotePrefix="1" applyNumberFormat="1" applyFont="1" applyFill="1" applyBorder="1" applyAlignment="1" applyProtection="1">
      <alignment horizontal="center" vertical="center"/>
      <protection locked="0"/>
    </xf>
    <xf numFmtId="0" fontId="8" fillId="0" borderId="11" xfId="2" quotePrefix="1" applyNumberFormat="1" applyFont="1" applyFill="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2" quotePrefix="1" applyNumberFormat="1" applyFont="1" applyFill="1" applyBorder="1" applyAlignment="1" applyProtection="1">
      <alignment horizontal="center" vertical="center"/>
      <protection locked="0"/>
    </xf>
    <xf numFmtId="164" fontId="8" fillId="0" borderId="2" xfId="0" applyNumberFormat="1" applyFont="1" applyBorder="1" applyAlignment="1">
      <alignment horizontal="center" vertical="center"/>
    </xf>
    <xf numFmtId="164" fontId="8" fillId="0" borderId="14" xfId="0" applyNumberFormat="1" applyFont="1" applyBorder="1" applyAlignment="1">
      <alignment horizontal="center" vertical="center"/>
    </xf>
    <xf numFmtId="165" fontId="8" fillId="0" borderId="9" xfId="0" applyNumberFormat="1" applyFont="1" applyBorder="1" applyProtection="1">
      <protection locked="0"/>
    </xf>
    <xf numFmtId="165" fontId="6" fillId="0" borderId="0" xfId="0" applyNumberFormat="1" applyFont="1"/>
    <xf numFmtId="0" fontId="8" fillId="0" borderId="8" xfId="0" applyFont="1" applyBorder="1" applyProtection="1">
      <protection locked="0"/>
    </xf>
    <xf numFmtId="165" fontId="8" fillId="0" borderId="14" xfId="0" applyNumberFormat="1" applyFont="1" applyBorder="1" applyProtection="1">
      <protection locked="0"/>
    </xf>
    <xf numFmtId="165" fontId="6" fillId="0" borderId="13" xfId="0" applyNumberFormat="1" applyFont="1" applyBorder="1"/>
    <xf numFmtId="165" fontId="6" fillId="0" borderId="2" xfId="0" applyNumberFormat="1" applyFont="1" applyBorder="1"/>
    <xf numFmtId="165" fontId="6" fillId="0" borderId="14" xfId="0" applyNumberFormat="1" applyFont="1" applyBorder="1"/>
    <xf numFmtId="2" fontId="12" fillId="0" borderId="0" xfId="0" applyNumberFormat="1" applyFont="1" applyAlignment="1" applyProtection="1">
      <alignment horizontal="centerContinuous"/>
      <protection locked="0"/>
    </xf>
    <xf numFmtId="0" fontId="13" fillId="0" borderId="0" xfId="0" applyFont="1" applyAlignment="1">
      <alignment vertical="center"/>
    </xf>
    <xf numFmtId="1" fontId="14" fillId="0" borderId="0" xfId="0" applyNumberFormat="1" applyFont="1" applyProtection="1">
      <protection locked="0"/>
    </xf>
    <xf numFmtId="9" fontId="14" fillId="0" borderId="0" xfId="2" applyFont="1" applyFill="1" applyBorder="1" applyAlignment="1" applyProtection="1">
      <protection locked="0"/>
    </xf>
    <xf numFmtId="2" fontId="14" fillId="0" borderId="0" xfId="0" applyNumberFormat="1" applyFont="1" applyProtection="1">
      <protection locked="0"/>
    </xf>
    <xf numFmtId="10" fontId="14" fillId="0" borderId="0" xfId="2" applyNumberFormat="1" applyFont="1" applyFill="1" applyBorder="1" applyAlignment="1" applyProtection="1">
      <protection locked="0"/>
    </xf>
    <xf numFmtId="0" fontId="13" fillId="0" borderId="0" xfId="3" applyFont="1"/>
    <xf numFmtId="0" fontId="13" fillId="0" borderId="18" xfId="3" applyFont="1" applyBorder="1"/>
    <xf numFmtId="0" fontId="13" fillId="0" borderId="11" xfId="3" applyFont="1" applyBorder="1" applyAlignment="1">
      <alignment horizontal="center" vertical="center" wrapText="1"/>
    </xf>
    <xf numFmtId="0" fontId="13" fillId="0" borderId="0" xfId="3" applyFont="1" applyAlignment="1">
      <alignment horizontal="center" vertical="center"/>
    </xf>
    <xf numFmtId="166" fontId="13" fillId="0" borderId="0" xfId="3" applyNumberFormat="1" applyFont="1" applyAlignment="1">
      <alignment horizontal="center" vertical="center"/>
    </xf>
    <xf numFmtId="44" fontId="13" fillId="0" borderId="0" xfId="3" applyNumberFormat="1" applyFont="1"/>
    <xf numFmtId="2" fontId="13" fillId="0" borderId="0" xfId="3" applyNumberFormat="1" applyFont="1" applyAlignment="1">
      <alignment horizontal="center" vertical="center"/>
    </xf>
    <xf numFmtId="0" fontId="13" fillId="0" borderId="11" xfId="3" applyFont="1" applyBorder="1"/>
    <xf numFmtId="0" fontId="13" fillId="0" borderId="11" xfId="3" applyFont="1" applyBorder="1" applyAlignment="1">
      <alignment horizontal="center" vertical="center"/>
    </xf>
    <xf numFmtId="166" fontId="13" fillId="0" borderId="11" xfId="3" applyNumberFormat="1" applyFont="1" applyBorder="1" applyAlignment="1">
      <alignment horizontal="center" vertical="center"/>
    </xf>
    <xf numFmtId="2" fontId="13" fillId="0" borderId="11" xfId="3" applyNumberFormat="1" applyFont="1" applyBorder="1" applyAlignment="1">
      <alignment horizontal="center" vertical="center"/>
    </xf>
    <xf numFmtId="44" fontId="13" fillId="0" borderId="11" xfId="3" applyNumberFormat="1" applyFont="1" applyBorder="1"/>
    <xf numFmtId="0" fontId="15" fillId="2" borderId="0" xfId="3" applyFont="1" applyFill="1"/>
    <xf numFmtId="0" fontId="15" fillId="2" borderId="9" xfId="3" applyFont="1" applyFill="1" applyBorder="1"/>
    <xf numFmtId="1" fontId="6" fillId="4" borderId="3" xfId="3" applyNumberFormat="1" applyFont="1" applyFill="1" applyBorder="1"/>
    <xf numFmtId="1" fontId="6" fillId="4" borderId="20" xfId="3" applyNumberFormat="1" applyFont="1" applyFill="1" applyBorder="1"/>
    <xf numFmtId="166" fontId="6" fillId="4" borderId="4" xfId="3" applyNumberFormat="1" applyFont="1" applyFill="1" applyBorder="1"/>
    <xf numFmtId="1" fontId="13" fillId="0" borderId="0" xfId="3" applyNumberFormat="1" applyFont="1"/>
    <xf numFmtId="167" fontId="13" fillId="0" borderId="0" xfId="3" applyNumberFormat="1" applyFont="1"/>
    <xf numFmtId="0" fontId="8" fillId="0" borderId="0" xfId="3" applyFont="1"/>
    <xf numFmtId="168" fontId="8" fillId="0" borderId="0" xfId="3" applyNumberFormat="1" applyFont="1"/>
    <xf numFmtId="0" fontId="6" fillId="4" borderId="13" xfId="3" applyFont="1" applyFill="1" applyBorder="1"/>
    <xf numFmtId="0" fontId="6" fillId="4" borderId="2" xfId="3" applyFont="1" applyFill="1" applyBorder="1"/>
    <xf numFmtId="166" fontId="6" fillId="4" borderId="14" xfId="3" applyNumberFormat="1" applyFont="1" applyFill="1" applyBorder="1"/>
    <xf numFmtId="166" fontId="6" fillId="0" borderId="0" xfId="3" applyNumberFormat="1" applyFont="1"/>
    <xf numFmtId="2" fontId="13" fillId="0" borderId="11" xfId="3" applyNumberFormat="1" applyFont="1" applyBorder="1"/>
    <xf numFmtId="1" fontId="13" fillId="0" borderId="11" xfId="3" applyNumberFormat="1" applyFont="1" applyBorder="1"/>
    <xf numFmtId="164" fontId="13" fillId="0" borderId="11" xfId="3" applyNumberFormat="1" applyFont="1" applyBorder="1"/>
    <xf numFmtId="167" fontId="13" fillId="0" borderId="11" xfId="3" applyNumberFormat="1" applyFont="1" applyBorder="1"/>
    <xf numFmtId="166" fontId="13" fillId="0" borderId="11" xfId="3" applyNumberFormat="1" applyFont="1" applyBorder="1"/>
    <xf numFmtId="166" fontId="13" fillId="5" borderId="11" xfId="3" applyNumberFormat="1" applyFont="1" applyFill="1" applyBorder="1"/>
    <xf numFmtId="0" fontId="13" fillId="5" borderId="11" xfId="3" applyFont="1" applyFill="1" applyBorder="1"/>
    <xf numFmtId="168" fontId="13" fillId="6" borderId="11" xfId="3" applyNumberFormat="1" applyFont="1" applyFill="1" applyBorder="1"/>
    <xf numFmtId="166" fontId="13" fillId="6" borderId="11" xfId="3" applyNumberFormat="1" applyFont="1" applyFill="1" applyBorder="1"/>
    <xf numFmtId="0" fontId="13" fillId="6" borderId="0" xfId="3" applyFont="1" applyFill="1"/>
    <xf numFmtId="2" fontId="13" fillId="0" borderId="0" xfId="3" applyNumberFormat="1" applyFont="1"/>
    <xf numFmtId="0" fontId="13" fillId="5" borderId="0" xfId="3" applyFont="1" applyFill="1"/>
    <xf numFmtId="0" fontId="8" fillId="5" borderId="0" xfId="3" applyFont="1" applyFill="1"/>
    <xf numFmtId="44" fontId="13" fillId="5" borderId="0" xfId="3" applyNumberFormat="1" applyFont="1" applyFill="1"/>
    <xf numFmtId="168" fontId="8" fillId="6" borderId="0" xfId="3" applyNumberFormat="1" applyFont="1" applyFill="1"/>
    <xf numFmtId="44" fontId="13" fillId="6" borderId="0" xfId="3" applyNumberFormat="1" applyFont="1" applyFill="1"/>
    <xf numFmtId="168" fontId="13" fillId="0" borderId="0" xfId="3" applyNumberFormat="1" applyFont="1"/>
    <xf numFmtId="1" fontId="8" fillId="0" borderId="0" xfId="3" applyNumberFormat="1" applyFont="1"/>
    <xf numFmtId="0" fontId="13" fillId="2" borderId="0" xfId="3" applyFont="1" applyFill="1"/>
    <xf numFmtId="0" fontId="16" fillId="0" borderId="0" xfId="3" applyFont="1"/>
    <xf numFmtId="0" fontId="6" fillId="0" borderId="0" xfId="3" applyFont="1"/>
    <xf numFmtId="164" fontId="6" fillId="0" borderId="0" xfId="3" applyNumberFormat="1" applyFont="1"/>
    <xf numFmtId="166" fontId="8" fillId="0" borderId="0" xfId="3" applyNumberFormat="1" applyFont="1"/>
    <xf numFmtId="1" fontId="13" fillId="2" borderId="11" xfId="3" applyNumberFormat="1" applyFont="1" applyFill="1" applyBorder="1"/>
    <xf numFmtId="0" fontId="17" fillId="0" borderId="11" xfId="3" applyFont="1" applyBorder="1"/>
    <xf numFmtId="1" fontId="17" fillId="0" borderId="11" xfId="3" applyNumberFormat="1" applyFont="1" applyBorder="1"/>
    <xf numFmtId="1" fontId="17" fillId="0" borderId="0" xfId="3" applyNumberFormat="1" applyFont="1"/>
    <xf numFmtId="168" fontId="17" fillId="0" borderId="0" xfId="3" applyNumberFormat="1" applyFont="1"/>
    <xf numFmtId="0" fontId="13" fillId="0" borderId="0" xfId="0" applyFont="1"/>
    <xf numFmtId="0" fontId="8" fillId="0" borderId="0" xfId="0" applyFont="1"/>
    <xf numFmtId="169" fontId="8" fillId="0" borderId="0" xfId="0" applyNumberFormat="1" applyFont="1"/>
    <xf numFmtId="2" fontId="7" fillId="0" borderId="2" xfId="0" applyNumberFormat="1" applyFont="1" applyBorder="1" applyAlignment="1" applyProtection="1">
      <alignment horizontal="centerContinuous"/>
      <protection locked="0"/>
    </xf>
    <xf numFmtId="0" fontId="15" fillId="0" borderId="2" xfId="0" applyFont="1" applyBorder="1"/>
    <xf numFmtId="0" fontId="13" fillId="0" borderId="2" xfId="0" applyFont="1" applyBorder="1"/>
    <xf numFmtId="0" fontId="8" fillId="0" borderId="2" xfId="0" applyFont="1" applyBorder="1" applyProtection="1">
      <protection locked="0"/>
    </xf>
    <xf numFmtId="0" fontId="8" fillId="0" borderId="2" xfId="0" applyFont="1" applyBorder="1"/>
    <xf numFmtId="0" fontId="13" fillId="0" borderId="1" xfId="0" applyFont="1" applyBorder="1"/>
    <xf numFmtId="44" fontId="13" fillId="0" borderId="0" xfId="0" applyNumberFormat="1" applyFont="1"/>
    <xf numFmtId="165" fontId="14" fillId="0" borderId="0" xfId="0" applyNumberFormat="1" applyFont="1" applyProtection="1">
      <protection locked="0"/>
    </xf>
    <xf numFmtId="10" fontId="14" fillId="0" borderId="0" xfId="0" applyNumberFormat="1" applyFont="1"/>
    <xf numFmtId="0" fontId="14" fillId="0" borderId="0" xfId="0" applyFont="1"/>
    <xf numFmtId="165" fontId="14" fillId="0" borderId="2" xfId="0" applyNumberFormat="1" applyFont="1" applyBorder="1" applyProtection="1">
      <protection locked="0"/>
    </xf>
    <xf numFmtId="10" fontId="9" fillId="0" borderId="0" xfId="0" applyNumberFormat="1" applyFont="1"/>
    <xf numFmtId="44" fontId="9" fillId="0" borderId="2" xfId="0" applyNumberFormat="1" applyFont="1" applyBorder="1"/>
    <xf numFmtId="165" fontId="14" fillId="0" borderId="0" xfId="0" applyNumberFormat="1" applyFont="1"/>
    <xf numFmtId="0" fontId="14" fillId="0" borderId="2" xfId="0" applyFont="1" applyBorder="1"/>
    <xf numFmtId="165" fontId="14" fillId="0" borderId="2" xfId="0" applyNumberFormat="1" applyFont="1" applyBorder="1"/>
    <xf numFmtId="0" fontId="13" fillId="0" borderId="20" xfId="0" applyFont="1" applyBorder="1"/>
    <xf numFmtId="44" fontId="13" fillId="0" borderId="20" xfId="0" applyNumberFormat="1" applyFont="1" applyBorder="1"/>
    <xf numFmtId="44" fontId="13" fillId="0" borderId="2" xfId="0" applyNumberFormat="1" applyFont="1" applyBorder="1"/>
    <xf numFmtId="2" fontId="8" fillId="0" borderId="0" xfId="0" applyNumberFormat="1" applyFont="1" applyAlignment="1" applyProtection="1">
      <alignment horizontal="center" wrapText="1"/>
      <protection locked="0"/>
    </xf>
    <xf numFmtId="0" fontId="13" fillId="0" borderId="0" xfId="0" applyFont="1" applyAlignment="1">
      <alignment horizontal="center" vertical="center"/>
    </xf>
    <xf numFmtId="2" fontId="8" fillId="0" borderId="0" xfId="0" applyNumberFormat="1" applyFont="1" applyAlignment="1" applyProtection="1">
      <alignment horizontal="left"/>
      <protection locked="0"/>
    </xf>
    <xf numFmtId="10" fontId="9" fillId="0" borderId="2" xfId="0" applyNumberFormat="1" applyFont="1" applyBorder="1"/>
    <xf numFmtId="165" fontId="13" fillId="0" borderId="0" xfId="0" applyNumberFormat="1" applyFont="1"/>
    <xf numFmtId="44" fontId="6" fillId="0" borderId="1" xfId="0" applyNumberFormat="1" applyFont="1" applyBorder="1"/>
    <xf numFmtId="44" fontId="6" fillId="0" borderId="2" xfId="0" applyNumberFormat="1" applyFont="1" applyBorder="1" applyProtection="1">
      <protection locked="0"/>
    </xf>
    <xf numFmtId="164" fontId="14" fillId="0" borderId="0" xfId="0" applyNumberFormat="1" applyFont="1"/>
    <xf numFmtId="0" fontId="15" fillId="0" borderId="0" xfId="0" applyFont="1"/>
    <xf numFmtId="0" fontId="15" fillId="0" borderId="1" xfId="0" applyFont="1" applyBorder="1"/>
    <xf numFmtId="169" fontId="15" fillId="0" borderId="1" xfId="0" applyNumberFormat="1" applyFont="1" applyBorder="1"/>
    <xf numFmtId="44" fontId="15" fillId="0" borderId="1" xfId="0" applyNumberFormat="1" applyFont="1" applyBorder="1"/>
    <xf numFmtId="44" fontId="15" fillId="0" borderId="2" xfId="0" applyNumberFormat="1" applyFont="1" applyBorder="1"/>
    <xf numFmtId="44" fontId="6" fillId="0" borderId="1" xfId="0" applyNumberFormat="1" applyFont="1" applyBorder="1" applyProtection="1">
      <protection locked="0"/>
    </xf>
    <xf numFmtId="2" fontId="13" fillId="0" borderId="0" xfId="0" applyNumberFormat="1" applyFont="1"/>
    <xf numFmtId="1" fontId="14" fillId="0" borderId="0" xfId="0" applyNumberFormat="1" applyFont="1"/>
    <xf numFmtId="169" fontId="14" fillId="0" borderId="0" xfId="0" applyNumberFormat="1" applyFont="1"/>
    <xf numFmtId="169" fontId="13" fillId="0" borderId="0" xfId="0" applyNumberFormat="1" applyFont="1"/>
    <xf numFmtId="169" fontId="14" fillId="0" borderId="2" xfId="0" applyNumberFormat="1" applyFont="1" applyBorder="1"/>
    <xf numFmtId="169" fontId="13" fillId="0" borderId="2" xfId="0" applyNumberFormat="1" applyFont="1" applyBorder="1"/>
    <xf numFmtId="165" fontId="13" fillId="0" borderId="2" xfId="0" applyNumberFormat="1" applyFont="1" applyBorder="1"/>
    <xf numFmtId="9" fontId="14" fillId="0" borderId="0" xfId="2" applyFont="1"/>
    <xf numFmtId="9" fontId="14" fillId="0" borderId="2" xfId="2" applyFont="1" applyBorder="1"/>
    <xf numFmtId="2" fontId="8" fillId="0" borderId="0" xfId="0" applyNumberFormat="1" applyFont="1" applyAlignment="1" applyProtection="1">
      <alignment wrapText="1"/>
      <protection locked="0"/>
    </xf>
    <xf numFmtId="44" fontId="8" fillId="0" borderId="0" xfId="0" applyNumberFormat="1" applyFont="1" applyAlignment="1" applyProtection="1">
      <alignment horizontal="center"/>
      <protection locked="0"/>
    </xf>
    <xf numFmtId="44" fontId="8" fillId="0" borderId="0" xfId="1" applyFont="1" applyFill="1" applyAlignment="1" applyProtection="1"/>
    <xf numFmtId="2" fontId="8" fillId="0" borderId="2" xfId="1" applyNumberFormat="1" applyFont="1" applyFill="1" applyBorder="1" applyProtection="1"/>
    <xf numFmtId="10" fontId="9" fillId="0" borderId="0" xfId="2" applyNumberFormat="1" applyFont="1" applyFill="1" applyAlignment="1" applyProtection="1"/>
    <xf numFmtId="44" fontId="8" fillId="0" borderId="2" xfId="1" applyFont="1" applyFill="1" applyBorder="1" applyAlignment="1" applyProtection="1"/>
    <xf numFmtId="2" fontId="13" fillId="0" borderId="18" xfId="3" applyNumberFormat="1" applyFont="1" applyBorder="1"/>
    <xf numFmtId="0" fontId="15" fillId="0" borderId="11" xfId="3" applyFont="1" applyBorder="1"/>
    <xf numFmtId="2" fontId="15" fillId="0" borderId="11" xfId="3" applyNumberFormat="1" applyFont="1" applyBorder="1"/>
    <xf numFmtId="44" fontId="13" fillId="0" borderId="18" xfId="3" applyNumberFormat="1" applyFont="1" applyBorder="1"/>
    <xf numFmtId="44" fontId="15" fillId="0" borderId="11" xfId="3" applyNumberFormat="1" applyFont="1" applyBorder="1"/>
    <xf numFmtId="2" fontId="4" fillId="0" borderId="0" xfId="0" applyNumberFormat="1" applyFont="1"/>
    <xf numFmtId="9" fontId="8" fillId="0" borderId="9" xfId="2" applyFont="1" applyFill="1" applyBorder="1" applyAlignment="1" applyProtection="1">
      <protection locked="0"/>
    </xf>
    <xf numFmtId="9" fontId="8" fillId="0" borderId="14" xfId="2" applyFont="1" applyFill="1" applyBorder="1" applyAlignment="1" applyProtection="1">
      <protection locked="0"/>
    </xf>
    <xf numFmtId="0" fontId="15" fillId="0" borderId="0" xfId="3" applyFont="1"/>
    <xf numFmtId="44" fontId="8" fillId="0" borderId="0" xfId="0" applyNumberFormat="1" applyFont="1"/>
    <xf numFmtId="44" fontId="8" fillId="0" borderId="0" xfId="1" applyFont="1" applyFill="1" applyBorder="1" applyProtection="1">
      <protection locked="0"/>
    </xf>
    <xf numFmtId="44" fontId="8" fillId="0" borderId="0" xfId="1" applyFont="1" applyFill="1" applyBorder="1" applyProtection="1"/>
    <xf numFmtId="44" fontId="8" fillId="0" borderId="0" xfId="1" applyFont="1" applyFill="1" applyBorder="1" applyAlignment="1" applyProtection="1">
      <alignment horizontal="right"/>
    </xf>
    <xf numFmtId="0" fontId="8" fillId="0" borderId="0" xfId="0" applyFont="1" applyAlignment="1" applyProtection="1">
      <alignment horizontal="center"/>
      <protection locked="0"/>
    </xf>
    <xf numFmtId="44" fontId="8" fillId="0" borderId="9" xfId="0" applyNumberFormat="1" applyFont="1" applyBorder="1" applyAlignment="1" applyProtection="1">
      <alignment horizontal="center"/>
      <protection locked="0"/>
    </xf>
    <xf numFmtId="44" fontId="8" fillId="0" borderId="14" xfId="0" applyNumberFormat="1" applyFont="1" applyBorder="1" applyProtection="1">
      <protection locked="0"/>
    </xf>
    <xf numFmtId="44" fontId="8" fillId="0" borderId="0" xfId="0" applyNumberFormat="1" applyFont="1" applyProtection="1">
      <protection locked="0"/>
    </xf>
    <xf numFmtId="2" fontId="8" fillId="0" borderId="2" xfId="0" applyNumberFormat="1" applyFont="1" applyBorder="1" applyAlignment="1" applyProtection="1">
      <alignment horizontal="center"/>
      <protection locked="0"/>
    </xf>
    <xf numFmtId="169" fontId="13" fillId="0" borderId="0" xfId="3" applyNumberFormat="1" applyFont="1"/>
    <xf numFmtId="169" fontId="13" fillId="0" borderId="0" xfId="2" applyNumberFormat="1" applyFont="1"/>
    <xf numFmtId="0" fontId="13" fillId="0" borderId="2" xfId="3" applyFont="1" applyBorder="1"/>
    <xf numFmtId="0" fontId="15" fillId="0" borderId="1" xfId="3" applyFont="1" applyBorder="1"/>
    <xf numFmtId="0" fontId="15" fillId="0" borderId="2" xfId="3" applyFont="1" applyBorder="1"/>
    <xf numFmtId="0" fontId="15" fillId="0" borderId="2" xfId="3" applyFont="1" applyBorder="1" applyAlignment="1">
      <alignment wrapText="1"/>
    </xf>
    <xf numFmtId="9" fontId="13" fillId="0" borderId="2" xfId="2" applyFont="1" applyBorder="1"/>
    <xf numFmtId="165" fontId="13" fillId="0" borderId="2" xfId="1" applyNumberFormat="1" applyFont="1" applyBorder="1"/>
    <xf numFmtId="169" fontId="13" fillId="0" borderId="1" xfId="0" applyNumberFormat="1" applyFont="1" applyBorder="1"/>
    <xf numFmtId="169" fontId="13" fillId="0" borderId="1" xfId="3" applyNumberFormat="1" applyFont="1" applyBorder="1"/>
    <xf numFmtId="169" fontId="14" fillId="0" borderId="0" xfId="1" applyNumberFormat="1" applyFont="1"/>
    <xf numFmtId="169" fontId="14" fillId="0" borderId="0" xfId="3" applyNumberFormat="1" applyFont="1"/>
    <xf numFmtId="0" fontId="14" fillId="0" borderId="0" xfId="3" applyFont="1"/>
    <xf numFmtId="0" fontId="15" fillId="0" borderId="2" xfId="0" applyFont="1" applyBorder="1" applyAlignment="1">
      <alignment wrapText="1"/>
    </xf>
    <xf numFmtId="0" fontId="14" fillId="0" borderId="0" xfId="0" applyFont="1" applyProtection="1">
      <protection locked="0"/>
    </xf>
    <xf numFmtId="3" fontId="14" fillId="0" borderId="0" xfId="0" applyNumberFormat="1" applyFont="1" applyProtection="1">
      <protection locked="0"/>
    </xf>
    <xf numFmtId="2" fontId="12" fillId="0" borderId="2" xfId="0" applyNumberFormat="1" applyFont="1" applyBorder="1" applyAlignment="1" applyProtection="1">
      <alignment horizontal="centerContinuous"/>
      <protection locked="0"/>
    </xf>
    <xf numFmtId="2" fontId="14" fillId="0" borderId="2" xfId="0" applyNumberFormat="1" applyFont="1" applyBorder="1" applyProtection="1">
      <protection locked="0"/>
    </xf>
    <xf numFmtId="2" fontId="13" fillId="0" borderId="2" xfId="0" applyNumberFormat="1" applyFont="1" applyBorder="1"/>
    <xf numFmtId="2" fontId="13" fillId="0" borderId="1" xfId="0" applyNumberFormat="1" applyFont="1" applyBorder="1"/>
    <xf numFmtId="44" fontId="8" fillId="0" borderId="1" xfId="1" applyFont="1" applyFill="1" applyBorder="1" applyProtection="1"/>
    <xf numFmtId="0" fontId="15" fillId="0" borderId="18" xfId="3" applyFont="1" applyBorder="1"/>
    <xf numFmtId="0" fontId="8" fillId="0" borderId="3" xfId="0" applyFont="1" applyBorder="1" applyProtection="1">
      <protection locked="0"/>
    </xf>
    <xf numFmtId="44" fontId="8" fillId="0" borderId="4" xfId="0" applyNumberFormat="1" applyFont="1" applyBorder="1" applyAlignment="1" applyProtection="1">
      <alignment horizontal="center"/>
      <protection locked="0"/>
    </xf>
    <xf numFmtId="0" fontId="8" fillId="0" borderId="13" xfId="0" applyFont="1" applyBorder="1" applyProtection="1">
      <protection locked="0"/>
    </xf>
    <xf numFmtId="0" fontId="6" fillId="0" borderId="3" xfId="0" applyFont="1" applyBorder="1" applyProtection="1">
      <protection locked="0"/>
    </xf>
    <xf numFmtId="0" fontId="6" fillId="0" borderId="4" xfId="0" applyFont="1" applyBorder="1" applyAlignment="1" applyProtection="1">
      <alignment horizontal="center"/>
      <protection locked="0"/>
    </xf>
    <xf numFmtId="44" fontId="14" fillId="0" borderId="2" xfId="0" applyNumberFormat="1" applyFont="1" applyBorder="1"/>
    <xf numFmtId="0" fontId="21" fillId="0" borderId="0" xfId="4" applyFont="1"/>
    <xf numFmtId="44" fontId="8" fillId="5" borderId="0" xfId="3" applyNumberFormat="1" applyFont="1" applyFill="1"/>
    <xf numFmtId="3" fontId="13" fillId="0" borderId="0" xfId="3" applyNumberFormat="1" applyFont="1"/>
    <xf numFmtId="0" fontId="1" fillId="0" borderId="0" xfId="48"/>
    <xf numFmtId="0" fontId="1" fillId="2" borderId="0" xfId="48" applyFill="1"/>
    <xf numFmtId="1" fontId="18" fillId="2" borderId="0" xfId="48" applyNumberFormat="1" applyFont="1" applyFill="1"/>
    <xf numFmtId="1" fontId="1" fillId="2" borderId="0" xfId="48" applyNumberFormat="1" applyFill="1"/>
    <xf numFmtId="0" fontId="18" fillId="2" borderId="0" xfId="48" applyFont="1" applyFill="1"/>
    <xf numFmtId="0" fontId="10" fillId="0" borderId="0" xfId="0" applyFont="1" applyAlignment="1" applyProtection="1">
      <alignment horizontal="center"/>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5" xfId="0" applyFont="1" applyBorder="1" applyAlignment="1" applyProtection="1">
      <alignment horizontal="center" vertical="center" textRotation="90"/>
      <protection locked="0"/>
    </xf>
    <xf numFmtId="0" fontId="8" fillId="0" borderId="16" xfId="0" applyFont="1" applyBorder="1" applyAlignment="1" applyProtection="1">
      <alignment horizontal="center" vertical="center" textRotation="90"/>
      <protection locked="0"/>
    </xf>
    <xf numFmtId="0" fontId="8" fillId="0" borderId="17" xfId="0" applyFont="1" applyBorder="1" applyAlignment="1" applyProtection="1">
      <alignment horizontal="center" vertical="center" textRotation="90"/>
      <protection locked="0"/>
    </xf>
    <xf numFmtId="2" fontId="6" fillId="0" borderId="0" xfId="0" applyNumberFormat="1" applyFont="1" applyAlignment="1" applyProtection="1">
      <alignment horizontal="center"/>
      <protection locked="0"/>
    </xf>
    <xf numFmtId="2" fontId="6" fillId="2" borderId="0" xfId="0" applyNumberFormat="1" applyFont="1" applyFill="1" applyAlignment="1" applyProtection="1">
      <alignment horizontal="center" vertical="center" wrapText="1"/>
      <protection locked="0"/>
    </xf>
    <xf numFmtId="0" fontId="11" fillId="0" borderId="2" xfId="0" applyFont="1" applyBorder="1" applyAlignment="1" applyProtection="1">
      <alignment horizontal="center"/>
      <protection locked="0"/>
    </xf>
    <xf numFmtId="2" fontId="6" fillId="0" borderId="0" xfId="0" applyNumberFormat="1" applyFont="1" applyAlignment="1" applyProtection="1">
      <alignment horizontal="left" vertical="center" wrapText="1"/>
      <protection locked="0"/>
    </xf>
    <xf numFmtId="2" fontId="6" fillId="0" borderId="21" xfId="0" applyNumberFormat="1" applyFont="1" applyBorder="1" applyAlignment="1" applyProtection="1">
      <alignment horizontal="left"/>
      <protection locked="0"/>
    </xf>
    <xf numFmtId="2" fontId="6" fillId="0" borderId="11" xfId="0" applyNumberFormat="1" applyFont="1" applyBorder="1" applyAlignment="1" applyProtection="1">
      <alignment horizontal="left"/>
      <protection locked="0"/>
    </xf>
    <xf numFmtId="2" fontId="6" fillId="0" borderId="22" xfId="0" applyNumberFormat="1" applyFont="1" applyBorder="1" applyAlignment="1" applyProtection="1">
      <alignment horizontal="left"/>
      <protection locked="0"/>
    </xf>
    <xf numFmtId="2" fontId="8" fillId="0" borderId="21" xfId="0" applyNumberFormat="1" applyFont="1" applyBorder="1" applyAlignment="1" applyProtection="1">
      <alignment horizontal="left" wrapText="1"/>
      <protection locked="0"/>
    </xf>
    <xf numFmtId="2" fontId="8" fillId="0" borderId="11" xfId="0" applyNumberFormat="1" applyFont="1" applyBorder="1" applyAlignment="1" applyProtection="1">
      <alignment horizontal="left" wrapText="1"/>
      <protection locked="0"/>
    </xf>
    <xf numFmtId="2" fontId="8" fillId="0" borderId="22" xfId="0" applyNumberFormat="1" applyFont="1" applyBorder="1" applyAlignment="1" applyProtection="1">
      <alignment horizontal="left" wrapText="1"/>
      <protection locked="0"/>
    </xf>
    <xf numFmtId="0" fontId="15" fillId="0" borderId="23" xfId="0" applyFont="1" applyBorder="1" applyAlignment="1">
      <alignment horizontal="left" vertical="center"/>
    </xf>
    <xf numFmtId="0" fontId="1" fillId="0" borderId="23" xfId="0" applyFont="1" applyBorder="1" applyAlignment="1">
      <alignment horizontal="left" vertical="center" wrapText="1"/>
    </xf>
    <xf numFmtId="0" fontId="13" fillId="0" borderId="23" xfId="0" applyFont="1" applyBorder="1" applyAlignment="1">
      <alignment horizontal="left" vertical="center" wrapText="1"/>
    </xf>
    <xf numFmtId="0" fontId="15" fillId="0" borderId="18" xfId="3" applyFont="1" applyBorder="1"/>
    <xf numFmtId="0" fontId="15" fillId="3" borderId="19" xfId="3" applyFont="1" applyFill="1" applyBorder="1" applyAlignment="1">
      <alignment horizontal="center" vertical="center" textRotation="90"/>
    </xf>
    <xf numFmtId="0" fontId="15" fillId="3" borderId="0" xfId="3" applyFont="1" applyFill="1" applyAlignment="1">
      <alignment horizontal="center" vertical="center" textRotation="90"/>
    </xf>
    <xf numFmtId="0" fontId="15" fillId="3" borderId="18" xfId="3" applyFont="1" applyFill="1" applyBorder="1" applyAlignment="1">
      <alignment horizontal="center" vertical="center" textRotation="90"/>
    </xf>
    <xf numFmtId="0" fontId="15" fillId="0" borderId="0" xfId="3" applyFont="1"/>
    <xf numFmtId="0" fontId="13" fillId="5" borderId="0" xfId="3" applyFont="1" applyFill="1" applyAlignment="1">
      <alignment horizontal="center"/>
    </xf>
    <xf numFmtId="168" fontId="8" fillId="6" borderId="0" xfId="3" applyNumberFormat="1" applyFont="1" applyFill="1" applyAlignment="1">
      <alignment horizontal="center"/>
    </xf>
    <xf numFmtId="0" fontId="13" fillId="5" borderId="18" xfId="3" applyFont="1" applyFill="1" applyBorder="1" applyAlignment="1">
      <alignment horizontal="center"/>
    </xf>
  </cellXfs>
  <cellStyles count="53">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42" xr:uid="{0CD4F7FD-E3A4-40F0-B62F-8FE8AE36BC68}"/>
    <cellStyle name="60% - Accent2 2" xfId="43" xr:uid="{35FB798E-50F0-49E6-9883-54D7FD3CF6E9}"/>
    <cellStyle name="60% - Accent3 2" xfId="44" xr:uid="{4F472147-E5B8-4DDC-AA7E-A9E78B3DBB29}"/>
    <cellStyle name="60% - Accent4 2" xfId="45" xr:uid="{D026FEB0-7C01-453A-820E-245B9C3C921F}"/>
    <cellStyle name="60% - Accent5 2" xfId="46" xr:uid="{267C71C6-AA57-4D58-8782-0BC0B89E0A37}"/>
    <cellStyle name="60% - Accent6 2" xfId="47" xr:uid="{01D65F94-4E85-4348-8054-BDD1A25D5EB9}"/>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10" builtinId="27" customBuiltin="1"/>
    <cellStyle name="Calculation" xfId="13" builtinId="22" customBuiltin="1"/>
    <cellStyle name="Check Cell" xfId="15" builtinId="23" customBuiltin="1"/>
    <cellStyle name="Comma 2" xfId="52" xr:uid="{1EBE0ACD-4AD9-40CC-8254-CC3406588488}"/>
    <cellStyle name="Currency" xfId="1" builtinId="4"/>
    <cellStyle name="Currency 2" xfId="49" xr:uid="{EFABADEA-83E9-423C-AE4E-0BF50EEE5939}"/>
    <cellStyle name="Currency 3" xfId="38" xr:uid="{80C83AF6-3B79-4376-8085-05D448C3FFA3}"/>
    <cellStyle name="Explanatory Text" xfId="17"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 builtinId="8"/>
    <cellStyle name="Hyperlink 2" xfId="51" xr:uid="{C452E726-3C64-43D0-A7B6-9ACC889EA3FD}"/>
    <cellStyle name="Input" xfId="11" builtinId="20" customBuiltin="1"/>
    <cellStyle name="Linked Cell" xfId="14" builtinId="24" customBuiltin="1"/>
    <cellStyle name="Neutral 2" xfId="40" xr:uid="{8CC77911-D7CD-4830-BCDF-A1B035D3C218}"/>
    <cellStyle name="Normal" xfId="0" builtinId="0"/>
    <cellStyle name="Normal 2" xfId="3" xr:uid="{00000000-0005-0000-0000-000003000000}"/>
    <cellStyle name="Normal 2 2" xfId="48" xr:uid="{FD65310B-B7CF-43F0-BB41-A0F10FFCE628}"/>
    <cellStyle name="Normal 3" xfId="37" xr:uid="{F80CBDD0-A433-4FC0-BA93-012D8EF59CEE}"/>
    <cellStyle name="Note 2" xfId="41" xr:uid="{25DDB51F-D6A1-4111-A775-E8DBD9D85B81}"/>
    <cellStyle name="Output" xfId="12" builtinId="21" customBuiltin="1"/>
    <cellStyle name="Percent" xfId="2" builtinId="5"/>
    <cellStyle name="Percent 2" xfId="50" xr:uid="{3393D936-B02D-489E-BAAF-F7334A6892F2}"/>
    <cellStyle name="Title 2" xfId="39" xr:uid="{C5B4FDCE-953A-4719-9486-E609378F4DE7}"/>
    <cellStyle name="Total" xfId="18" builtinId="25" customBuiltin="1"/>
    <cellStyle name="Warning Text" xfId="16" builtinId="11" customBuiltin="1"/>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tabSelected="1" workbookViewId="0"/>
  </sheetViews>
  <sheetFormatPr defaultRowHeight="15.75" x14ac:dyDescent="0.25"/>
  <cols>
    <col min="1" max="1" width="64.875" bestFit="1" customWidth="1"/>
  </cols>
  <sheetData>
    <row r="1" spans="1:1" ht="18.75" x14ac:dyDescent="0.3">
      <c r="A1" s="1" t="s">
        <v>0</v>
      </c>
    </row>
    <row r="2" spans="1:1" ht="18.75" x14ac:dyDescent="0.3">
      <c r="A2" s="2" t="s">
        <v>573</v>
      </c>
    </row>
    <row r="3" spans="1:1" ht="18.75" x14ac:dyDescent="0.3">
      <c r="A3" s="2" t="s">
        <v>1</v>
      </c>
    </row>
    <row r="4" spans="1:1" ht="18.75" x14ac:dyDescent="0.3">
      <c r="A4" s="2" t="s">
        <v>2</v>
      </c>
    </row>
    <row r="5" spans="1:1" ht="18.75" x14ac:dyDescent="0.3">
      <c r="A5" s="2" t="s">
        <v>3</v>
      </c>
    </row>
    <row r="6" spans="1:1" ht="18.75" x14ac:dyDescent="0.3">
      <c r="A6" s="2"/>
    </row>
    <row r="7" spans="1:1" ht="18.75" x14ac:dyDescent="0.3">
      <c r="A7" s="2" t="s">
        <v>4</v>
      </c>
    </row>
    <row r="8" spans="1:1" ht="18.75" x14ac:dyDescent="0.3">
      <c r="A8" s="3"/>
    </row>
    <row r="9" spans="1:1" ht="18.75" x14ac:dyDescent="0.3">
      <c r="A9" s="4" t="s">
        <v>5</v>
      </c>
    </row>
    <row r="10" spans="1:1" ht="131.25" x14ac:dyDescent="0.25">
      <c r="A10" s="5" t="s">
        <v>636</v>
      </c>
    </row>
    <row r="11" spans="1:1" ht="18.75" x14ac:dyDescent="0.3">
      <c r="A11" s="3"/>
    </row>
    <row r="12" spans="1:1" ht="18.75" x14ac:dyDescent="0.3">
      <c r="A12" s="4" t="s">
        <v>6</v>
      </c>
    </row>
    <row r="13" spans="1:1" ht="112.5" x14ac:dyDescent="0.3">
      <c r="A13" s="6" t="s">
        <v>620</v>
      </c>
    </row>
    <row r="14" spans="1:1" ht="18.75" x14ac:dyDescent="0.3">
      <c r="A14" s="4"/>
    </row>
    <row r="15" spans="1:1" ht="150" x14ac:dyDescent="0.3">
      <c r="A15" s="6" t="s">
        <v>549</v>
      </c>
    </row>
    <row r="16" spans="1:1" ht="18.75" x14ac:dyDescent="0.3">
      <c r="A16" s="3"/>
    </row>
    <row r="17" spans="1:1" ht="112.5" x14ac:dyDescent="0.25">
      <c r="A17" s="7" t="s">
        <v>577</v>
      </c>
    </row>
    <row r="18" spans="1:1" ht="18.75" x14ac:dyDescent="0.3">
      <c r="A18" s="3"/>
    </row>
    <row r="19" spans="1:1" ht="37.5" x14ac:dyDescent="0.3">
      <c r="A19" s="6" t="s">
        <v>7</v>
      </c>
    </row>
    <row r="20" spans="1:1" ht="56.25" x14ac:dyDescent="0.3">
      <c r="A20" s="6" t="s">
        <v>8</v>
      </c>
    </row>
    <row r="21" spans="1:1" ht="18.75" x14ac:dyDescent="0.3">
      <c r="A21" s="6"/>
    </row>
    <row r="22" spans="1:1" ht="56.25" x14ac:dyDescent="0.3">
      <c r="A22" s="6" t="s">
        <v>9</v>
      </c>
    </row>
    <row r="23" spans="1:1" ht="18.75" x14ac:dyDescent="0.3">
      <c r="A23" s="6"/>
    </row>
    <row r="24" spans="1:1" ht="75" x14ac:dyDescent="0.3">
      <c r="A24" s="8" t="s">
        <v>619</v>
      </c>
    </row>
    <row r="25" spans="1:1" ht="18.75" x14ac:dyDescent="0.3">
      <c r="A25" s="8"/>
    </row>
    <row r="26" spans="1:1" ht="18.75" x14ac:dyDescent="0.3">
      <c r="A26" s="177" t="s">
        <v>612</v>
      </c>
    </row>
    <row r="27" spans="1:1" ht="18.75" x14ac:dyDescent="0.3">
      <c r="A27" s="9" t="s">
        <v>572</v>
      </c>
    </row>
    <row r="28" spans="1:1" ht="75" x14ac:dyDescent="0.3">
      <c r="A28" s="6" t="s">
        <v>611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50"/>
  <sheetViews>
    <sheetView workbookViewId="0"/>
  </sheetViews>
  <sheetFormatPr defaultColWidth="9" defaultRowHeight="15" x14ac:dyDescent="0.25"/>
  <cols>
    <col min="1" max="1" width="9" style="121"/>
    <col min="2" max="2" width="36.75" style="121" bestFit="1" customWidth="1"/>
    <col min="3" max="3" width="5.75" style="121" bestFit="1" customWidth="1"/>
    <col min="4" max="4" width="7.25" style="121" bestFit="1" customWidth="1"/>
    <col min="5" max="5" width="11.375" style="121" bestFit="1" customWidth="1"/>
    <col min="6" max="6" width="12.625" style="121" bestFit="1" customWidth="1"/>
    <col min="7" max="16384" width="9" style="121"/>
  </cols>
  <sheetData>
    <row r="2" spans="2:6" x14ac:dyDescent="0.25">
      <c r="B2" s="151" t="s">
        <v>448</v>
      </c>
    </row>
    <row r="4" spans="2:6" ht="15.75" thickBot="1" x14ac:dyDescent="0.3">
      <c r="B4" s="125" t="s">
        <v>466</v>
      </c>
      <c r="C4" s="126"/>
      <c r="D4" s="126"/>
      <c r="E4" s="126"/>
      <c r="F4" s="126"/>
    </row>
    <row r="5" spans="2:6" ht="15.75" thickBot="1" x14ac:dyDescent="0.3">
      <c r="B5" s="125" t="s">
        <v>418</v>
      </c>
      <c r="C5" s="125" t="s">
        <v>438</v>
      </c>
      <c r="D5" s="125" t="s">
        <v>419</v>
      </c>
      <c r="E5" s="125" t="s">
        <v>462</v>
      </c>
      <c r="F5" s="125" t="s">
        <v>463</v>
      </c>
    </row>
    <row r="6" spans="2:6" x14ac:dyDescent="0.25">
      <c r="B6" s="121" t="s">
        <v>617</v>
      </c>
      <c r="C6" s="121" t="s">
        <v>71</v>
      </c>
      <c r="D6" s="133">
        <v>1</v>
      </c>
      <c r="E6" s="137">
        <v>4</v>
      </c>
      <c r="F6" s="130">
        <f>D6*E6</f>
        <v>4</v>
      </c>
    </row>
    <row r="7" spans="2:6" x14ac:dyDescent="0.25">
      <c r="B7" s="121" t="s">
        <v>616</v>
      </c>
      <c r="C7" s="121" t="s">
        <v>71</v>
      </c>
      <c r="D7" s="133">
        <v>1</v>
      </c>
      <c r="E7" s="137">
        <v>6</v>
      </c>
      <c r="F7" s="130">
        <f t="shared" ref="F7:F13" si="0">D7*E7</f>
        <v>6</v>
      </c>
    </row>
    <row r="8" spans="2:6" x14ac:dyDescent="0.25">
      <c r="B8" s="121" t="s">
        <v>449</v>
      </c>
      <c r="C8" s="121" t="s">
        <v>71</v>
      </c>
      <c r="D8" s="133">
        <v>2</v>
      </c>
      <c r="E8" s="137">
        <v>2</v>
      </c>
      <c r="F8" s="130">
        <f t="shared" si="0"/>
        <v>4</v>
      </c>
    </row>
    <row r="9" spans="2:6" x14ac:dyDescent="0.25">
      <c r="B9" s="121" t="s">
        <v>450</v>
      </c>
      <c r="C9" s="121" t="s">
        <v>71</v>
      </c>
      <c r="D9" s="133">
        <v>2</v>
      </c>
      <c r="E9" s="137">
        <v>4</v>
      </c>
      <c r="F9" s="130">
        <f t="shared" si="0"/>
        <v>8</v>
      </c>
    </row>
    <row r="10" spans="2:6" x14ac:dyDescent="0.25">
      <c r="B10" s="121" t="s">
        <v>451</v>
      </c>
      <c r="C10" s="121" t="s">
        <v>71</v>
      </c>
      <c r="D10" s="133">
        <v>1</v>
      </c>
      <c r="E10" s="137">
        <v>8</v>
      </c>
      <c r="F10" s="130">
        <f t="shared" si="0"/>
        <v>8</v>
      </c>
    </row>
    <row r="11" spans="2:6" x14ac:dyDescent="0.25">
      <c r="B11" s="121" t="s">
        <v>453</v>
      </c>
      <c r="C11" s="121" t="s">
        <v>71</v>
      </c>
      <c r="D11" s="133">
        <v>1</v>
      </c>
      <c r="E11" s="137">
        <v>24</v>
      </c>
      <c r="F11" s="130">
        <f>D11*E11</f>
        <v>24</v>
      </c>
    </row>
    <row r="12" spans="2:6" x14ac:dyDescent="0.25">
      <c r="B12" s="121" t="s">
        <v>456</v>
      </c>
      <c r="C12" s="121" t="s">
        <v>71</v>
      </c>
      <c r="D12" s="133">
        <v>0</v>
      </c>
      <c r="E12" s="137">
        <v>25</v>
      </c>
      <c r="F12" s="130">
        <f t="shared" ref="F12" si="1">D12*E12</f>
        <v>0</v>
      </c>
    </row>
    <row r="13" spans="2:6" ht="15.75" thickBot="1" x14ac:dyDescent="0.3">
      <c r="B13" s="126" t="s">
        <v>20</v>
      </c>
      <c r="C13" s="121" t="s">
        <v>71</v>
      </c>
      <c r="D13" s="138">
        <v>0</v>
      </c>
      <c r="E13" s="139">
        <v>0</v>
      </c>
      <c r="F13" s="130">
        <f t="shared" si="0"/>
        <v>0</v>
      </c>
    </row>
    <row r="14" spans="2:6" ht="15.75" thickBot="1" x14ac:dyDescent="0.3">
      <c r="B14" s="152" t="s">
        <v>452</v>
      </c>
      <c r="C14" s="152"/>
      <c r="D14" s="152"/>
      <c r="E14" s="152"/>
      <c r="F14" s="154">
        <f>SUM(F6:F13)</f>
        <v>54</v>
      </c>
    </row>
    <row r="16" spans="2:6" ht="15.75" thickBot="1" x14ac:dyDescent="0.3">
      <c r="B16" s="125" t="s">
        <v>465</v>
      </c>
      <c r="C16" s="126"/>
      <c r="D16" s="126"/>
      <c r="E16" s="126"/>
      <c r="F16" s="126"/>
    </row>
    <row r="17" spans="2:6" ht="15.75" thickBot="1" x14ac:dyDescent="0.3">
      <c r="B17" s="125" t="s">
        <v>418</v>
      </c>
      <c r="C17" s="125" t="s">
        <v>438</v>
      </c>
      <c r="D17" s="125" t="s">
        <v>419</v>
      </c>
      <c r="E17" s="125" t="s">
        <v>462</v>
      </c>
      <c r="F17" s="125" t="s">
        <v>463</v>
      </c>
    </row>
    <row r="18" spans="2:6" x14ac:dyDescent="0.25">
      <c r="B18" s="121" t="s">
        <v>617</v>
      </c>
      <c r="C18" s="121" t="s">
        <v>72</v>
      </c>
      <c r="D18" s="133">
        <v>1</v>
      </c>
      <c r="E18" s="137">
        <v>4</v>
      </c>
      <c r="F18" s="130">
        <f>D18*E18</f>
        <v>4</v>
      </c>
    </row>
    <row r="19" spans="2:6" x14ac:dyDescent="0.25">
      <c r="B19" s="121" t="s">
        <v>454</v>
      </c>
      <c r="C19" s="121" t="s">
        <v>72</v>
      </c>
      <c r="D19" s="133">
        <v>0</v>
      </c>
      <c r="E19" s="137">
        <v>1</v>
      </c>
      <c r="F19" s="130">
        <f t="shared" ref="F19:F25" si="2">D19*E19</f>
        <v>0</v>
      </c>
    </row>
    <row r="20" spans="2:6" x14ac:dyDescent="0.25">
      <c r="B20" s="121" t="s">
        <v>455</v>
      </c>
      <c r="C20" s="121" t="s">
        <v>72</v>
      </c>
      <c r="D20" s="133">
        <v>1</v>
      </c>
      <c r="E20" s="137">
        <v>4</v>
      </c>
      <c r="F20" s="130">
        <f t="shared" si="2"/>
        <v>4</v>
      </c>
    </row>
    <row r="21" spans="2:6" x14ac:dyDescent="0.25">
      <c r="B21" s="121" t="s">
        <v>453</v>
      </c>
      <c r="C21" s="121" t="s">
        <v>72</v>
      </c>
      <c r="D21" s="133">
        <v>1</v>
      </c>
      <c r="E21" s="137">
        <v>24</v>
      </c>
      <c r="F21" s="130">
        <f>D21*E21</f>
        <v>24</v>
      </c>
    </row>
    <row r="22" spans="2:6" x14ac:dyDescent="0.25">
      <c r="B22" s="121" t="s">
        <v>456</v>
      </c>
      <c r="C22" s="121" t="s">
        <v>72</v>
      </c>
      <c r="D22" s="133">
        <v>0</v>
      </c>
      <c r="E22" s="137">
        <v>25</v>
      </c>
      <c r="F22" s="130">
        <f t="shared" si="2"/>
        <v>0</v>
      </c>
    </row>
    <row r="23" spans="2:6" x14ac:dyDescent="0.25">
      <c r="B23" s="121" t="s">
        <v>20</v>
      </c>
      <c r="C23" s="121" t="s">
        <v>72</v>
      </c>
      <c r="D23" s="133">
        <v>0</v>
      </c>
      <c r="E23" s="137">
        <v>0</v>
      </c>
      <c r="F23" s="130">
        <f t="shared" si="2"/>
        <v>0</v>
      </c>
    </row>
    <row r="24" spans="2:6" x14ac:dyDescent="0.25">
      <c r="B24" s="121" t="s">
        <v>20</v>
      </c>
      <c r="C24" s="121" t="s">
        <v>72</v>
      </c>
      <c r="D24" s="133">
        <v>0</v>
      </c>
      <c r="E24" s="137">
        <v>0</v>
      </c>
      <c r="F24" s="130">
        <f t="shared" ref="F24" si="3">D24*E24</f>
        <v>0</v>
      </c>
    </row>
    <row r="25" spans="2:6" ht="15.75" thickBot="1" x14ac:dyDescent="0.3">
      <c r="B25" s="126" t="s">
        <v>20</v>
      </c>
      <c r="C25" s="121" t="s">
        <v>72</v>
      </c>
      <c r="D25" s="138">
        <v>0</v>
      </c>
      <c r="E25" s="139">
        <v>0</v>
      </c>
      <c r="F25" s="130">
        <f t="shared" si="2"/>
        <v>0</v>
      </c>
    </row>
    <row r="26" spans="2:6" ht="15.75" thickBot="1" x14ac:dyDescent="0.3">
      <c r="B26" s="152" t="s">
        <v>457</v>
      </c>
      <c r="C26" s="152"/>
      <c r="D26" s="152"/>
      <c r="E26" s="152"/>
      <c r="F26" s="154">
        <f>SUM(F18:F25)</f>
        <v>32</v>
      </c>
    </row>
    <row r="27" spans="2:6" x14ac:dyDescent="0.25">
      <c r="B27" s="140"/>
      <c r="C27" s="140"/>
      <c r="D27" s="140"/>
      <c r="E27" s="140"/>
      <c r="F27" s="141"/>
    </row>
    <row r="28" spans="2:6" ht="15.75" thickBot="1" x14ac:dyDescent="0.3">
      <c r="B28" s="125" t="s">
        <v>467</v>
      </c>
      <c r="C28" s="126"/>
      <c r="D28" s="126"/>
      <c r="E28" s="126"/>
      <c r="F28" s="126"/>
    </row>
    <row r="29" spans="2:6" ht="15.75" thickBot="1" x14ac:dyDescent="0.3">
      <c r="B29" s="125" t="s">
        <v>418</v>
      </c>
      <c r="C29" s="125" t="s">
        <v>438</v>
      </c>
      <c r="D29" s="125" t="s">
        <v>419</v>
      </c>
      <c r="E29" s="125" t="s">
        <v>462</v>
      </c>
      <c r="F29" s="125" t="s">
        <v>463</v>
      </c>
    </row>
    <row r="30" spans="2:6" x14ac:dyDescent="0.25">
      <c r="B30" s="121" t="s">
        <v>617</v>
      </c>
      <c r="C30" s="121" t="s">
        <v>73</v>
      </c>
      <c r="D30" s="133">
        <v>1</v>
      </c>
      <c r="E30" s="137">
        <v>4</v>
      </c>
      <c r="F30" s="130">
        <f>D30*E30</f>
        <v>4</v>
      </c>
    </row>
    <row r="31" spans="2:6" x14ac:dyDescent="0.25">
      <c r="B31" s="121" t="s">
        <v>458</v>
      </c>
      <c r="C31" s="121" t="s">
        <v>73</v>
      </c>
      <c r="D31" s="133">
        <v>1</v>
      </c>
      <c r="E31" s="137">
        <v>60</v>
      </c>
      <c r="F31" s="130">
        <f t="shared" ref="F31:F37" si="4">D31*E31</f>
        <v>60</v>
      </c>
    </row>
    <row r="32" spans="2:6" x14ac:dyDescent="0.25">
      <c r="B32" s="121" t="s">
        <v>616</v>
      </c>
      <c r="C32" s="121" t="s">
        <v>73</v>
      </c>
      <c r="D32" s="133">
        <v>2</v>
      </c>
      <c r="E32" s="137">
        <v>6</v>
      </c>
      <c r="F32" s="130">
        <f t="shared" si="4"/>
        <v>12</v>
      </c>
    </row>
    <row r="33" spans="2:6" x14ac:dyDescent="0.25">
      <c r="B33" s="121" t="s">
        <v>449</v>
      </c>
      <c r="C33" s="121" t="s">
        <v>73</v>
      </c>
      <c r="D33" s="133">
        <v>1</v>
      </c>
      <c r="E33" s="137">
        <v>2</v>
      </c>
      <c r="F33" s="130">
        <f t="shared" si="4"/>
        <v>2</v>
      </c>
    </row>
    <row r="34" spans="2:6" x14ac:dyDescent="0.25">
      <c r="B34" s="121" t="s">
        <v>20</v>
      </c>
      <c r="C34" s="121" t="s">
        <v>73</v>
      </c>
      <c r="D34" s="133">
        <v>0</v>
      </c>
      <c r="E34" s="137">
        <v>0</v>
      </c>
      <c r="F34" s="130">
        <f t="shared" ref="F34" si="5">D34*E34</f>
        <v>0</v>
      </c>
    </row>
    <row r="35" spans="2:6" x14ac:dyDescent="0.25">
      <c r="B35" s="121" t="s">
        <v>20</v>
      </c>
      <c r="C35" s="121" t="s">
        <v>73</v>
      </c>
      <c r="D35" s="133">
        <v>0</v>
      </c>
      <c r="E35" s="137">
        <v>0</v>
      </c>
      <c r="F35" s="130">
        <f t="shared" ref="F35" si="6">D35*E35</f>
        <v>0</v>
      </c>
    </row>
    <row r="36" spans="2:6" x14ac:dyDescent="0.25">
      <c r="B36" s="121" t="s">
        <v>20</v>
      </c>
      <c r="C36" s="121" t="s">
        <v>73</v>
      </c>
      <c r="D36" s="133">
        <v>0</v>
      </c>
      <c r="E36" s="137">
        <v>0</v>
      </c>
      <c r="F36" s="130">
        <f t="shared" si="4"/>
        <v>0</v>
      </c>
    </row>
    <row r="37" spans="2:6" ht="15.75" thickBot="1" x14ac:dyDescent="0.3">
      <c r="B37" s="126" t="s">
        <v>20</v>
      </c>
      <c r="C37" s="121" t="s">
        <v>73</v>
      </c>
      <c r="D37" s="138">
        <v>0</v>
      </c>
      <c r="E37" s="139">
        <v>0</v>
      </c>
      <c r="F37" s="130">
        <f t="shared" si="4"/>
        <v>0</v>
      </c>
    </row>
    <row r="38" spans="2:6" ht="15.75" thickBot="1" x14ac:dyDescent="0.3">
      <c r="B38" s="152" t="s">
        <v>459</v>
      </c>
      <c r="C38" s="152"/>
      <c r="D38" s="152"/>
      <c r="E38" s="152"/>
      <c r="F38" s="154">
        <f>SUM(F30:F37)</f>
        <v>78</v>
      </c>
    </row>
    <row r="39" spans="2:6" x14ac:dyDescent="0.25">
      <c r="B39" s="140"/>
      <c r="C39" s="140"/>
      <c r="D39" s="140"/>
      <c r="E39" s="140"/>
      <c r="F39" s="141"/>
    </row>
    <row r="40" spans="2:6" ht="15.75" thickBot="1" x14ac:dyDescent="0.3">
      <c r="B40" s="125" t="s">
        <v>468</v>
      </c>
      <c r="C40" s="126"/>
      <c r="D40" s="126"/>
      <c r="E40" s="126"/>
      <c r="F40" s="126"/>
    </row>
    <row r="41" spans="2:6" ht="15.75" thickBot="1" x14ac:dyDescent="0.3">
      <c r="B41" s="125" t="s">
        <v>418</v>
      </c>
      <c r="C41" s="125" t="s">
        <v>438</v>
      </c>
      <c r="D41" s="125" t="s">
        <v>419</v>
      </c>
      <c r="E41" s="125" t="s">
        <v>462</v>
      </c>
      <c r="F41" s="125" t="s">
        <v>463</v>
      </c>
    </row>
    <row r="42" spans="2:6" x14ac:dyDescent="0.25">
      <c r="B42" s="121" t="s">
        <v>618</v>
      </c>
      <c r="C42" s="121" t="s">
        <v>464</v>
      </c>
      <c r="D42" s="133">
        <v>2</v>
      </c>
      <c r="E42" s="137">
        <v>3</v>
      </c>
      <c r="F42" s="130">
        <f>D42*E42</f>
        <v>6</v>
      </c>
    </row>
    <row r="43" spans="2:6" x14ac:dyDescent="0.25">
      <c r="B43" s="121" t="s">
        <v>454</v>
      </c>
      <c r="C43" s="121" t="s">
        <v>464</v>
      </c>
      <c r="D43" s="133">
        <v>1</v>
      </c>
      <c r="E43" s="137">
        <v>1</v>
      </c>
      <c r="F43" s="130">
        <f t="shared" ref="F43:F49" si="7">D43*E43</f>
        <v>1</v>
      </c>
    </row>
    <row r="44" spans="2:6" x14ac:dyDescent="0.25">
      <c r="B44" s="121" t="s">
        <v>616</v>
      </c>
      <c r="C44" s="121" t="s">
        <v>464</v>
      </c>
      <c r="D44" s="133">
        <v>1</v>
      </c>
      <c r="E44" s="137">
        <v>4</v>
      </c>
      <c r="F44" s="130">
        <f t="shared" si="7"/>
        <v>4</v>
      </c>
    </row>
    <row r="45" spans="2:6" x14ac:dyDescent="0.25">
      <c r="B45" s="121" t="s">
        <v>460</v>
      </c>
      <c r="C45" s="121" t="s">
        <v>464</v>
      </c>
      <c r="D45" s="133">
        <v>0</v>
      </c>
      <c r="E45" s="137">
        <v>1</v>
      </c>
      <c r="F45" s="130">
        <f t="shared" si="7"/>
        <v>0</v>
      </c>
    </row>
    <row r="46" spans="2:6" x14ac:dyDescent="0.25">
      <c r="B46" s="121" t="s">
        <v>20</v>
      </c>
      <c r="C46" s="121" t="s">
        <v>464</v>
      </c>
      <c r="D46" s="133">
        <v>0</v>
      </c>
      <c r="E46" s="137">
        <v>0</v>
      </c>
      <c r="F46" s="130">
        <f t="shared" si="7"/>
        <v>0</v>
      </c>
    </row>
    <row r="47" spans="2:6" x14ac:dyDescent="0.25">
      <c r="B47" s="121" t="s">
        <v>20</v>
      </c>
      <c r="C47" s="121" t="s">
        <v>464</v>
      </c>
      <c r="D47" s="133">
        <v>0</v>
      </c>
      <c r="E47" s="137">
        <v>0</v>
      </c>
      <c r="F47" s="130">
        <f t="shared" ref="F47" si="8">D47*E47</f>
        <v>0</v>
      </c>
    </row>
    <row r="48" spans="2:6" x14ac:dyDescent="0.25">
      <c r="B48" s="121" t="s">
        <v>20</v>
      </c>
      <c r="C48" s="121" t="s">
        <v>464</v>
      </c>
      <c r="D48" s="133">
        <v>0</v>
      </c>
      <c r="E48" s="137">
        <v>0</v>
      </c>
      <c r="F48" s="130">
        <f t="shared" si="7"/>
        <v>0</v>
      </c>
    </row>
    <row r="49" spans="2:6" ht="15.75" thickBot="1" x14ac:dyDescent="0.3">
      <c r="B49" s="126" t="s">
        <v>20</v>
      </c>
      <c r="C49" s="121" t="s">
        <v>464</v>
      </c>
      <c r="D49" s="138">
        <v>0</v>
      </c>
      <c r="E49" s="139">
        <v>0</v>
      </c>
      <c r="F49" s="130">
        <f t="shared" si="7"/>
        <v>0</v>
      </c>
    </row>
    <row r="50" spans="2:6" ht="15.75" thickBot="1" x14ac:dyDescent="0.3">
      <c r="B50" s="152" t="s">
        <v>461</v>
      </c>
      <c r="C50" s="152"/>
      <c r="D50" s="152"/>
      <c r="E50" s="152"/>
      <c r="F50" s="154">
        <f>SUM(F42:F49)</f>
        <v>11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10"/>
  <sheetViews>
    <sheetView workbookViewId="0"/>
  </sheetViews>
  <sheetFormatPr defaultColWidth="9" defaultRowHeight="15" x14ac:dyDescent="0.25"/>
  <cols>
    <col min="1" max="1" width="9" style="121"/>
    <col min="2" max="2" width="16.75" style="121" bestFit="1" customWidth="1"/>
    <col min="3" max="3" width="5.125" style="121" bestFit="1" customWidth="1"/>
    <col min="4" max="4" width="12.375" style="121" bestFit="1" customWidth="1"/>
    <col min="5" max="5" width="5.375" style="121" bestFit="1" customWidth="1"/>
    <col min="6" max="6" width="9" style="121" bestFit="1" customWidth="1"/>
    <col min="7" max="16384" width="9" style="121"/>
  </cols>
  <sheetData>
    <row r="2" spans="2:6" x14ac:dyDescent="0.25">
      <c r="B2" s="151" t="s">
        <v>578</v>
      </c>
    </row>
    <row r="3" spans="2:6" ht="15.75" thickBot="1" x14ac:dyDescent="0.3">
      <c r="B3" s="126"/>
      <c r="C3" s="126"/>
      <c r="D3" s="126"/>
      <c r="E3" s="126"/>
      <c r="F3" s="126"/>
    </row>
    <row r="4" spans="2:6" ht="15.75" thickBot="1" x14ac:dyDescent="0.3">
      <c r="B4" s="125" t="s">
        <v>418</v>
      </c>
      <c r="C4" s="125" t="s">
        <v>438</v>
      </c>
      <c r="D4" s="125" t="s">
        <v>608</v>
      </c>
      <c r="E4" s="125" t="s">
        <v>439</v>
      </c>
      <c r="F4" s="125" t="s">
        <v>609</v>
      </c>
    </row>
    <row r="5" spans="2:6" x14ac:dyDescent="0.25">
      <c r="B5" s="121" t="s">
        <v>441</v>
      </c>
      <c r="C5" s="121" t="s">
        <v>21</v>
      </c>
      <c r="D5" s="130">
        <f>Main!I29/SUM(Main!C24:C28)</f>
        <v>1495.6009174311928</v>
      </c>
      <c r="E5" s="132">
        <v>0.03</v>
      </c>
      <c r="F5" s="19">
        <f>D5*E5</f>
        <v>44.868027522935783</v>
      </c>
    </row>
    <row r="6" spans="2:6" x14ac:dyDescent="0.25">
      <c r="B6" s="121" t="s">
        <v>442</v>
      </c>
      <c r="C6" s="121" t="s">
        <v>445</v>
      </c>
      <c r="D6" s="133">
        <v>1</v>
      </c>
      <c r="E6" s="131">
        <v>1</v>
      </c>
      <c r="F6" s="19">
        <f>D6*E6</f>
        <v>1</v>
      </c>
    </row>
    <row r="7" spans="2:6" x14ac:dyDescent="0.25">
      <c r="B7" s="121" t="s">
        <v>443</v>
      </c>
      <c r="C7" s="121" t="s">
        <v>446</v>
      </c>
      <c r="D7" s="133">
        <v>60</v>
      </c>
      <c r="E7" s="131">
        <v>0.1</v>
      </c>
      <c r="F7" s="19">
        <f>D7*E7</f>
        <v>6</v>
      </c>
    </row>
    <row r="8" spans="2:6" x14ac:dyDescent="0.25">
      <c r="B8" s="121" t="s">
        <v>444</v>
      </c>
      <c r="C8" s="121" t="s">
        <v>49</v>
      </c>
      <c r="D8" s="122">
        <v>1</v>
      </c>
      <c r="E8" s="131">
        <v>2</v>
      </c>
      <c r="F8" s="19">
        <f>D8*E8</f>
        <v>2</v>
      </c>
    </row>
    <row r="9" spans="2:6" ht="15.75" thickBot="1" x14ac:dyDescent="0.3">
      <c r="B9" s="126" t="s">
        <v>20</v>
      </c>
      <c r="C9" s="126" t="s">
        <v>49</v>
      </c>
      <c r="D9" s="128">
        <v>1</v>
      </c>
      <c r="E9" s="134">
        <v>1</v>
      </c>
      <c r="F9" s="25">
        <f>D9*E9</f>
        <v>1</v>
      </c>
    </row>
    <row r="10" spans="2:6" ht="15.75" thickBot="1" x14ac:dyDescent="0.3">
      <c r="B10" s="125" t="s">
        <v>447</v>
      </c>
      <c r="C10" s="125"/>
      <c r="D10" s="125"/>
      <c r="E10" s="125"/>
      <c r="F10" s="46">
        <f>SUM(F5:F9)</f>
        <v>54.868027522935783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11"/>
  <sheetViews>
    <sheetView workbookViewId="0"/>
  </sheetViews>
  <sheetFormatPr defaultColWidth="9" defaultRowHeight="15" x14ac:dyDescent="0.25"/>
  <cols>
    <col min="1" max="1" width="9" style="121"/>
    <col min="2" max="2" width="15" style="121" bestFit="1" customWidth="1"/>
    <col min="3" max="3" width="13.25" style="121" bestFit="1" customWidth="1"/>
    <col min="4" max="4" width="6.5" style="121" bestFit="1" customWidth="1"/>
    <col min="5" max="5" width="16.5" style="121" bestFit="1" customWidth="1"/>
    <col min="6" max="6" width="16" style="121" bestFit="1" customWidth="1"/>
    <col min="7" max="7" width="16.875" style="121" bestFit="1" customWidth="1"/>
    <col min="8" max="8" width="12.125" style="121" bestFit="1" customWidth="1"/>
    <col min="9" max="9" width="21.375" style="121" bestFit="1" customWidth="1"/>
    <col min="10" max="10" width="13.25" style="121" bestFit="1" customWidth="1"/>
    <col min="11" max="11" width="13.125" style="121" bestFit="1" customWidth="1"/>
    <col min="12" max="16384" width="9" style="121"/>
  </cols>
  <sheetData>
    <row r="2" spans="2:11" x14ac:dyDescent="0.25">
      <c r="B2" s="151" t="s">
        <v>615</v>
      </c>
    </row>
    <row r="3" spans="2:11" ht="15.75" thickBot="1" x14ac:dyDescent="0.3">
      <c r="B3" s="126"/>
      <c r="C3" s="126"/>
      <c r="D3" s="126"/>
      <c r="E3" s="126"/>
      <c r="F3" s="126"/>
      <c r="G3" s="126"/>
      <c r="H3" s="126"/>
      <c r="I3" s="126"/>
      <c r="J3" s="126"/>
      <c r="K3" s="126"/>
    </row>
    <row r="4" spans="2:11" ht="15.75" thickBot="1" x14ac:dyDescent="0.3">
      <c r="B4" s="125" t="s">
        <v>418</v>
      </c>
      <c r="C4" s="125" t="s">
        <v>552</v>
      </c>
      <c r="D4" s="125" t="s">
        <v>550</v>
      </c>
      <c r="E4" s="125" t="s">
        <v>551</v>
      </c>
      <c r="F4" s="125" t="s">
        <v>421</v>
      </c>
      <c r="G4" s="125" t="s">
        <v>422</v>
      </c>
      <c r="H4" s="125" t="s">
        <v>423</v>
      </c>
      <c r="I4" s="125" t="s">
        <v>424</v>
      </c>
      <c r="J4" s="125" t="s">
        <v>553</v>
      </c>
      <c r="K4" s="125" t="s">
        <v>605</v>
      </c>
    </row>
    <row r="5" spans="2:11" x14ac:dyDescent="0.25">
      <c r="B5" s="121" t="s">
        <v>435</v>
      </c>
      <c r="C5" s="164">
        <v>0</v>
      </c>
      <c r="D5" s="159">
        <v>2100</v>
      </c>
      <c r="E5" s="160">
        <f>Main!G27</f>
        <v>1320</v>
      </c>
      <c r="F5" s="158">
        <f>1/Main!D13</f>
        <v>6.666666666666667</v>
      </c>
      <c r="G5" s="147">
        <f>((D5-E5)/F5)*C5</f>
        <v>0</v>
      </c>
      <c r="H5" s="147">
        <f>AVERAGE(D5:E5)*C5</f>
        <v>0</v>
      </c>
      <c r="I5" s="147">
        <f>H5*0.08*C5</f>
        <v>0</v>
      </c>
      <c r="J5" s="130">
        <f>SUM(G5,I5)</f>
        <v>0</v>
      </c>
      <c r="K5" s="130">
        <f>J5/Main!$D$9</f>
        <v>0</v>
      </c>
    </row>
    <row r="6" spans="2:11" x14ac:dyDescent="0.25">
      <c r="B6" s="121" t="s">
        <v>436</v>
      </c>
      <c r="C6" s="164">
        <v>0</v>
      </c>
      <c r="D6" s="159">
        <f>ROUND(AVERAGE(2300,2900)*1.02,-1)</f>
        <v>2650</v>
      </c>
      <c r="E6" s="160">
        <f>Main!G26</f>
        <v>1755</v>
      </c>
      <c r="F6" s="158">
        <v>10</v>
      </c>
      <c r="G6" s="147">
        <f t="shared" ref="G6:G7" si="0">((D6-E6)/F6)*C6</f>
        <v>0</v>
      </c>
      <c r="H6" s="147">
        <f t="shared" ref="H6:H7" si="1">AVERAGE(D6:E6)*C6</f>
        <v>0</v>
      </c>
      <c r="I6" s="147">
        <f>H6*0.08*C6</f>
        <v>0</v>
      </c>
      <c r="J6" s="130">
        <f t="shared" ref="J6:J7" si="2">SUM(G6,I6)</f>
        <v>0</v>
      </c>
      <c r="K6" s="130">
        <f>J6/Main!$D$9</f>
        <v>0</v>
      </c>
    </row>
    <row r="7" spans="2:11" ht="15.75" thickBot="1" x14ac:dyDescent="0.3">
      <c r="B7" s="126" t="s">
        <v>437</v>
      </c>
      <c r="C7" s="165">
        <v>1</v>
      </c>
      <c r="D7" s="161">
        <f>ROUND(AVERAGE(3500,4375)*1.02,-1)</f>
        <v>4020</v>
      </c>
      <c r="E7" s="162">
        <f>Main!G28</f>
        <v>2700</v>
      </c>
      <c r="F7" s="138">
        <f>1/Main!D15</f>
        <v>4</v>
      </c>
      <c r="G7" s="147">
        <f t="shared" si="0"/>
        <v>330</v>
      </c>
      <c r="H7" s="147">
        <f t="shared" si="1"/>
        <v>3360</v>
      </c>
      <c r="I7" s="147">
        <f>H7*0.08*C7</f>
        <v>268.8</v>
      </c>
      <c r="J7" s="142">
        <f t="shared" si="2"/>
        <v>598.79999999999995</v>
      </c>
      <c r="K7" s="142">
        <f>J7/Main!$D$9</f>
        <v>11.975999999999999</v>
      </c>
    </row>
    <row r="8" spans="2:11" ht="15.75" thickBot="1" x14ac:dyDescent="0.3">
      <c r="B8" s="152" t="s">
        <v>440</v>
      </c>
      <c r="C8" s="129"/>
      <c r="D8" s="129"/>
      <c r="E8" s="129"/>
      <c r="F8" s="129"/>
      <c r="G8" s="129"/>
      <c r="H8" s="129"/>
      <c r="I8" s="129"/>
      <c r="J8" s="154">
        <f>SUM(J5:J7)</f>
        <v>598.79999999999995</v>
      </c>
      <c r="K8" s="155">
        <f>J8/Main!$D$9</f>
        <v>11.975999999999999</v>
      </c>
    </row>
    <row r="10" spans="2:11" x14ac:dyDescent="0.25">
      <c r="B10" s="249" t="s">
        <v>612</v>
      </c>
      <c r="C10" s="249"/>
      <c r="D10" s="249"/>
      <c r="E10" s="249"/>
      <c r="F10" s="249"/>
      <c r="G10" s="249"/>
      <c r="H10" s="249"/>
      <c r="I10" s="249"/>
      <c r="J10" s="249"/>
      <c r="K10" s="249"/>
    </row>
    <row r="11" spans="2:11" x14ac:dyDescent="0.25">
      <c r="B11" s="250" t="s">
        <v>637</v>
      </c>
      <c r="C11" s="251"/>
      <c r="D11" s="251"/>
      <c r="E11" s="251"/>
      <c r="F11" s="251"/>
      <c r="G11" s="251"/>
      <c r="H11" s="251"/>
      <c r="I11" s="251"/>
      <c r="J11" s="251"/>
      <c r="K11" s="251"/>
    </row>
  </sheetData>
  <mergeCells count="2">
    <mergeCell ref="B10:K10"/>
    <mergeCell ref="B11:K1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M21"/>
  <sheetViews>
    <sheetView workbookViewId="0"/>
  </sheetViews>
  <sheetFormatPr defaultColWidth="9" defaultRowHeight="15" x14ac:dyDescent="0.25"/>
  <cols>
    <col min="1" max="1" width="9" style="121"/>
    <col min="2" max="2" width="21.625" style="121" bestFit="1" customWidth="1"/>
    <col min="3" max="3" width="7.25" style="121" bestFit="1" customWidth="1"/>
    <col min="4" max="4" width="6.625" style="121" bestFit="1" customWidth="1"/>
    <col min="5" max="5" width="8.5" style="121" bestFit="1" customWidth="1"/>
    <col min="6" max="6" width="11.625" style="121" bestFit="1" customWidth="1"/>
    <col min="7" max="7" width="16" style="121" bestFit="1" customWidth="1"/>
    <col min="8" max="8" width="16.875" style="121" bestFit="1" customWidth="1"/>
    <col min="9" max="9" width="12.125" style="121" bestFit="1" customWidth="1"/>
    <col min="10" max="10" width="21.375" style="121" bestFit="1" customWidth="1"/>
    <col min="11" max="11" width="29.5" style="121" bestFit="1" customWidth="1"/>
    <col min="12" max="12" width="13.25" style="121" bestFit="1" customWidth="1"/>
    <col min="13" max="13" width="13.125" style="121" bestFit="1" customWidth="1"/>
    <col min="14" max="16384" width="9" style="121"/>
  </cols>
  <sheetData>
    <row r="2" spans="2:13" x14ac:dyDescent="0.25">
      <c r="B2" s="151" t="s">
        <v>614</v>
      </c>
    </row>
    <row r="4" spans="2:13" ht="15.75" thickBot="1" x14ac:dyDescent="0.3">
      <c r="B4" s="126"/>
      <c r="C4" s="126"/>
      <c r="D4" s="126"/>
      <c r="E4" s="126"/>
      <c r="F4" s="126"/>
      <c r="G4" s="126"/>
      <c r="H4" s="126"/>
      <c r="I4" s="126"/>
      <c r="J4" s="126"/>
      <c r="K4" s="126"/>
      <c r="L4" s="126"/>
      <c r="M4" s="126"/>
    </row>
    <row r="5" spans="2:13" ht="15.75" thickBot="1" x14ac:dyDescent="0.3">
      <c r="B5" s="125" t="s">
        <v>418</v>
      </c>
      <c r="C5" s="125" t="s">
        <v>419</v>
      </c>
      <c r="D5" s="125" t="s">
        <v>13</v>
      </c>
      <c r="E5" s="125" t="s">
        <v>14</v>
      </c>
      <c r="F5" s="125" t="s">
        <v>420</v>
      </c>
      <c r="G5" s="125" t="s">
        <v>421</v>
      </c>
      <c r="H5" s="125" t="s">
        <v>422</v>
      </c>
      <c r="I5" s="125" t="s">
        <v>423</v>
      </c>
      <c r="J5" s="125" t="s">
        <v>424</v>
      </c>
      <c r="K5" s="125" t="s">
        <v>425</v>
      </c>
      <c r="L5" s="125" t="s">
        <v>426</v>
      </c>
      <c r="M5" s="125" t="s">
        <v>605</v>
      </c>
    </row>
    <row r="6" spans="2:13" x14ac:dyDescent="0.25">
      <c r="B6" s="48" t="s">
        <v>427</v>
      </c>
      <c r="C6" s="133">
        <v>5.2</v>
      </c>
      <c r="D6" s="159">
        <v>2737.48</v>
      </c>
      <c r="E6" s="159">
        <f>C6*D6</f>
        <v>14234.896000000001</v>
      </c>
      <c r="F6" s="159">
        <v>0</v>
      </c>
      <c r="G6" s="133">
        <v>30</v>
      </c>
      <c r="H6" s="123">
        <f t="shared" ref="H6:H12" si="0">IF(G6="","",(E6-F6)/G6)</f>
        <v>474.49653333333333</v>
      </c>
      <c r="I6" s="123">
        <f t="shared" ref="I6:I12" si="1">IF(E6="","",AVERAGE(E6:F6))</f>
        <v>7117.4480000000003</v>
      </c>
      <c r="J6" s="21">
        <f>IF(I6="","",I6*0.08)</f>
        <v>569.39584000000002</v>
      </c>
      <c r="K6" s="21">
        <f>IF(I6="","",I6*0.024)</f>
        <v>170.81875200000002</v>
      </c>
      <c r="L6" s="181">
        <f>SUM(H6,J6,K6)</f>
        <v>1214.7111253333333</v>
      </c>
      <c r="M6" s="181">
        <f>L6/Main!$D$9</f>
        <v>24.294222506666664</v>
      </c>
    </row>
    <row r="7" spans="2:13" x14ac:dyDescent="0.25">
      <c r="B7" s="48" t="s">
        <v>428</v>
      </c>
      <c r="C7" s="204">
        <v>1</v>
      </c>
      <c r="D7" s="159">
        <v>6051.34</v>
      </c>
      <c r="E7" s="159">
        <f t="shared" ref="E7:E12" si="2">C7*D7</f>
        <v>6051.34</v>
      </c>
      <c r="F7" s="159">
        <v>0</v>
      </c>
      <c r="G7" s="133">
        <v>10</v>
      </c>
      <c r="H7" s="123">
        <f t="shared" si="0"/>
        <v>605.13400000000001</v>
      </c>
      <c r="I7" s="123">
        <f t="shared" si="1"/>
        <v>3025.67</v>
      </c>
      <c r="J7" s="21">
        <f t="shared" ref="J7:J12" si="3">IF(I7="","",I7*0.08)</f>
        <v>242.05360000000002</v>
      </c>
      <c r="K7" s="21">
        <f t="shared" ref="K7:K16" si="4">IF(I7="","",I7*0.024)</f>
        <v>72.616079999999997</v>
      </c>
      <c r="L7" s="181">
        <f t="shared" ref="L7:L12" si="5">SUM(H7,J7,K7)</f>
        <v>919.80367999999999</v>
      </c>
      <c r="M7" s="181">
        <f>L7/Main!$D$9</f>
        <v>18.396073600000001</v>
      </c>
    </row>
    <row r="8" spans="2:13" x14ac:dyDescent="0.25">
      <c r="B8" s="48" t="s">
        <v>429</v>
      </c>
      <c r="C8" s="204">
        <v>1</v>
      </c>
      <c r="D8" s="159">
        <v>14119.8</v>
      </c>
      <c r="E8" s="159">
        <f t="shared" si="2"/>
        <v>14119.8</v>
      </c>
      <c r="F8" s="159">
        <f>E8*0.2</f>
        <v>2823.96</v>
      </c>
      <c r="G8" s="133">
        <v>20</v>
      </c>
      <c r="H8" s="123">
        <f t="shared" si="0"/>
        <v>564.79200000000003</v>
      </c>
      <c r="I8" s="123">
        <f t="shared" si="1"/>
        <v>8471.8799999999992</v>
      </c>
      <c r="J8" s="21">
        <f t="shared" si="3"/>
        <v>677.7503999999999</v>
      </c>
      <c r="K8" s="21">
        <f t="shared" si="4"/>
        <v>203.32512</v>
      </c>
      <c r="L8" s="181">
        <f t="shared" si="5"/>
        <v>1445.8675199999998</v>
      </c>
      <c r="M8" s="181">
        <f>L8/Main!$D$9</f>
        <v>28.917350399999997</v>
      </c>
    </row>
    <row r="9" spans="2:13" x14ac:dyDescent="0.25">
      <c r="B9" s="48" t="s">
        <v>430</v>
      </c>
      <c r="C9" s="204">
        <v>1</v>
      </c>
      <c r="D9" s="159">
        <v>21330.99</v>
      </c>
      <c r="E9" s="159">
        <f t="shared" si="2"/>
        <v>21330.99</v>
      </c>
      <c r="F9" s="159">
        <f>E9*0.2</f>
        <v>4266.1980000000003</v>
      </c>
      <c r="G9" s="133">
        <v>30</v>
      </c>
      <c r="H9" s="123">
        <f t="shared" si="0"/>
        <v>568.82640000000004</v>
      </c>
      <c r="I9" s="123">
        <f t="shared" si="1"/>
        <v>12798.594000000001</v>
      </c>
      <c r="J9" s="21">
        <f t="shared" si="3"/>
        <v>1023.8875200000001</v>
      </c>
      <c r="K9" s="21">
        <f t="shared" si="4"/>
        <v>307.16625600000003</v>
      </c>
      <c r="L9" s="181">
        <f t="shared" si="5"/>
        <v>1899.8801760000001</v>
      </c>
      <c r="M9" s="181">
        <f>L9/Main!$D$9</f>
        <v>37.997603520000006</v>
      </c>
    </row>
    <row r="10" spans="2:13" x14ac:dyDescent="0.25">
      <c r="B10" s="48" t="s">
        <v>610</v>
      </c>
      <c r="C10" s="205">
        <v>3</v>
      </c>
      <c r="D10" s="159">
        <v>450</v>
      </c>
      <c r="E10" s="159">
        <f t="shared" si="2"/>
        <v>1350</v>
      </c>
      <c r="F10" s="159">
        <v>0</v>
      </c>
      <c r="G10" s="133">
        <v>7</v>
      </c>
      <c r="H10" s="123">
        <f t="shared" si="0"/>
        <v>192.85714285714286</v>
      </c>
      <c r="I10" s="123">
        <f t="shared" si="1"/>
        <v>675</v>
      </c>
      <c r="J10" s="21">
        <f t="shared" si="3"/>
        <v>54</v>
      </c>
      <c r="K10" s="21">
        <f t="shared" si="4"/>
        <v>16.2</v>
      </c>
      <c r="L10" s="181">
        <f t="shared" si="5"/>
        <v>263.05714285714288</v>
      </c>
      <c r="M10" s="181">
        <f>L10/Main!$D$9</f>
        <v>5.2611428571428576</v>
      </c>
    </row>
    <row r="11" spans="2:13" x14ac:dyDescent="0.25">
      <c r="B11" s="48" t="s">
        <v>431</v>
      </c>
      <c r="C11" s="205">
        <v>1</v>
      </c>
      <c r="D11" s="159">
        <v>1706.48</v>
      </c>
      <c r="E11" s="159">
        <f t="shared" si="2"/>
        <v>1706.48</v>
      </c>
      <c r="F11" s="159">
        <f>E11*0.2</f>
        <v>341.29600000000005</v>
      </c>
      <c r="G11" s="133">
        <v>15</v>
      </c>
      <c r="H11" s="123">
        <f t="shared" si="0"/>
        <v>91.012266666666662</v>
      </c>
      <c r="I11" s="123">
        <f t="shared" si="1"/>
        <v>1023.888</v>
      </c>
      <c r="J11" s="21">
        <f t="shared" si="3"/>
        <v>81.91104</v>
      </c>
      <c r="K11" s="21">
        <f t="shared" si="4"/>
        <v>24.573312000000001</v>
      </c>
      <c r="L11" s="181">
        <f t="shared" si="5"/>
        <v>197.49661866666668</v>
      </c>
      <c r="M11" s="181">
        <f>L11/Main!$D$9</f>
        <v>3.9499323733333336</v>
      </c>
    </row>
    <row r="12" spans="2:13" x14ac:dyDescent="0.25">
      <c r="B12" s="48" t="s">
        <v>432</v>
      </c>
      <c r="C12" s="205">
        <v>1</v>
      </c>
      <c r="D12" s="159">
        <v>1422.07</v>
      </c>
      <c r="E12" s="159">
        <f t="shared" si="2"/>
        <v>1422.07</v>
      </c>
      <c r="F12" s="159">
        <f>E12*0.2</f>
        <v>284.41399999999999</v>
      </c>
      <c r="G12" s="133">
        <v>20</v>
      </c>
      <c r="H12" s="123">
        <f t="shared" si="0"/>
        <v>56.882799999999996</v>
      </c>
      <c r="I12" s="123">
        <f t="shared" si="1"/>
        <v>853.24199999999996</v>
      </c>
      <c r="J12" s="21">
        <f t="shared" si="3"/>
        <v>68.259360000000001</v>
      </c>
      <c r="K12" s="21">
        <f t="shared" si="4"/>
        <v>20.477808</v>
      </c>
      <c r="L12" s="181">
        <f t="shared" si="5"/>
        <v>145.619968</v>
      </c>
      <c r="M12" s="181">
        <f>L12/Main!$D$9</f>
        <v>2.9123993600000002</v>
      </c>
    </row>
    <row r="13" spans="2:13" x14ac:dyDescent="0.25">
      <c r="B13" s="48"/>
      <c r="C13" s="133"/>
      <c r="D13" s="159"/>
      <c r="E13" s="159"/>
      <c r="F13" s="159"/>
      <c r="G13" s="133"/>
      <c r="H13" s="123" t="str">
        <f t="shared" ref="H13:H16" si="6">IF(G13="","",(E13-F13)/G13)</f>
        <v/>
      </c>
      <c r="I13" s="123" t="str">
        <f t="shared" ref="I13:I16" si="7">IF(E13="","",AVERAGE(E13:F13))</f>
        <v/>
      </c>
      <c r="J13" s="21" t="str">
        <f>IF(I13="","",I13*0.08)</f>
        <v/>
      </c>
      <c r="K13" s="21" t="str">
        <f t="shared" si="4"/>
        <v/>
      </c>
      <c r="L13" s="181">
        <f t="shared" ref="L13:L16" si="8">SUM(H13,J13,K13)</f>
        <v>0</v>
      </c>
      <c r="M13" s="181">
        <f>L13/Main!$D$9</f>
        <v>0</v>
      </c>
    </row>
    <row r="14" spans="2:13" x14ac:dyDescent="0.25">
      <c r="B14" s="48"/>
      <c r="C14" s="133"/>
      <c r="D14" s="159"/>
      <c r="E14" s="159"/>
      <c r="F14" s="159"/>
      <c r="G14" s="133"/>
      <c r="H14" s="123" t="str">
        <f t="shared" si="6"/>
        <v/>
      </c>
      <c r="I14" s="123" t="str">
        <f t="shared" si="7"/>
        <v/>
      </c>
      <c r="J14" s="21" t="str">
        <f t="shared" ref="J14:J15" si="9">IF(I14="","",I14*0.08)</f>
        <v/>
      </c>
      <c r="K14" s="21" t="str">
        <f t="shared" si="4"/>
        <v/>
      </c>
      <c r="L14" s="181">
        <f t="shared" si="8"/>
        <v>0</v>
      </c>
      <c r="M14" s="181">
        <f>L14/Main!$D$9</f>
        <v>0</v>
      </c>
    </row>
    <row r="15" spans="2:13" x14ac:dyDescent="0.25">
      <c r="B15" s="48"/>
      <c r="C15" s="133"/>
      <c r="D15" s="159"/>
      <c r="E15" s="159"/>
      <c r="F15" s="159"/>
      <c r="G15" s="133"/>
      <c r="H15" s="123" t="str">
        <f t="shared" si="6"/>
        <v/>
      </c>
      <c r="I15" s="123" t="str">
        <f t="shared" si="7"/>
        <v/>
      </c>
      <c r="J15" s="21" t="str">
        <f t="shared" si="9"/>
        <v/>
      </c>
      <c r="K15" s="21" t="str">
        <f t="shared" si="4"/>
        <v/>
      </c>
      <c r="L15" s="181">
        <f t="shared" si="8"/>
        <v>0</v>
      </c>
      <c r="M15" s="181">
        <f>L15/Main!$D$9</f>
        <v>0</v>
      </c>
    </row>
    <row r="16" spans="2:13" ht="15.75" thickBot="1" x14ac:dyDescent="0.3">
      <c r="B16" s="127"/>
      <c r="C16" s="138"/>
      <c r="D16" s="161"/>
      <c r="E16" s="161"/>
      <c r="F16" s="161"/>
      <c r="G16" s="138"/>
      <c r="H16" s="123" t="str">
        <f t="shared" si="6"/>
        <v/>
      </c>
      <c r="I16" s="123" t="str">
        <f t="shared" si="7"/>
        <v/>
      </c>
      <c r="J16" s="21" t="str">
        <f>IF(I16="","",I16*0.08)</f>
        <v/>
      </c>
      <c r="K16" s="21" t="str">
        <f t="shared" si="4"/>
        <v/>
      </c>
      <c r="L16" s="181">
        <f t="shared" si="8"/>
        <v>0</v>
      </c>
      <c r="M16" s="181">
        <f>L16/Main!$D$9</f>
        <v>0</v>
      </c>
    </row>
    <row r="17" spans="2:13" ht="15.75" thickBot="1" x14ac:dyDescent="0.3">
      <c r="B17" s="152" t="s">
        <v>433</v>
      </c>
      <c r="C17" s="152"/>
      <c r="D17" s="152"/>
      <c r="E17" s="153">
        <f>SUM(E6:E16)</f>
        <v>60215.576000000001</v>
      </c>
      <c r="F17" s="153">
        <f>SUM(F6:F16)</f>
        <v>7715.8680000000004</v>
      </c>
      <c r="G17" s="152"/>
      <c r="H17" s="153">
        <f t="shared" ref="H17:M17" si="10">SUM(H6:H16)</f>
        <v>2554.0011428571424</v>
      </c>
      <c r="I17" s="153">
        <f t="shared" si="10"/>
        <v>33965.722000000002</v>
      </c>
      <c r="J17" s="153">
        <f t="shared" si="10"/>
        <v>2717.25776</v>
      </c>
      <c r="K17" s="153">
        <f t="shared" si="10"/>
        <v>815.1773280000001</v>
      </c>
      <c r="L17" s="154">
        <f t="shared" si="10"/>
        <v>6086.4362308571426</v>
      </c>
      <c r="M17" s="154">
        <f t="shared" si="10"/>
        <v>121.72872461714287</v>
      </c>
    </row>
    <row r="20" spans="2:13" x14ac:dyDescent="0.25">
      <c r="B20" s="249" t="s">
        <v>612</v>
      </c>
      <c r="C20" s="249"/>
      <c r="D20" s="249"/>
      <c r="E20" s="249"/>
      <c r="F20" s="249"/>
      <c r="G20" s="249"/>
      <c r="H20" s="249"/>
      <c r="I20" s="249"/>
      <c r="J20" s="249"/>
      <c r="K20" s="249"/>
      <c r="L20" s="249"/>
      <c r="M20" s="249"/>
    </row>
    <row r="21" spans="2:13" ht="30" customHeight="1" x14ac:dyDescent="0.25">
      <c r="B21" s="250" t="s">
        <v>638</v>
      </c>
      <c r="C21" s="251"/>
      <c r="D21" s="251"/>
      <c r="E21" s="251"/>
      <c r="F21" s="251"/>
      <c r="G21" s="251"/>
      <c r="H21" s="251"/>
      <c r="I21" s="251"/>
      <c r="J21" s="251"/>
      <c r="K21" s="251"/>
      <c r="L21" s="251"/>
      <c r="M21" s="251"/>
    </row>
  </sheetData>
  <mergeCells count="2">
    <mergeCell ref="B20:M20"/>
    <mergeCell ref="B21:M2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U84"/>
  <sheetViews>
    <sheetView workbookViewId="0"/>
  </sheetViews>
  <sheetFormatPr defaultColWidth="9" defaultRowHeight="15" x14ac:dyDescent="0.25"/>
  <cols>
    <col min="1" max="1" width="4.625" style="68" customWidth="1"/>
    <col min="2" max="2" width="22.625" style="68" bestFit="1" customWidth="1"/>
    <col min="3" max="3" width="18.5" style="68" bestFit="1" customWidth="1"/>
    <col min="4" max="4" width="7.875" style="68" bestFit="1" customWidth="1"/>
    <col min="5" max="6" width="8.5" style="68" bestFit="1" customWidth="1"/>
    <col min="7" max="7" width="7.625" style="68" bestFit="1" customWidth="1"/>
    <col min="8" max="11" width="9.5" style="68" bestFit="1" customWidth="1"/>
    <col min="12" max="12" width="25.875" style="68" bestFit="1" customWidth="1"/>
    <col min="13" max="13" width="22.625" style="68" bestFit="1" customWidth="1"/>
    <col min="14" max="14" width="5.5" style="68" bestFit="1" customWidth="1"/>
    <col min="15" max="15" width="8.5" style="68" bestFit="1" customWidth="1"/>
    <col min="16" max="16" width="6.75" style="68" bestFit="1" customWidth="1"/>
    <col min="17" max="17" width="6.875" style="68" bestFit="1" customWidth="1"/>
    <col min="18" max="20" width="7" style="68" bestFit="1" customWidth="1"/>
    <col min="21" max="21" width="7.875" style="68" bestFit="1" customWidth="1"/>
    <col min="22" max="16384" width="9" style="68"/>
  </cols>
  <sheetData>
    <row r="2" spans="1:21" x14ac:dyDescent="0.25">
      <c r="B2" s="256" t="s">
        <v>85</v>
      </c>
      <c r="C2" s="256"/>
      <c r="D2" s="256"/>
      <c r="E2" s="256"/>
      <c r="F2" s="256"/>
      <c r="G2" s="256"/>
      <c r="H2" s="256"/>
      <c r="I2" s="256"/>
      <c r="J2" s="256"/>
      <c r="K2" s="256"/>
      <c r="L2" s="256"/>
      <c r="M2" s="256"/>
      <c r="N2" s="256"/>
      <c r="O2" s="256"/>
      <c r="P2" s="256"/>
      <c r="Q2" s="256"/>
      <c r="R2" s="256"/>
      <c r="S2" s="256"/>
      <c r="T2" s="256"/>
      <c r="U2" s="256"/>
    </row>
    <row r="4" spans="1:21" x14ac:dyDescent="0.25">
      <c r="A4" s="69"/>
      <c r="B4" s="252" t="s">
        <v>504</v>
      </c>
      <c r="C4" s="252"/>
      <c r="D4" s="252"/>
      <c r="E4" s="252"/>
      <c r="F4" s="252"/>
      <c r="G4" s="252"/>
      <c r="H4" s="252"/>
      <c r="I4" s="252"/>
      <c r="J4" s="252"/>
      <c r="K4" s="252"/>
      <c r="L4" s="252"/>
      <c r="M4" s="252"/>
      <c r="N4" s="252"/>
      <c r="O4" s="252"/>
      <c r="P4" s="252"/>
      <c r="Q4" s="252"/>
      <c r="R4" s="252"/>
      <c r="S4" s="252"/>
      <c r="T4" s="252"/>
      <c r="U4" s="252"/>
    </row>
    <row r="5" spans="1:21" ht="30" customHeight="1" x14ac:dyDescent="0.25">
      <c r="A5" s="253" t="s">
        <v>87</v>
      </c>
      <c r="B5" s="70" t="s">
        <v>88</v>
      </c>
      <c r="C5" s="70" t="s">
        <v>89</v>
      </c>
      <c r="D5" s="70" t="s">
        <v>90</v>
      </c>
      <c r="E5" s="70" t="s">
        <v>91</v>
      </c>
      <c r="F5" s="70" t="s">
        <v>92</v>
      </c>
      <c r="G5" s="70" t="s">
        <v>93</v>
      </c>
      <c r="H5" s="70" t="s">
        <v>94</v>
      </c>
      <c r="I5" s="70" t="s">
        <v>95</v>
      </c>
      <c r="J5" s="70" t="s">
        <v>96</v>
      </c>
      <c r="K5" s="70" t="s">
        <v>97</v>
      </c>
      <c r="L5" s="70" t="s">
        <v>98</v>
      </c>
      <c r="M5" s="70" t="s">
        <v>99</v>
      </c>
      <c r="N5" s="70" t="s">
        <v>100</v>
      </c>
      <c r="O5" s="70" t="s">
        <v>101</v>
      </c>
      <c r="P5" s="70" t="s">
        <v>102</v>
      </c>
      <c r="Q5" s="70" t="s">
        <v>103</v>
      </c>
      <c r="R5" s="70" t="s">
        <v>104</v>
      </c>
      <c r="S5" s="70" t="s">
        <v>105</v>
      </c>
      <c r="T5" s="70" t="s">
        <v>106</v>
      </c>
      <c r="U5" s="70" t="s">
        <v>107</v>
      </c>
    </row>
    <row r="6" spans="1:21" x14ac:dyDescent="0.25">
      <c r="A6" s="254"/>
      <c r="B6" s="68" t="s">
        <v>108</v>
      </c>
      <c r="C6" s="68" t="str">
        <f>IF(B6&gt;0,VLOOKUP($B6,Implement!$B$5:$AF$412,6,FALSE)," ")</f>
        <v>Spray (Broadcast) 27'</v>
      </c>
      <c r="D6" s="71" t="str">
        <f t="shared" ref="D6:D12" si="0">IF(B6&gt;0,VLOOKUP($B6,implement,5,FALSE),0)</f>
        <v>27'</v>
      </c>
      <c r="E6" s="72">
        <f t="shared" ref="E6:E12" si="1">IF(B6&gt;0,VLOOKUP($B6,implement,11,FALSE),0)</f>
        <v>6.2678062678062682E-2</v>
      </c>
      <c r="F6" s="71">
        <v>2</v>
      </c>
      <c r="G6" s="72">
        <f t="shared" ref="G6:G12" si="2">F6*E6</f>
        <v>0.12535612535612536</v>
      </c>
      <c r="H6" s="73">
        <f t="shared" ref="H6:H12" si="3">IF(B6&gt;0,VLOOKUP($B6,implement,24,FALSE),0)</f>
        <v>2.7234375000000002</v>
      </c>
      <c r="I6" s="73">
        <f t="shared" ref="I6:I12" si="4">H6*G6</f>
        <v>0.34139957264957271</v>
      </c>
      <c r="J6" s="73">
        <f t="shared" ref="J6:J12" si="5">IF(B6&gt;0,VLOOKUP($B6,implement,31,FALSE),0)</f>
        <v>4.4969399999999995</v>
      </c>
      <c r="K6" s="73">
        <f t="shared" ref="K6:K12" si="6">J6*G6</f>
        <v>0.56371897435897433</v>
      </c>
      <c r="L6" s="68" t="s">
        <v>109</v>
      </c>
      <c r="M6" s="68" t="str">
        <f t="shared" ref="M6:M12" si="7">IF(K6&gt;0,VLOOKUP($L6,tractor_data,6)," ")</f>
        <v>Tractor (60-89 hp) 2WD 75</v>
      </c>
      <c r="N6" s="74">
        <f t="shared" ref="N6:N12" si="8">IF(L6&gt;0,VLOOKUP($L6,tractor_data,8),0)</f>
        <v>3.8603999999999998</v>
      </c>
      <c r="O6" s="74">
        <f t="shared" ref="O6:O12" si="9">N6*G6</f>
        <v>0.48392478632478636</v>
      </c>
      <c r="P6" s="73">
        <f t="shared" ref="P6:P12" si="10">IF(L6&gt;0,VLOOKUP($L6,tractor_data,17),0)</f>
        <v>6.2053571428571432</v>
      </c>
      <c r="Q6" s="73">
        <f t="shared" ref="Q6:Q12" si="11">P6*G6</f>
        <v>0.77787952787952797</v>
      </c>
      <c r="R6" s="73">
        <f t="shared" ref="R6:R12" si="12">I6+Q6</f>
        <v>1.1192791005291007</v>
      </c>
      <c r="S6" s="73">
        <f t="shared" ref="S6:S12" si="13">IF(L6&gt;0,VLOOKUP($L6,tractor_data,24),0)</f>
        <v>14.54204761904762</v>
      </c>
      <c r="T6" s="73">
        <f t="shared" ref="T6:T12" si="14">S6*G6</f>
        <v>1.8229347442680779</v>
      </c>
      <c r="U6" s="73">
        <f t="shared" ref="U6:U12" si="15">T6+K6</f>
        <v>2.386653718627052</v>
      </c>
    </row>
    <row r="7" spans="1:21" x14ac:dyDescent="0.25">
      <c r="A7" s="254"/>
      <c r="B7" s="68" t="s">
        <v>110</v>
      </c>
      <c r="C7" s="68" t="str">
        <f>IF(B7&gt;0,VLOOKUP($B7,Implement!$B$5:$AF$412,6,FALSE)," ")</f>
        <v>Rotary Mower 12'</v>
      </c>
      <c r="D7" s="71" t="str">
        <f t="shared" si="0"/>
        <v>12'</v>
      </c>
      <c r="E7" s="72">
        <f t="shared" si="1"/>
        <v>9.8214285714285712E-2</v>
      </c>
      <c r="F7" s="71">
        <v>1</v>
      </c>
      <c r="G7" s="72">
        <f t="shared" si="2"/>
        <v>9.8214285714285712E-2</v>
      </c>
      <c r="H7" s="73">
        <f t="shared" si="3"/>
        <v>16.378378378378379</v>
      </c>
      <c r="I7" s="73">
        <f t="shared" si="4"/>
        <v>1.6085907335907337</v>
      </c>
      <c r="J7" s="73">
        <f t="shared" si="5"/>
        <v>15.734162162162161</v>
      </c>
      <c r="K7" s="73">
        <f t="shared" si="6"/>
        <v>1.545319498069498</v>
      </c>
      <c r="L7" s="68" t="s">
        <v>111</v>
      </c>
      <c r="M7" s="68" t="str">
        <f t="shared" si="7"/>
        <v>Tractor (90-119 hp) 2WD 105</v>
      </c>
      <c r="N7" s="74">
        <f t="shared" si="8"/>
        <v>5.4046000000000003</v>
      </c>
      <c r="O7" s="74">
        <f t="shared" si="9"/>
        <v>0.53080892857142858</v>
      </c>
      <c r="P7" s="73">
        <f t="shared" si="10"/>
        <v>6.5428571428571427</v>
      </c>
      <c r="Q7" s="73">
        <f t="shared" si="11"/>
        <v>0.64260204081632655</v>
      </c>
      <c r="R7" s="73">
        <f t="shared" si="12"/>
        <v>2.2511927744070603</v>
      </c>
      <c r="S7" s="73">
        <f t="shared" si="13"/>
        <v>19.166209523809528</v>
      </c>
      <c r="T7" s="73">
        <f t="shared" si="14"/>
        <v>1.8823955782312929</v>
      </c>
      <c r="U7" s="73">
        <f t="shared" si="15"/>
        <v>3.4277150763007906</v>
      </c>
    </row>
    <row r="8" spans="1:21" x14ac:dyDescent="0.25">
      <c r="A8" s="254"/>
      <c r="C8" s="68" t="str">
        <f>IF(B8&gt;0,VLOOKUP($B8,Implement!$B$5:$AF$412,6,FALSE)," ")</f>
        <v xml:space="preserve"> </v>
      </c>
      <c r="D8" s="71">
        <f t="shared" si="0"/>
        <v>0</v>
      </c>
      <c r="E8" s="72">
        <f t="shared" si="1"/>
        <v>0</v>
      </c>
      <c r="F8" s="71">
        <v>0</v>
      </c>
      <c r="G8" s="72">
        <f t="shared" si="2"/>
        <v>0</v>
      </c>
      <c r="H8" s="73">
        <f t="shared" si="3"/>
        <v>0</v>
      </c>
      <c r="I8" s="73">
        <f t="shared" si="4"/>
        <v>0</v>
      </c>
      <c r="J8" s="73">
        <f t="shared" si="5"/>
        <v>0</v>
      </c>
      <c r="K8" s="73">
        <f t="shared" si="6"/>
        <v>0</v>
      </c>
      <c r="M8" s="68" t="str">
        <f t="shared" si="7"/>
        <v xml:space="preserve"> </v>
      </c>
      <c r="N8" s="74">
        <f t="shared" si="8"/>
        <v>0</v>
      </c>
      <c r="O8" s="74">
        <f t="shared" si="9"/>
        <v>0</v>
      </c>
      <c r="P8" s="73">
        <f t="shared" si="10"/>
        <v>0</v>
      </c>
      <c r="Q8" s="73">
        <f t="shared" si="11"/>
        <v>0</v>
      </c>
      <c r="R8" s="73">
        <f t="shared" si="12"/>
        <v>0</v>
      </c>
      <c r="S8" s="73">
        <f t="shared" si="13"/>
        <v>0</v>
      </c>
      <c r="T8" s="73">
        <f t="shared" si="14"/>
        <v>0</v>
      </c>
      <c r="U8" s="73">
        <f t="shared" si="15"/>
        <v>0</v>
      </c>
    </row>
    <row r="9" spans="1:21" x14ac:dyDescent="0.25">
      <c r="A9" s="254"/>
      <c r="C9" s="68" t="str">
        <f>IF(B9&gt;0,VLOOKUP($B9,Implement!$B$5:$AF$412,6,FALSE)," ")</f>
        <v xml:space="preserve"> </v>
      </c>
      <c r="D9" s="71">
        <f t="shared" si="0"/>
        <v>0</v>
      </c>
      <c r="E9" s="72">
        <f t="shared" si="1"/>
        <v>0</v>
      </c>
      <c r="F9" s="71">
        <v>0</v>
      </c>
      <c r="G9" s="72">
        <f t="shared" si="2"/>
        <v>0</v>
      </c>
      <c r="H9" s="73">
        <f t="shared" si="3"/>
        <v>0</v>
      </c>
      <c r="I9" s="73">
        <f t="shared" si="4"/>
        <v>0</v>
      </c>
      <c r="J9" s="73">
        <f t="shared" si="5"/>
        <v>0</v>
      </c>
      <c r="K9" s="73">
        <f t="shared" si="6"/>
        <v>0</v>
      </c>
      <c r="M9" s="68" t="str">
        <f t="shared" si="7"/>
        <v xml:space="preserve"> </v>
      </c>
      <c r="N9" s="74">
        <f t="shared" si="8"/>
        <v>0</v>
      </c>
      <c r="O9" s="74">
        <f t="shared" si="9"/>
        <v>0</v>
      </c>
      <c r="P9" s="73">
        <f t="shared" si="10"/>
        <v>0</v>
      </c>
      <c r="Q9" s="73">
        <f t="shared" si="11"/>
        <v>0</v>
      </c>
      <c r="R9" s="73">
        <f t="shared" si="12"/>
        <v>0</v>
      </c>
      <c r="S9" s="73">
        <f t="shared" si="13"/>
        <v>0</v>
      </c>
      <c r="T9" s="73">
        <f t="shared" si="14"/>
        <v>0</v>
      </c>
      <c r="U9" s="73">
        <f t="shared" si="15"/>
        <v>0</v>
      </c>
    </row>
    <row r="10" spans="1:21" x14ac:dyDescent="0.25">
      <c r="A10" s="254"/>
      <c r="C10" s="68" t="str">
        <f>IF(B10&gt;0,VLOOKUP($B10,Implement!$B$5:$AF$412,6,FALSE)," ")</f>
        <v xml:space="preserve"> </v>
      </c>
      <c r="D10" s="71">
        <f t="shared" si="0"/>
        <v>0</v>
      </c>
      <c r="E10" s="72">
        <f t="shared" si="1"/>
        <v>0</v>
      </c>
      <c r="F10" s="71">
        <v>0</v>
      </c>
      <c r="G10" s="72">
        <f t="shared" si="2"/>
        <v>0</v>
      </c>
      <c r="H10" s="73">
        <f t="shared" si="3"/>
        <v>0</v>
      </c>
      <c r="I10" s="73">
        <f t="shared" si="4"/>
        <v>0</v>
      </c>
      <c r="J10" s="73">
        <f t="shared" si="5"/>
        <v>0</v>
      </c>
      <c r="K10" s="73">
        <f t="shared" si="6"/>
        <v>0</v>
      </c>
      <c r="M10" s="68" t="str">
        <f t="shared" si="7"/>
        <v xml:space="preserve"> </v>
      </c>
      <c r="N10" s="74">
        <f t="shared" si="8"/>
        <v>0</v>
      </c>
      <c r="O10" s="74">
        <f t="shared" si="9"/>
        <v>0</v>
      </c>
      <c r="P10" s="73">
        <f t="shared" si="10"/>
        <v>0</v>
      </c>
      <c r="Q10" s="73">
        <f t="shared" si="11"/>
        <v>0</v>
      </c>
      <c r="R10" s="73">
        <f t="shared" si="12"/>
        <v>0</v>
      </c>
      <c r="S10" s="73">
        <f t="shared" si="13"/>
        <v>0</v>
      </c>
      <c r="T10" s="73">
        <f t="shared" si="14"/>
        <v>0</v>
      </c>
      <c r="U10" s="73">
        <f t="shared" si="15"/>
        <v>0</v>
      </c>
    </row>
    <row r="11" spans="1:21" x14ac:dyDescent="0.25">
      <c r="A11" s="254"/>
      <c r="C11" s="68" t="str">
        <f>IF(B11&gt;0,VLOOKUP($B11,Implement!$B$5:$AF$412,6,FALSE)," ")</f>
        <v xml:space="preserve"> </v>
      </c>
      <c r="D11" s="71">
        <f t="shared" si="0"/>
        <v>0</v>
      </c>
      <c r="E11" s="72">
        <f t="shared" si="1"/>
        <v>0</v>
      </c>
      <c r="F11" s="71">
        <v>0</v>
      </c>
      <c r="G11" s="72">
        <f t="shared" si="2"/>
        <v>0</v>
      </c>
      <c r="H11" s="73">
        <f t="shared" si="3"/>
        <v>0</v>
      </c>
      <c r="I11" s="73">
        <f t="shared" si="4"/>
        <v>0</v>
      </c>
      <c r="J11" s="73">
        <f t="shared" si="5"/>
        <v>0</v>
      </c>
      <c r="K11" s="73">
        <f t="shared" si="6"/>
        <v>0</v>
      </c>
      <c r="M11" s="68" t="str">
        <f t="shared" si="7"/>
        <v xml:space="preserve"> </v>
      </c>
      <c r="N11" s="74">
        <f t="shared" si="8"/>
        <v>0</v>
      </c>
      <c r="O11" s="74">
        <f t="shared" si="9"/>
        <v>0</v>
      </c>
      <c r="P11" s="73">
        <f t="shared" si="10"/>
        <v>0</v>
      </c>
      <c r="Q11" s="73">
        <f t="shared" si="11"/>
        <v>0</v>
      </c>
      <c r="R11" s="73">
        <f t="shared" si="12"/>
        <v>0</v>
      </c>
      <c r="S11" s="73">
        <f t="shared" si="13"/>
        <v>0</v>
      </c>
      <c r="T11" s="73">
        <f t="shared" si="14"/>
        <v>0</v>
      </c>
      <c r="U11" s="73">
        <f t="shared" si="15"/>
        <v>0</v>
      </c>
    </row>
    <row r="12" spans="1:21" x14ac:dyDescent="0.25">
      <c r="A12" s="254"/>
      <c r="C12" s="68" t="str">
        <f>IF(B12&gt;0,VLOOKUP($B12,Implement!$B$5:$AF$412,6,FALSE)," ")</f>
        <v xml:space="preserve"> </v>
      </c>
      <c r="D12" s="71">
        <f t="shared" si="0"/>
        <v>0</v>
      </c>
      <c r="E12" s="72">
        <f t="shared" si="1"/>
        <v>0</v>
      </c>
      <c r="F12" s="71">
        <v>0</v>
      </c>
      <c r="G12" s="72">
        <f t="shared" si="2"/>
        <v>0</v>
      </c>
      <c r="H12" s="73">
        <f t="shared" si="3"/>
        <v>0</v>
      </c>
      <c r="I12" s="73">
        <f t="shared" si="4"/>
        <v>0</v>
      </c>
      <c r="J12" s="73">
        <f t="shared" si="5"/>
        <v>0</v>
      </c>
      <c r="K12" s="73">
        <f t="shared" si="6"/>
        <v>0</v>
      </c>
      <c r="M12" s="68" t="str">
        <f t="shared" si="7"/>
        <v xml:space="preserve"> </v>
      </c>
      <c r="N12" s="74">
        <f t="shared" si="8"/>
        <v>0</v>
      </c>
      <c r="O12" s="74">
        <f t="shared" si="9"/>
        <v>0</v>
      </c>
      <c r="P12" s="73">
        <f t="shared" si="10"/>
        <v>0</v>
      </c>
      <c r="Q12" s="73">
        <f t="shared" si="11"/>
        <v>0</v>
      </c>
      <c r="R12" s="73">
        <f t="shared" si="12"/>
        <v>0</v>
      </c>
      <c r="S12" s="73">
        <f t="shared" si="13"/>
        <v>0</v>
      </c>
      <c r="T12" s="73">
        <f t="shared" si="14"/>
        <v>0</v>
      </c>
      <c r="U12" s="73">
        <f t="shared" si="15"/>
        <v>0</v>
      </c>
    </row>
    <row r="13" spans="1:21" x14ac:dyDescent="0.25">
      <c r="A13" s="255"/>
      <c r="B13" s="75"/>
      <c r="C13" s="75"/>
      <c r="D13" s="76"/>
      <c r="E13" s="76"/>
      <c r="F13" s="76"/>
      <c r="G13" s="77">
        <f>SUM(G6:G12)</f>
        <v>0.22357041107041109</v>
      </c>
      <c r="H13" s="75"/>
      <c r="I13" s="75"/>
      <c r="J13" s="75"/>
      <c r="K13" s="75"/>
      <c r="L13" s="75"/>
      <c r="M13" s="75"/>
      <c r="N13" s="78"/>
      <c r="O13" s="78">
        <f>SUM(O6:O12)</f>
        <v>1.014733714896215</v>
      </c>
      <c r="P13" s="79"/>
      <c r="Q13" s="79"/>
      <c r="R13" s="79">
        <f>SUM(R6:R12)</f>
        <v>3.3704718749361611</v>
      </c>
      <c r="S13" s="79"/>
      <c r="T13" s="79"/>
      <c r="U13" s="79">
        <f>SUM(U6:U12)</f>
        <v>5.8143687949278426</v>
      </c>
    </row>
    <row r="16" spans="1:21" x14ac:dyDescent="0.25">
      <c r="A16" s="69"/>
      <c r="B16" s="252" t="s">
        <v>86</v>
      </c>
      <c r="C16" s="252"/>
      <c r="D16" s="252"/>
      <c r="E16" s="252"/>
      <c r="F16" s="252"/>
      <c r="G16" s="252"/>
      <c r="H16" s="252"/>
      <c r="I16" s="252"/>
      <c r="J16" s="252"/>
      <c r="K16" s="252"/>
      <c r="L16" s="252"/>
      <c r="M16" s="252"/>
      <c r="N16" s="252"/>
      <c r="O16" s="252"/>
      <c r="P16" s="252"/>
      <c r="Q16" s="252"/>
      <c r="R16" s="252"/>
      <c r="S16" s="252"/>
      <c r="T16" s="252"/>
      <c r="U16" s="252"/>
    </row>
    <row r="17" spans="1:21" ht="30" customHeight="1" x14ac:dyDescent="0.25">
      <c r="A17" s="253" t="s">
        <v>87</v>
      </c>
      <c r="B17" s="70" t="s">
        <v>88</v>
      </c>
      <c r="C17" s="70" t="s">
        <v>89</v>
      </c>
      <c r="D17" s="70" t="s">
        <v>90</v>
      </c>
      <c r="E17" s="70" t="s">
        <v>91</v>
      </c>
      <c r="F17" s="70" t="s">
        <v>92</v>
      </c>
      <c r="G17" s="70" t="s">
        <v>93</v>
      </c>
      <c r="H17" s="70" t="s">
        <v>94</v>
      </c>
      <c r="I17" s="70" t="s">
        <v>95</v>
      </c>
      <c r="J17" s="70" t="s">
        <v>96</v>
      </c>
      <c r="K17" s="70" t="s">
        <v>97</v>
      </c>
      <c r="L17" s="70" t="s">
        <v>98</v>
      </c>
      <c r="M17" s="70" t="s">
        <v>99</v>
      </c>
      <c r="N17" s="70" t="s">
        <v>100</v>
      </c>
      <c r="O17" s="70" t="s">
        <v>101</v>
      </c>
      <c r="P17" s="70" t="s">
        <v>102</v>
      </c>
      <c r="Q17" s="70" t="s">
        <v>103</v>
      </c>
      <c r="R17" s="70" t="s">
        <v>104</v>
      </c>
      <c r="S17" s="70" t="s">
        <v>105</v>
      </c>
      <c r="T17" s="70" t="s">
        <v>106</v>
      </c>
      <c r="U17" s="70" t="s">
        <v>107</v>
      </c>
    </row>
    <row r="18" spans="1:21" x14ac:dyDescent="0.25">
      <c r="A18" s="254"/>
      <c r="B18" s="68" t="s">
        <v>108</v>
      </c>
      <c r="C18" s="68" t="str">
        <f>IF(B18&gt;0,VLOOKUP($B18,Implement!$B$5:$AF$412,6,FALSE)," ")</f>
        <v>Spray (Broadcast) 27'</v>
      </c>
      <c r="D18" s="71" t="str">
        <f t="shared" ref="D18:D24" si="16">IF(B18&gt;0,VLOOKUP($B18,implement,5,FALSE),0)</f>
        <v>27'</v>
      </c>
      <c r="E18" s="72">
        <f t="shared" ref="E18:E24" si="17">IF(B18&gt;0,VLOOKUP($B18,implement,11,FALSE),0)</f>
        <v>6.2678062678062682E-2</v>
      </c>
      <c r="F18" s="71">
        <v>2</v>
      </c>
      <c r="G18" s="72">
        <f t="shared" ref="G18:G24" si="18">F18*E18</f>
        <v>0.12535612535612536</v>
      </c>
      <c r="H18" s="73">
        <f t="shared" ref="H18:H24" si="19">IF(B18&gt;0,VLOOKUP($B18,implement,24,FALSE),0)</f>
        <v>2.7234375000000002</v>
      </c>
      <c r="I18" s="73">
        <f t="shared" ref="I18:I24" si="20">H18*G18</f>
        <v>0.34139957264957271</v>
      </c>
      <c r="J18" s="73">
        <f t="shared" ref="J18:J24" si="21">IF(B18&gt;0,VLOOKUP($B18,implement,31,FALSE),0)</f>
        <v>4.4969399999999995</v>
      </c>
      <c r="K18" s="73">
        <f t="shared" ref="K18:K24" si="22">J18*G18</f>
        <v>0.56371897435897433</v>
      </c>
      <c r="L18" s="68" t="s">
        <v>109</v>
      </c>
      <c r="M18" s="68" t="str">
        <f t="shared" ref="M18:M24" si="23">IF(K18&gt;0,VLOOKUP($L18,tractor_data,6)," ")</f>
        <v>Tractor (60-89 hp) 2WD 75</v>
      </c>
      <c r="N18" s="74">
        <f t="shared" ref="N18:N24" si="24">IF(L18&gt;0,VLOOKUP($L18,tractor_data,8),0)</f>
        <v>3.8603999999999998</v>
      </c>
      <c r="O18" s="74">
        <f t="shared" ref="O18:O24" si="25">N18*G18</f>
        <v>0.48392478632478636</v>
      </c>
      <c r="P18" s="73">
        <f t="shared" ref="P18:P24" si="26">IF(L18&gt;0,VLOOKUP($L18,tractor_data,17),0)</f>
        <v>6.2053571428571432</v>
      </c>
      <c r="Q18" s="73">
        <f t="shared" ref="Q18:Q24" si="27">P18*G18</f>
        <v>0.77787952787952797</v>
      </c>
      <c r="R18" s="73">
        <f t="shared" ref="R18:R24" si="28">I18+Q18</f>
        <v>1.1192791005291007</v>
      </c>
      <c r="S18" s="73">
        <f t="shared" ref="S18:S24" si="29">IF(L18&gt;0,VLOOKUP($L18,tractor_data,24),0)</f>
        <v>14.54204761904762</v>
      </c>
      <c r="T18" s="73">
        <f t="shared" ref="T18:T24" si="30">S18*G18</f>
        <v>1.8229347442680779</v>
      </c>
      <c r="U18" s="73">
        <f t="shared" ref="U18:U24" si="31">T18+K18</f>
        <v>2.386653718627052</v>
      </c>
    </row>
    <row r="19" spans="1:21" x14ac:dyDescent="0.25">
      <c r="A19" s="254"/>
      <c r="B19" s="68" t="s">
        <v>110</v>
      </c>
      <c r="C19" s="68" t="str">
        <f>IF(B19&gt;0,VLOOKUP($B19,Implement!$B$5:$AF$412,6,FALSE)," ")</f>
        <v>Rotary Mower 12'</v>
      </c>
      <c r="D19" s="71" t="str">
        <f t="shared" si="16"/>
        <v>12'</v>
      </c>
      <c r="E19" s="72">
        <f t="shared" si="17"/>
        <v>9.8214285714285712E-2</v>
      </c>
      <c r="F19" s="71">
        <v>1</v>
      </c>
      <c r="G19" s="72">
        <f t="shared" si="18"/>
        <v>9.8214285714285712E-2</v>
      </c>
      <c r="H19" s="73">
        <f t="shared" si="19"/>
        <v>16.378378378378379</v>
      </c>
      <c r="I19" s="73">
        <f t="shared" si="20"/>
        <v>1.6085907335907337</v>
      </c>
      <c r="J19" s="73">
        <f t="shared" si="21"/>
        <v>15.734162162162161</v>
      </c>
      <c r="K19" s="73">
        <f t="shared" si="22"/>
        <v>1.545319498069498</v>
      </c>
      <c r="L19" s="68" t="s">
        <v>111</v>
      </c>
      <c r="M19" s="68" t="str">
        <f t="shared" si="23"/>
        <v>Tractor (90-119 hp) 2WD 105</v>
      </c>
      <c r="N19" s="74">
        <f t="shared" si="24"/>
        <v>5.4046000000000003</v>
      </c>
      <c r="O19" s="74">
        <f t="shared" si="25"/>
        <v>0.53080892857142858</v>
      </c>
      <c r="P19" s="73">
        <f t="shared" si="26"/>
        <v>6.5428571428571427</v>
      </c>
      <c r="Q19" s="73">
        <f t="shared" si="27"/>
        <v>0.64260204081632655</v>
      </c>
      <c r="R19" s="73">
        <f t="shared" si="28"/>
        <v>2.2511927744070603</v>
      </c>
      <c r="S19" s="73">
        <f t="shared" si="29"/>
        <v>19.166209523809528</v>
      </c>
      <c r="T19" s="73">
        <f t="shared" si="30"/>
        <v>1.8823955782312929</v>
      </c>
      <c r="U19" s="73">
        <f t="shared" si="31"/>
        <v>3.4277150763007906</v>
      </c>
    </row>
    <row r="20" spans="1:21" x14ac:dyDescent="0.25">
      <c r="A20" s="254"/>
      <c r="C20" s="68" t="str">
        <f>IF(B20&gt;0,VLOOKUP($B20,Implement!$B$5:$AF$412,6,FALSE)," ")</f>
        <v xml:space="preserve"> </v>
      </c>
      <c r="D20" s="71">
        <f t="shared" si="16"/>
        <v>0</v>
      </c>
      <c r="E20" s="72">
        <f t="shared" si="17"/>
        <v>0</v>
      </c>
      <c r="F20" s="71">
        <v>0</v>
      </c>
      <c r="G20" s="72">
        <f t="shared" si="18"/>
        <v>0</v>
      </c>
      <c r="H20" s="73">
        <f t="shared" si="19"/>
        <v>0</v>
      </c>
      <c r="I20" s="73">
        <f t="shared" si="20"/>
        <v>0</v>
      </c>
      <c r="J20" s="73">
        <f t="shared" si="21"/>
        <v>0</v>
      </c>
      <c r="K20" s="73">
        <f t="shared" si="22"/>
        <v>0</v>
      </c>
      <c r="M20" s="68" t="str">
        <f t="shared" si="23"/>
        <v xml:space="preserve"> </v>
      </c>
      <c r="N20" s="74">
        <f t="shared" si="24"/>
        <v>0</v>
      </c>
      <c r="O20" s="74">
        <f t="shared" si="25"/>
        <v>0</v>
      </c>
      <c r="P20" s="73">
        <f t="shared" si="26"/>
        <v>0</v>
      </c>
      <c r="Q20" s="73">
        <f t="shared" si="27"/>
        <v>0</v>
      </c>
      <c r="R20" s="73">
        <f t="shared" si="28"/>
        <v>0</v>
      </c>
      <c r="S20" s="73">
        <f t="shared" si="29"/>
        <v>0</v>
      </c>
      <c r="T20" s="73">
        <f t="shared" si="30"/>
        <v>0</v>
      </c>
      <c r="U20" s="73">
        <f t="shared" si="31"/>
        <v>0</v>
      </c>
    </row>
    <row r="21" spans="1:21" x14ac:dyDescent="0.25">
      <c r="A21" s="254"/>
      <c r="C21" s="68" t="str">
        <f>IF(B21&gt;0,VLOOKUP($B21,Implement!$B$5:$AF$412,6,FALSE)," ")</f>
        <v xml:space="preserve"> </v>
      </c>
      <c r="D21" s="71">
        <f t="shared" si="16"/>
        <v>0</v>
      </c>
      <c r="E21" s="72">
        <f t="shared" si="17"/>
        <v>0</v>
      </c>
      <c r="F21" s="71">
        <v>0</v>
      </c>
      <c r="G21" s="72">
        <f t="shared" si="18"/>
        <v>0</v>
      </c>
      <c r="H21" s="73">
        <f t="shared" si="19"/>
        <v>0</v>
      </c>
      <c r="I21" s="73">
        <f t="shared" si="20"/>
        <v>0</v>
      </c>
      <c r="J21" s="73">
        <f t="shared" si="21"/>
        <v>0</v>
      </c>
      <c r="K21" s="73">
        <f t="shared" si="22"/>
        <v>0</v>
      </c>
      <c r="M21" s="68" t="str">
        <f t="shared" si="23"/>
        <v xml:space="preserve"> </v>
      </c>
      <c r="N21" s="74">
        <f t="shared" si="24"/>
        <v>0</v>
      </c>
      <c r="O21" s="74">
        <f t="shared" si="25"/>
        <v>0</v>
      </c>
      <c r="P21" s="73">
        <f t="shared" si="26"/>
        <v>0</v>
      </c>
      <c r="Q21" s="73">
        <f t="shared" si="27"/>
        <v>0</v>
      </c>
      <c r="R21" s="73">
        <f t="shared" si="28"/>
        <v>0</v>
      </c>
      <c r="S21" s="73">
        <f t="shared" si="29"/>
        <v>0</v>
      </c>
      <c r="T21" s="73">
        <f t="shared" si="30"/>
        <v>0</v>
      </c>
      <c r="U21" s="73">
        <f t="shared" si="31"/>
        <v>0</v>
      </c>
    </row>
    <row r="22" spans="1:21" x14ac:dyDescent="0.25">
      <c r="A22" s="254"/>
      <c r="C22" s="68" t="str">
        <f>IF(B22&gt;0,VLOOKUP($B22,Implement!$B$5:$AF$412,6,FALSE)," ")</f>
        <v xml:space="preserve"> </v>
      </c>
      <c r="D22" s="71">
        <f t="shared" si="16"/>
        <v>0</v>
      </c>
      <c r="E22" s="72">
        <f t="shared" si="17"/>
        <v>0</v>
      </c>
      <c r="F22" s="71">
        <v>0</v>
      </c>
      <c r="G22" s="72">
        <f t="shared" si="18"/>
        <v>0</v>
      </c>
      <c r="H22" s="73">
        <f t="shared" si="19"/>
        <v>0</v>
      </c>
      <c r="I22" s="73">
        <f t="shared" si="20"/>
        <v>0</v>
      </c>
      <c r="J22" s="73">
        <f t="shared" si="21"/>
        <v>0</v>
      </c>
      <c r="K22" s="73">
        <f t="shared" si="22"/>
        <v>0</v>
      </c>
      <c r="M22" s="68" t="str">
        <f t="shared" si="23"/>
        <v xml:space="preserve"> </v>
      </c>
      <c r="N22" s="74">
        <f t="shared" si="24"/>
        <v>0</v>
      </c>
      <c r="O22" s="74">
        <f t="shared" si="25"/>
        <v>0</v>
      </c>
      <c r="P22" s="73">
        <f t="shared" si="26"/>
        <v>0</v>
      </c>
      <c r="Q22" s="73">
        <f t="shared" si="27"/>
        <v>0</v>
      </c>
      <c r="R22" s="73">
        <f t="shared" si="28"/>
        <v>0</v>
      </c>
      <c r="S22" s="73">
        <f t="shared" si="29"/>
        <v>0</v>
      </c>
      <c r="T22" s="73">
        <f t="shared" si="30"/>
        <v>0</v>
      </c>
      <c r="U22" s="73">
        <f t="shared" si="31"/>
        <v>0</v>
      </c>
    </row>
    <row r="23" spans="1:21" x14ac:dyDescent="0.25">
      <c r="A23" s="254"/>
      <c r="C23" s="68" t="str">
        <f>IF(B23&gt;0,VLOOKUP($B23,Implement!$B$5:$AF$412,6,FALSE)," ")</f>
        <v xml:space="preserve"> </v>
      </c>
      <c r="D23" s="71">
        <f t="shared" si="16"/>
        <v>0</v>
      </c>
      <c r="E23" s="72">
        <f t="shared" si="17"/>
        <v>0</v>
      </c>
      <c r="F23" s="71">
        <v>0</v>
      </c>
      <c r="G23" s="72">
        <f t="shared" si="18"/>
        <v>0</v>
      </c>
      <c r="H23" s="73">
        <f t="shared" si="19"/>
        <v>0</v>
      </c>
      <c r="I23" s="73">
        <f t="shared" si="20"/>
        <v>0</v>
      </c>
      <c r="J23" s="73">
        <f t="shared" si="21"/>
        <v>0</v>
      </c>
      <c r="K23" s="73">
        <f t="shared" si="22"/>
        <v>0</v>
      </c>
      <c r="M23" s="68" t="str">
        <f t="shared" si="23"/>
        <v xml:space="preserve"> </v>
      </c>
      <c r="N23" s="74">
        <f t="shared" si="24"/>
        <v>0</v>
      </c>
      <c r="O23" s="74">
        <f t="shared" si="25"/>
        <v>0</v>
      </c>
      <c r="P23" s="73">
        <f t="shared" si="26"/>
        <v>0</v>
      </c>
      <c r="Q23" s="73">
        <f t="shared" si="27"/>
        <v>0</v>
      </c>
      <c r="R23" s="73">
        <f t="shared" si="28"/>
        <v>0</v>
      </c>
      <c r="S23" s="73">
        <f t="shared" si="29"/>
        <v>0</v>
      </c>
      <c r="T23" s="73">
        <f t="shared" si="30"/>
        <v>0</v>
      </c>
      <c r="U23" s="73">
        <f t="shared" si="31"/>
        <v>0</v>
      </c>
    </row>
    <row r="24" spans="1:21" x14ac:dyDescent="0.25">
      <c r="A24" s="254"/>
      <c r="C24" s="68" t="str">
        <f>IF(B24&gt;0,VLOOKUP($B24,Implement!$B$5:$AF$412,6,FALSE)," ")</f>
        <v xml:space="preserve"> </v>
      </c>
      <c r="D24" s="71">
        <f t="shared" si="16"/>
        <v>0</v>
      </c>
      <c r="E24" s="72">
        <f t="shared" si="17"/>
        <v>0</v>
      </c>
      <c r="F24" s="71">
        <v>0</v>
      </c>
      <c r="G24" s="72">
        <f t="shared" si="18"/>
        <v>0</v>
      </c>
      <c r="H24" s="73">
        <f t="shared" si="19"/>
        <v>0</v>
      </c>
      <c r="I24" s="73">
        <f t="shared" si="20"/>
        <v>0</v>
      </c>
      <c r="J24" s="73">
        <f t="shared" si="21"/>
        <v>0</v>
      </c>
      <c r="K24" s="73">
        <f t="shared" si="22"/>
        <v>0</v>
      </c>
      <c r="M24" s="68" t="str">
        <f t="shared" si="23"/>
        <v xml:space="preserve"> </v>
      </c>
      <c r="N24" s="74">
        <f t="shared" si="24"/>
        <v>0</v>
      </c>
      <c r="O24" s="74">
        <f t="shared" si="25"/>
        <v>0</v>
      </c>
      <c r="P24" s="73">
        <f t="shared" si="26"/>
        <v>0</v>
      </c>
      <c r="Q24" s="73">
        <f t="shared" si="27"/>
        <v>0</v>
      </c>
      <c r="R24" s="73">
        <f t="shared" si="28"/>
        <v>0</v>
      </c>
      <c r="S24" s="73">
        <f t="shared" si="29"/>
        <v>0</v>
      </c>
      <c r="T24" s="73">
        <f t="shared" si="30"/>
        <v>0</v>
      </c>
      <c r="U24" s="73">
        <f t="shared" si="31"/>
        <v>0</v>
      </c>
    </row>
    <row r="25" spans="1:21" x14ac:dyDescent="0.25">
      <c r="A25" s="255"/>
      <c r="B25" s="75"/>
      <c r="C25" s="75"/>
      <c r="D25" s="76"/>
      <c r="E25" s="76"/>
      <c r="F25" s="76"/>
      <c r="G25" s="77">
        <f>SUM(G18:G24)</f>
        <v>0.22357041107041109</v>
      </c>
      <c r="H25" s="75"/>
      <c r="I25" s="75"/>
      <c r="J25" s="75"/>
      <c r="K25" s="75"/>
      <c r="L25" s="75"/>
      <c r="M25" s="75"/>
      <c r="N25" s="78"/>
      <c r="O25" s="78">
        <f>SUM(O18:O24)</f>
        <v>1.014733714896215</v>
      </c>
      <c r="P25" s="79"/>
      <c r="Q25" s="79"/>
      <c r="R25" s="79">
        <f>SUM(R18:R24)</f>
        <v>3.3704718749361611</v>
      </c>
      <c r="S25" s="79"/>
      <c r="T25" s="79"/>
      <c r="U25" s="79">
        <f>SUM(U18:U24)</f>
        <v>5.8143687949278426</v>
      </c>
    </row>
    <row r="28" spans="1:21" x14ac:dyDescent="0.25">
      <c r="A28" s="69"/>
      <c r="B28" s="252" t="s">
        <v>112</v>
      </c>
      <c r="C28" s="252"/>
      <c r="D28" s="252"/>
      <c r="E28" s="252"/>
      <c r="F28" s="252"/>
      <c r="G28" s="252"/>
      <c r="H28" s="252"/>
      <c r="I28" s="252"/>
      <c r="J28" s="252"/>
      <c r="K28" s="252"/>
      <c r="L28" s="252"/>
      <c r="M28" s="252"/>
      <c r="N28" s="252"/>
      <c r="O28" s="252"/>
      <c r="P28" s="252"/>
      <c r="Q28" s="252"/>
      <c r="R28" s="252"/>
      <c r="S28" s="252"/>
      <c r="T28" s="252"/>
      <c r="U28" s="252"/>
    </row>
    <row r="29" spans="1:21" ht="30" x14ac:dyDescent="0.25">
      <c r="A29" s="253" t="s">
        <v>87</v>
      </c>
      <c r="B29" s="70" t="s">
        <v>88</v>
      </c>
      <c r="C29" s="70" t="s">
        <v>89</v>
      </c>
      <c r="D29" s="70" t="s">
        <v>90</v>
      </c>
      <c r="E29" s="70" t="s">
        <v>91</v>
      </c>
      <c r="F29" s="70" t="s">
        <v>92</v>
      </c>
      <c r="G29" s="70" t="s">
        <v>93</v>
      </c>
      <c r="H29" s="70" t="s">
        <v>94</v>
      </c>
      <c r="I29" s="70" t="s">
        <v>95</v>
      </c>
      <c r="J29" s="70" t="s">
        <v>96</v>
      </c>
      <c r="K29" s="70" t="s">
        <v>97</v>
      </c>
      <c r="L29" s="70" t="s">
        <v>98</v>
      </c>
      <c r="M29" s="70" t="s">
        <v>99</v>
      </c>
      <c r="N29" s="70" t="s">
        <v>100</v>
      </c>
      <c r="O29" s="70" t="s">
        <v>101</v>
      </c>
      <c r="P29" s="70" t="s">
        <v>102</v>
      </c>
      <c r="Q29" s="70" t="s">
        <v>103</v>
      </c>
      <c r="R29" s="70" t="s">
        <v>104</v>
      </c>
      <c r="S29" s="70" t="s">
        <v>105</v>
      </c>
      <c r="T29" s="70" t="s">
        <v>106</v>
      </c>
      <c r="U29" s="70" t="s">
        <v>107</v>
      </c>
    </row>
    <row r="30" spans="1:21" x14ac:dyDescent="0.25">
      <c r="A30" s="254"/>
      <c r="B30" s="68" t="s">
        <v>108</v>
      </c>
      <c r="C30" s="68" t="str">
        <f>IF(B30&gt;0,VLOOKUP($B30,Implement!$B$5:$AF$412,6,FALSE)," ")</f>
        <v>Spray (Broadcast) 27'</v>
      </c>
      <c r="D30" s="71" t="str">
        <f t="shared" ref="D30:D36" si="32">IF(B30&gt;0,VLOOKUP($B30,implement,5,FALSE),0)</f>
        <v>27'</v>
      </c>
      <c r="E30" s="72">
        <f t="shared" ref="E30:E36" si="33">IF(B30&gt;0,VLOOKUP($B30,implement,11,FALSE),0)</f>
        <v>6.2678062678062682E-2</v>
      </c>
      <c r="F30" s="71">
        <v>2</v>
      </c>
      <c r="G30" s="72">
        <f t="shared" ref="G30:G36" si="34">F30*E30</f>
        <v>0.12535612535612536</v>
      </c>
      <c r="H30" s="73">
        <f t="shared" ref="H30:H36" si="35">IF(B30&gt;0,VLOOKUP($B30,implement,24,FALSE),0)</f>
        <v>2.7234375000000002</v>
      </c>
      <c r="I30" s="73">
        <f t="shared" ref="I30:I36" si="36">H30*G30</f>
        <v>0.34139957264957271</v>
      </c>
      <c r="J30" s="73">
        <f t="shared" ref="J30:J36" si="37">IF(B30&gt;0,VLOOKUP($B30,implement,31,FALSE),0)</f>
        <v>4.4969399999999995</v>
      </c>
      <c r="K30" s="73">
        <f t="shared" ref="K30:K36" si="38">J30*G30</f>
        <v>0.56371897435897433</v>
      </c>
      <c r="L30" s="68" t="s">
        <v>109</v>
      </c>
      <c r="M30" s="68" t="str">
        <f t="shared" ref="M30:M36" si="39">IF(K30&gt;0,VLOOKUP($L30,tractor_data,6)," ")</f>
        <v>Tractor (60-89 hp) 2WD 75</v>
      </c>
      <c r="N30" s="74">
        <f t="shared" ref="N30:N36" si="40">IF(L30&gt;0,VLOOKUP($L30,tractor_data,8),0)</f>
        <v>3.8603999999999998</v>
      </c>
      <c r="O30" s="74">
        <f t="shared" ref="O30:O36" si="41">N30*G30</f>
        <v>0.48392478632478636</v>
      </c>
      <c r="P30" s="73">
        <f t="shared" ref="P30:P36" si="42">IF(L30&gt;0,VLOOKUP($L30,tractor_data,17),0)</f>
        <v>6.2053571428571432</v>
      </c>
      <c r="Q30" s="73">
        <f t="shared" ref="Q30:Q36" si="43">P30*G30</f>
        <v>0.77787952787952797</v>
      </c>
      <c r="R30" s="73">
        <f t="shared" ref="R30:R36" si="44">I30+Q30</f>
        <v>1.1192791005291007</v>
      </c>
      <c r="S30" s="73">
        <f t="shared" ref="S30:S36" si="45">IF(L30&gt;0,VLOOKUP($L30,tractor_data,24),0)</f>
        <v>14.54204761904762</v>
      </c>
      <c r="T30" s="73">
        <f t="shared" ref="T30:T36" si="46">S30*G30</f>
        <v>1.8229347442680779</v>
      </c>
      <c r="U30" s="73">
        <f t="shared" ref="U30:U36" si="47">T30+K30</f>
        <v>2.386653718627052</v>
      </c>
    </row>
    <row r="31" spans="1:21" x14ac:dyDescent="0.25">
      <c r="A31" s="254"/>
      <c r="B31" s="68" t="s">
        <v>110</v>
      </c>
      <c r="C31" s="68" t="str">
        <f>IF(B31&gt;0,VLOOKUP($B31,Implement!$B$5:$AF$412,6,FALSE)," ")</f>
        <v>Rotary Mower 12'</v>
      </c>
      <c r="D31" s="71" t="str">
        <f t="shared" si="32"/>
        <v>12'</v>
      </c>
      <c r="E31" s="72">
        <f t="shared" si="33"/>
        <v>9.8214285714285712E-2</v>
      </c>
      <c r="F31" s="71">
        <v>1</v>
      </c>
      <c r="G31" s="72">
        <f t="shared" si="34"/>
        <v>9.8214285714285712E-2</v>
      </c>
      <c r="H31" s="73">
        <f t="shared" si="35"/>
        <v>16.378378378378379</v>
      </c>
      <c r="I31" s="73">
        <f t="shared" si="36"/>
        <v>1.6085907335907337</v>
      </c>
      <c r="J31" s="73">
        <f t="shared" si="37"/>
        <v>15.734162162162161</v>
      </c>
      <c r="K31" s="73">
        <f t="shared" si="38"/>
        <v>1.545319498069498</v>
      </c>
      <c r="L31" s="68" t="s">
        <v>111</v>
      </c>
      <c r="M31" s="68" t="str">
        <f t="shared" si="39"/>
        <v>Tractor (90-119 hp) 2WD 105</v>
      </c>
      <c r="N31" s="74">
        <f t="shared" si="40"/>
        <v>5.4046000000000003</v>
      </c>
      <c r="O31" s="74">
        <f t="shared" si="41"/>
        <v>0.53080892857142858</v>
      </c>
      <c r="P31" s="73">
        <f t="shared" si="42"/>
        <v>6.5428571428571427</v>
      </c>
      <c r="Q31" s="73">
        <f t="shared" si="43"/>
        <v>0.64260204081632655</v>
      </c>
      <c r="R31" s="73">
        <f t="shared" si="44"/>
        <v>2.2511927744070603</v>
      </c>
      <c r="S31" s="73">
        <f t="shared" si="45"/>
        <v>19.166209523809528</v>
      </c>
      <c r="T31" s="73">
        <f t="shared" si="46"/>
        <v>1.8823955782312929</v>
      </c>
      <c r="U31" s="73">
        <f t="shared" si="47"/>
        <v>3.4277150763007906</v>
      </c>
    </row>
    <row r="32" spans="1:21" x14ac:dyDescent="0.25">
      <c r="A32" s="254"/>
      <c r="C32" s="68" t="str">
        <f>IF(B32&gt;0,VLOOKUP($B32,Implement!$B$5:$AF$412,6,FALSE)," ")</f>
        <v xml:space="preserve"> </v>
      </c>
      <c r="D32" s="71">
        <f t="shared" si="32"/>
        <v>0</v>
      </c>
      <c r="E32" s="72">
        <f t="shared" si="33"/>
        <v>0</v>
      </c>
      <c r="F32" s="71">
        <v>0</v>
      </c>
      <c r="G32" s="72">
        <f t="shared" si="34"/>
        <v>0</v>
      </c>
      <c r="H32" s="73">
        <f t="shared" si="35"/>
        <v>0</v>
      </c>
      <c r="I32" s="73">
        <f t="shared" si="36"/>
        <v>0</v>
      </c>
      <c r="J32" s="73">
        <f t="shared" si="37"/>
        <v>0</v>
      </c>
      <c r="K32" s="73">
        <f t="shared" si="38"/>
        <v>0</v>
      </c>
      <c r="M32" s="68" t="str">
        <f t="shared" si="39"/>
        <v xml:space="preserve"> </v>
      </c>
      <c r="N32" s="74">
        <f t="shared" si="40"/>
        <v>0</v>
      </c>
      <c r="O32" s="74">
        <f t="shared" si="41"/>
        <v>0</v>
      </c>
      <c r="P32" s="73">
        <f t="shared" si="42"/>
        <v>0</v>
      </c>
      <c r="Q32" s="73">
        <f t="shared" si="43"/>
        <v>0</v>
      </c>
      <c r="R32" s="73">
        <f t="shared" si="44"/>
        <v>0</v>
      </c>
      <c r="S32" s="73">
        <f t="shared" si="45"/>
        <v>0</v>
      </c>
      <c r="T32" s="73">
        <f t="shared" si="46"/>
        <v>0</v>
      </c>
      <c r="U32" s="73">
        <f t="shared" si="47"/>
        <v>0</v>
      </c>
    </row>
    <row r="33" spans="1:21" x14ac:dyDescent="0.25">
      <c r="A33" s="254"/>
      <c r="C33" s="68" t="str">
        <f>IF(B33&gt;0,VLOOKUP($B33,Implement!$B$5:$AF$412,6,FALSE)," ")</f>
        <v xml:space="preserve"> </v>
      </c>
      <c r="D33" s="71">
        <f t="shared" si="32"/>
        <v>0</v>
      </c>
      <c r="E33" s="72">
        <f t="shared" si="33"/>
        <v>0</v>
      </c>
      <c r="F33" s="71">
        <v>0</v>
      </c>
      <c r="G33" s="72">
        <f t="shared" si="34"/>
        <v>0</v>
      </c>
      <c r="H33" s="73">
        <f t="shared" si="35"/>
        <v>0</v>
      </c>
      <c r="I33" s="73">
        <f t="shared" si="36"/>
        <v>0</v>
      </c>
      <c r="J33" s="73">
        <f t="shared" si="37"/>
        <v>0</v>
      </c>
      <c r="K33" s="73">
        <f t="shared" si="38"/>
        <v>0</v>
      </c>
      <c r="M33" s="68" t="str">
        <f t="shared" si="39"/>
        <v xml:space="preserve"> </v>
      </c>
      <c r="N33" s="74">
        <f t="shared" si="40"/>
        <v>0</v>
      </c>
      <c r="O33" s="74">
        <f t="shared" si="41"/>
        <v>0</v>
      </c>
      <c r="P33" s="73">
        <f t="shared" si="42"/>
        <v>0</v>
      </c>
      <c r="Q33" s="73">
        <f t="shared" si="43"/>
        <v>0</v>
      </c>
      <c r="R33" s="73">
        <f t="shared" si="44"/>
        <v>0</v>
      </c>
      <c r="S33" s="73">
        <f t="shared" si="45"/>
        <v>0</v>
      </c>
      <c r="T33" s="73">
        <f t="shared" si="46"/>
        <v>0</v>
      </c>
      <c r="U33" s="73">
        <f t="shared" si="47"/>
        <v>0</v>
      </c>
    </row>
    <row r="34" spans="1:21" x14ac:dyDescent="0.25">
      <c r="A34" s="254"/>
      <c r="C34" s="68" t="str">
        <f>IF(B34&gt;0,VLOOKUP($B34,Implement!$B$5:$AF$412,6,FALSE)," ")</f>
        <v xml:space="preserve"> </v>
      </c>
      <c r="D34" s="71">
        <f t="shared" si="32"/>
        <v>0</v>
      </c>
      <c r="E34" s="72">
        <f t="shared" si="33"/>
        <v>0</v>
      </c>
      <c r="F34" s="71">
        <v>0</v>
      </c>
      <c r="G34" s="72">
        <f t="shared" si="34"/>
        <v>0</v>
      </c>
      <c r="H34" s="73">
        <f t="shared" si="35"/>
        <v>0</v>
      </c>
      <c r="I34" s="73">
        <f t="shared" si="36"/>
        <v>0</v>
      </c>
      <c r="J34" s="73">
        <f t="shared" si="37"/>
        <v>0</v>
      </c>
      <c r="K34" s="73">
        <f t="shared" si="38"/>
        <v>0</v>
      </c>
      <c r="M34" s="68" t="str">
        <f t="shared" si="39"/>
        <v xml:space="preserve"> </v>
      </c>
      <c r="N34" s="74">
        <f t="shared" si="40"/>
        <v>0</v>
      </c>
      <c r="O34" s="74">
        <f t="shared" si="41"/>
        <v>0</v>
      </c>
      <c r="P34" s="73">
        <f t="shared" si="42"/>
        <v>0</v>
      </c>
      <c r="Q34" s="73">
        <f t="shared" si="43"/>
        <v>0</v>
      </c>
      <c r="R34" s="73">
        <f t="shared" si="44"/>
        <v>0</v>
      </c>
      <c r="S34" s="73">
        <f t="shared" si="45"/>
        <v>0</v>
      </c>
      <c r="T34" s="73">
        <f t="shared" si="46"/>
        <v>0</v>
      </c>
      <c r="U34" s="73">
        <f t="shared" si="47"/>
        <v>0</v>
      </c>
    </row>
    <row r="35" spans="1:21" x14ac:dyDescent="0.25">
      <c r="A35" s="254"/>
      <c r="C35" s="68" t="str">
        <f>IF(B35&gt;0,VLOOKUP($B35,Implement!$B$5:$AF$412,6,FALSE)," ")</f>
        <v xml:space="preserve"> </v>
      </c>
      <c r="D35" s="71">
        <f t="shared" si="32"/>
        <v>0</v>
      </c>
      <c r="E35" s="72">
        <f t="shared" si="33"/>
        <v>0</v>
      </c>
      <c r="F35" s="71">
        <v>0</v>
      </c>
      <c r="G35" s="72">
        <f t="shared" si="34"/>
        <v>0</v>
      </c>
      <c r="H35" s="73">
        <f t="shared" si="35"/>
        <v>0</v>
      </c>
      <c r="I35" s="73">
        <f t="shared" si="36"/>
        <v>0</v>
      </c>
      <c r="J35" s="73">
        <f t="shared" si="37"/>
        <v>0</v>
      </c>
      <c r="K35" s="73">
        <f t="shared" si="38"/>
        <v>0</v>
      </c>
      <c r="M35" s="68" t="str">
        <f t="shared" si="39"/>
        <v xml:space="preserve"> </v>
      </c>
      <c r="N35" s="74">
        <f t="shared" si="40"/>
        <v>0</v>
      </c>
      <c r="O35" s="74">
        <f t="shared" si="41"/>
        <v>0</v>
      </c>
      <c r="P35" s="73">
        <f t="shared" si="42"/>
        <v>0</v>
      </c>
      <c r="Q35" s="73">
        <f t="shared" si="43"/>
        <v>0</v>
      </c>
      <c r="R35" s="73">
        <f t="shared" si="44"/>
        <v>0</v>
      </c>
      <c r="S35" s="73">
        <f t="shared" si="45"/>
        <v>0</v>
      </c>
      <c r="T35" s="73">
        <f t="shared" si="46"/>
        <v>0</v>
      </c>
      <c r="U35" s="73">
        <f t="shared" si="47"/>
        <v>0</v>
      </c>
    </row>
    <row r="36" spans="1:21" x14ac:dyDescent="0.25">
      <c r="A36" s="254"/>
      <c r="C36" s="68" t="str">
        <f>IF(B36&gt;0,VLOOKUP($B36,Implement!$B$5:$AF$412,6,FALSE)," ")</f>
        <v xml:space="preserve"> </v>
      </c>
      <c r="D36" s="71">
        <f t="shared" si="32"/>
        <v>0</v>
      </c>
      <c r="E36" s="72">
        <f t="shared" si="33"/>
        <v>0</v>
      </c>
      <c r="F36" s="71">
        <v>0</v>
      </c>
      <c r="G36" s="72">
        <f t="shared" si="34"/>
        <v>0</v>
      </c>
      <c r="H36" s="73">
        <f t="shared" si="35"/>
        <v>0</v>
      </c>
      <c r="I36" s="73">
        <f t="shared" si="36"/>
        <v>0</v>
      </c>
      <c r="J36" s="73">
        <f t="shared" si="37"/>
        <v>0</v>
      </c>
      <c r="K36" s="73">
        <f t="shared" si="38"/>
        <v>0</v>
      </c>
      <c r="M36" s="68" t="str">
        <f t="shared" si="39"/>
        <v xml:space="preserve"> </v>
      </c>
      <c r="N36" s="74">
        <f t="shared" si="40"/>
        <v>0</v>
      </c>
      <c r="O36" s="74">
        <f t="shared" si="41"/>
        <v>0</v>
      </c>
      <c r="P36" s="73">
        <f t="shared" si="42"/>
        <v>0</v>
      </c>
      <c r="Q36" s="73">
        <f t="shared" si="43"/>
        <v>0</v>
      </c>
      <c r="R36" s="73">
        <f t="shared" si="44"/>
        <v>0</v>
      </c>
      <c r="S36" s="73">
        <f t="shared" si="45"/>
        <v>0</v>
      </c>
      <c r="T36" s="73">
        <f t="shared" si="46"/>
        <v>0</v>
      </c>
      <c r="U36" s="73">
        <f t="shared" si="47"/>
        <v>0</v>
      </c>
    </row>
    <row r="37" spans="1:21" x14ac:dyDescent="0.25">
      <c r="A37" s="255"/>
      <c r="B37" s="75"/>
      <c r="C37" s="75"/>
      <c r="D37" s="76"/>
      <c r="E37" s="76"/>
      <c r="F37" s="76"/>
      <c r="G37" s="77">
        <f>SUM(G30:G36)</f>
        <v>0.22357041107041109</v>
      </c>
      <c r="H37" s="75"/>
      <c r="I37" s="75"/>
      <c r="J37" s="75"/>
      <c r="K37" s="75"/>
      <c r="L37" s="75"/>
      <c r="M37" s="75"/>
      <c r="N37" s="78"/>
      <c r="O37" s="78">
        <f>SUM(O30:O36)</f>
        <v>1.014733714896215</v>
      </c>
      <c r="P37" s="79"/>
      <c r="Q37" s="79"/>
      <c r="R37" s="79">
        <f>SUM(R30:R36)</f>
        <v>3.3704718749361611</v>
      </c>
      <c r="S37" s="79"/>
      <c r="T37" s="79"/>
      <c r="U37" s="79">
        <f>SUM(U30:U36)</f>
        <v>5.8143687949278426</v>
      </c>
    </row>
    <row r="40" spans="1:21" x14ac:dyDescent="0.25">
      <c r="A40" s="69"/>
      <c r="B40" s="252" t="s">
        <v>113</v>
      </c>
      <c r="C40" s="252"/>
      <c r="D40" s="252"/>
      <c r="E40" s="252"/>
      <c r="F40" s="252"/>
      <c r="G40" s="252"/>
      <c r="H40" s="252"/>
      <c r="I40" s="252"/>
      <c r="J40" s="252"/>
      <c r="K40" s="252"/>
      <c r="L40" s="252"/>
      <c r="M40" s="252"/>
      <c r="N40" s="252"/>
      <c r="O40" s="252"/>
      <c r="P40" s="252"/>
      <c r="Q40" s="252"/>
      <c r="R40" s="252"/>
      <c r="S40" s="252"/>
      <c r="T40" s="252"/>
      <c r="U40" s="252"/>
    </row>
    <row r="41" spans="1:21" ht="30" x14ac:dyDescent="0.25">
      <c r="A41" s="253" t="s">
        <v>87</v>
      </c>
      <c r="B41" s="70" t="s">
        <v>88</v>
      </c>
      <c r="C41" s="70" t="s">
        <v>89</v>
      </c>
      <c r="D41" s="70" t="s">
        <v>90</v>
      </c>
      <c r="E41" s="70" t="s">
        <v>91</v>
      </c>
      <c r="F41" s="70" t="s">
        <v>92</v>
      </c>
      <c r="G41" s="70" t="s">
        <v>93</v>
      </c>
      <c r="H41" s="70" t="s">
        <v>94</v>
      </c>
      <c r="I41" s="70" t="s">
        <v>95</v>
      </c>
      <c r="J41" s="70" t="s">
        <v>96</v>
      </c>
      <c r="K41" s="70" t="s">
        <v>97</v>
      </c>
      <c r="L41" s="70" t="s">
        <v>98</v>
      </c>
      <c r="M41" s="70" t="s">
        <v>99</v>
      </c>
      <c r="N41" s="70" t="s">
        <v>100</v>
      </c>
      <c r="O41" s="70" t="s">
        <v>101</v>
      </c>
      <c r="P41" s="70" t="s">
        <v>102</v>
      </c>
      <c r="Q41" s="70" t="s">
        <v>103</v>
      </c>
      <c r="R41" s="70" t="s">
        <v>104</v>
      </c>
      <c r="S41" s="70" t="s">
        <v>105</v>
      </c>
      <c r="T41" s="70" t="s">
        <v>106</v>
      </c>
      <c r="U41" s="70" t="s">
        <v>107</v>
      </c>
    </row>
    <row r="42" spans="1:21" x14ac:dyDescent="0.25">
      <c r="A42" s="254"/>
      <c r="B42" s="68" t="s">
        <v>541</v>
      </c>
      <c r="C42" s="68" t="str">
        <f>IF(B42&gt;0,VLOOKUP($B42,Implement!$B$5:$AF$412,6,FALSE)," ")</f>
        <v>Chisel Plow-Rigid 15'</v>
      </c>
      <c r="D42" s="71" t="str">
        <f t="shared" ref="D42:D48" si="48">IF(B42&gt;0,VLOOKUP($B42,implement,5,FALSE),0)</f>
        <v>15'</v>
      </c>
      <c r="E42" s="72">
        <f t="shared" ref="E42:E48" si="49">IF(B42&gt;0,VLOOKUP($B42,implement,11,FALSE),0)</f>
        <v>0.12324929971988796</v>
      </c>
      <c r="F42" s="71">
        <v>1</v>
      </c>
      <c r="G42" s="72">
        <f t="shared" ref="G42:G48" si="50">F42*E42</f>
        <v>0.12324929971988796</v>
      </c>
      <c r="H42" s="73">
        <f t="shared" ref="H42:H48" si="51">IF(B42&gt;0,VLOOKUP($B42,implement,24,FALSE),0)</f>
        <v>7.2583333333333337</v>
      </c>
      <c r="I42" s="73">
        <f t="shared" ref="I42:I48" si="52">H42*G42</f>
        <v>0.89458450046685345</v>
      </c>
      <c r="J42" s="73">
        <f t="shared" ref="J42:J48" si="53">IF(B42&gt;0,VLOOKUP($B42,implement,31,FALSE),0)</f>
        <v>17.746066666666664</v>
      </c>
      <c r="K42" s="73">
        <f t="shared" ref="K42:K48" si="54">J42*G42</f>
        <v>2.1871902894491129</v>
      </c>
      <c r="L42" s="68" t="s">
        <v>111</v>
      </c>
      <c r="M42" s="68" t="str">
        <f t="shared" ref="M42:M48" si="55">IF(K42&gt;0,VLOOKUP($L42,tractor_data,6)," ")</f>
        <v>Tractor (90-119 hp) 2WD 105</v>
      </c>
      <c r="N42" s="74">
        <f t="shared" ref="N42:N48" si="56">IF(L42&gt;0,VLOOKUP($L42,tractor_data,8),0)</f>
        <v>5.4046000000000003</v>
      </c>
      <c r="O42" s="74">
        <f t="shared" ref="O42:O48" si="57">N42*G42</f>
        <v>0.66611316526610653</v>
      </c>
      <c r="P42" s="73">
        <f t="shared" ref="P42:P48" si="58">IF(L42&gt;0,VLOOKUP($L42,tractor_data,17),0)</f>
        <v>6.5428571428571427</v>
      </c>
      <c r="Q42" s="73">
        <f t="shared" ref="Q42:Q48" si="59">P42*G42</f>
        <v>0.80640256102440977</v>
      </c>
      <c r="R42" s="73">
        <f t="shared" ref="R42:R48" si="60">I42+Q42</f>
        <v>1.7009870614912632</v>
      </c>
      <c r="S42" s="73">
        <f t="shared" ref="S42:S48" si="61">IF(L42&gt;0,VLOOKUP($L42,tractor_data,24),0)</f>
        <v>19.166209523809528</v>
      </c>
      <c r="T42" s="73">
        <f t="shared" ref="T42:T48" si="62">S42*G42</f>
        <v>2.3622219020941717</v>
      </c>
      <c r="U42" s="73">
        <f t="shared" ref="U42:U48" si="63">T42+K42</f>
        <v>4.5494121915432846</v>
      </c>
    </row>
    <row r="43" spans="1:21" x14ac:dyDescent="0.25">
      <c r="A43" s="254"/>
      <c r="B43" s="68" t="s">
        <v>542</v>
      </c>
      <c r="C43" s="68" t="str">
        <f>IF(B43&gt;0,VLOOKUP($B43,Implement!$B$5:$AF$412,6,FALSE)," ")</f>
        <v>Disk Harrow 14'</v>
      </c>
      <c r="D43" s="71" t="str">
        <f t="shared" si="48"/>
        <v>14'</v>
      </c>
      <c r="E43" s="72">
        <f t="shared" si="49"/>
        <v>0.14030612244897961</v>
      </c>
      <c r="F43" s="71">
        <v>2</v>
      </c>
      <c r="G43" s="72">
        <f t="shared" si="50"/>
        <v>0.28061224489795922</v>
      </c>
      <c r="H43" s="73">
        <f t="shared" si="51"/>
        <v>10.083333333333334</v>
      </c>
      <c r="I43" s="73">
        <f t="shared" si="52"/>
        <v>2.829506802721089</v>
      </c>
      <c r="J43" s="73">
        <f t="shared" si="53"/>
        <v>29.06016666666666</v>
      </c>
      <c r="K43" s="73">
        <f t="shared" si="54"/>
        <v>8.1546386054421767</v>
      </c>
      <c r="L43" s="68" t="s">
        <v>111</v>
      </c>
      <c r="M43" s="68" t="str">
        <f t="shared" si="55"/>
        <v>Tractor (90-119 hp) 2WD 105</v>
      </c>
      <c r="N43" s="74">
        <f t="shared" si="56"/>
        <v>5.4046000000000003</v>
      </c>
      <c r="O43" s="74">
        <f t="shared" si="57"/>
        <v>1.5165969387755105</v>
      </c>
      <c r="P43" s="73">
        <f t="shared" si="58"/>
        <v>6.5428571428571427</v>
      </c>
      <c r="Q43" s="73">
        <f t="shared" si="59"/>
        <v>1.8360058309037903</v>
      </c>
      <c r="R43" s="73">
        <f t="shared" si="60"/>
        <v>4.6655126336248793</v>
      </c>
      <c r="S43" s="73">
        <f t="shared" si="61"/>
        <v>19.166209523809528</v>
      </c>
      <c r="T43" s="73">
        <f t="shared" si="62"/>
        <v>5.3782730806608372</v>
      </c>
      <c r="U43" s="73">
        <f t="shared" si="63"/>
        <v>13.532911686103013</v>
      </c>
    </row>
    <row r="44" spans="1:21" x14ac:dyDescent="0.25">
      <c r="A44" s="254"/>
      <c r="B44" s="68" t="s">
        <v>108</v>
      </c>
      <c r="C44" s="68" t="str">
        <f>IF(B44&gt;0,VLOOKUP($B44,Implement!$B$5:$AF$412,6,FALSE)," ")</f>
        <v>Spray (Broadcast) 27'</v>
      </c>
      <c r="D44" s="71" t="str">
        <f t="shared" si="48"/>
        <v>27'</v>
      </c>
      <c r="E44" s="72">
        <f t="shared" si="49"/>
        <v>6.2678062678062682E-2</v>
      </c>
      <c r="F44" s="71">
        <v>1</v>
      </c>
      <c r="G44" s="72">
        <f t="shared" si="50"/>
        <v>6.2678062678062682E-2</v>
      </c>
      <c r="H44" s="73">
        <f t="shared" si="51"/>
        <v>2.7234375000000002</v>
      </c>
      <c r="I44" s="73">
        <f t="shared" si="52"/>
        <v>0.17069978632478636</v>
      </c>
      <c r="J44" s="73">
        <f t="shared" si="53"/>
        <v>4.4969399999999995</v>
      </c>
      <c r="K44" s="73">
        <f t="shared" si="54"/>
        <v>0.28185948717948717</v>
      </c>
      <c r="L44" s="68" t="s">
        <v>109</v>
      </c>
      <c r="M44" s="68" t="str">
        <f t="shared" si="55"/>
        <v>Tractor (60-89 hp) 2WD 75</v>
      </c>
      <c r="N44" s="74">
        <f t="shared" si="56"/>
        <v>3.8603999999999998</v>
      </c>
      <c r="O44" s="74">
        <f t="shared" si="57"/>
        <v>0.24196239316239318</v>
      </c>
      <c r="P44" s="73">
        <f t="shared" si="58"/>
        <v>6.2053571428571432</v>
      </c>
      <c r="Q44" s="73">
        <f t="shared" si="59"/>
        <v>0.38893976393976398</v>
      </c>
      <c r="R44" s="73">
        <f t="shared" si="60"/>
        <v>0.55963955026455037</v>
      </c>
      <c r="S44" s="73">
        <f t="shared" si="61"/>
        <v>14.54204761904762</v>
      </c>
      <c r="T44" s="73">
        <f t="shared" si="62"/>
        <v>0.91146737213403894</v>
      </c>
      <c r="U44" s="73">
        <f t="shared" si="63"/>
        <v>1.193326859313526</v>
      </c>
    </row>
    <row r="45" spans="1:21" x14ac:dyDescent="0.25">
      <c r="A45" s="254"/>
      <c r="C45" s="68" t="str">
        <f>IF(B45&gt;0,VLOOKUP($B45,Implement!$B$5:$AF$412,6,FALSE)," ")</f>
        <v xml:space="preserve"> </v>
      </c>
      <c r="D45" s="71">
        <f t="shared" si="48"/>
        <v>0</v>
      </c>
      <c r="E45" s="72">
        <f t="shared" si="49"/>
        <v>0</v>
      </c>
      <c r="F45" s="71">
        <v>0</v>
      </c>
      <c r="G45" s="72">
        <f t="shared" si="50"/>
        <v>0</v>
      </c>
      <c r="H45" s="73">
        <f t="shared" si="51"/>
        <v>0</v>
      </c>
      <c r="I45" s="73">
        <f t="shared" si="52"/>
        <v>0</v>
      </c>
      <c r="J45" s="73">
        <f t="shared" si="53"/>
        <v>0</v>
      </c>
      <c r="K45" s="73">
        <f t="shared" si="54"/>
        <v>0</v>
      </c>
      <c r="M45" s="68" t="str">
        <f t="shared" si="55"/>
        <v xml:space="preserve"> </v>
      </c>
      <c r="N45" s="74">
        <f t="shared" si="56"/>
        <v>0</v>
      </c>
      <c r="O45" s="74">
        <f t="shared" si="57"/>
        <v>0</v>
      </c>
      <c r="P45" s="73">
        <f t="shared" si="58"/>
        <v>0</v>
      </c>
      <c r="Q45" s="73">
        <f t="shared" si="59"/>
        <v>0</v>
      </c>
      <c r="R45" s="73">
        <f t="shared" si="60"/>
        <v>0</v>
      </c>
      <c r="S45" s="73">
        <f t="shared" si="61"/>
        <v>0</v>
      </c>
      <c r="T45" s="73">
        <f t="shared" si="62"/>
        <v>0</v>
      </c>
      <c r="U45" s="73">
        <f t="shared" si="63"/>
        <v>0</v>
      </c>
    </row>
    <row r="46" spans="1:21" x14ac:dyDescent="0.25">
      <c r="A46" s="254"/>
      <c r="C46" s="68" t="str">
        <f>IF(B46&gt;0,VLOOKUP($B46,Implement!$B$5:$AF$412,6,FALSE)," ")</f>
        <v xml:space="preserve"> </v>
      </c>
      <c r="D46" s="71">
        <f t="shared" si="48"/>
        <v>0</v>
      </c>
      <c r="E46" s="72">
        <f t="shared" si="49"/>
        <v>0</v>
      </c>
      <c r="F46" s="71">
        <v>0</v>
      </c>
      <c r="G46" s="72">
        <f t="shared" si="50"/>
        <v>0</v>
      </c>
      <c r="H46" s="73">
        <f t="shared" si="51"/>
        <v>0</v>
      </c>
      <c r="I46" s="73">
        <f t="shared" si="52"/>
        <v>0</v>
      </c>
      <c r="J46" s="73">
        <f t="shared" si="53"/>
        <v>0</v>
      </c>
      <c r="K46" s="73">
        <f t="shared" si="54"/>
        <v>0</v>
      </c>
      <c r="M46" s="68" t="str">
        <f t="shared" si="55"/>
        <v xml:space="preserve"> </v>
      </c>
      <c r="N46" s="74">
        <f t="shared" si="56"/>
        <v>0</v>
      </c>
      <c r="O46" s="74">
        <f t="shared" si="57"/>
        <v>0</v>
      </c>
      <c r="P46" s="73">
        <f t="shared" si="58"/>
        <v>0</v>
      </c>
      <c r="Q46" s="73">
        <f t="shared" si="59"/>
        <v>0</v>
      </c>
      <c r="R46" s="73">
        <f t="shared" si="60"/>
        <v>0</v>
      </c>
      <c r="S46" s="73">
        <f t="shared" si="61"/>
        <v>0</v>
      </c>
      <c r="T46" s="73">
        <f t="shared" si="62"/>
        <v>0</v>
      </c>
      <c r="U46" s="73">
        <f t="shared" si="63"/>
        <v>0</v>
      </c>
    </row>
    <row r="47" spans="1:21" x14ac:dyDescent="0.25">
      <c r="A47" s="254"/>
      <c r="C47" s="68" t="str">
        <f>IF(B47&gt;0,VLOOKUP($B47,Implement!$B$5:$AF$412,6,FALSE)," ")</f>
        <v xml:space="preserve"> </v>
      </c>
      <c r="D47" s="71">
        <f t="shared" si="48"/>
        <v>0</v>
      </c>
      <c r="E47" s="72">
        <f t="shared" si="49"/>
        <v>0</v>
      </c>
      <c r="F47" s="71">
        <v>0</v>
      </c>
      <c r="G47" s="72">
        <f t="shared" si="50"/>
        <v>0</v>
      </c>
      <c r="H47" s="73">
        <f t="shared" si="51"/>
        <v>0</v>
      </c>
      <c r="I47" s="73">
        <f t="shared" si="52"/>
        <v>0</v>
      </c>
      <c r="J47" s="73">
        <f t="shared" si="53"/>
        <v>0</v>
      </c>
      <c r="K47" s="73">
        <f t="shared" si="54"/>
        <v>0</v>
      </c>
      <c r="M47" s="68" t="str">
        <f t="shared" si="55"/>
        <v xml:space="preserve"> </v>
      </c>
      <c r="N47" s="74">
        <f t="shared" si="56"/>
        <v>0</v>
      </c>
      <c r="O47" s="74">
        <f t="shared" si="57"/>
        <v>0</v>
      </c>
      <c r="P47" s="73">
        <f t="shared" si="58"/>
        <v>0</v>
      </c>
      <c r="Q47" s="73">
        <f t="shared" si="59"/>
        <v>0</v>
      </c>
      <c r="R47" s="73">
        <f t="shared" si="60"/>
        <v>0</v>
      </c>
      <c r="S47" s="73">
        <f t="shared" si="61"/>
        <v>0</v>
      </c>
      <c r="T47" s="73">
        <f t="shared" si="62"/>
        <v>0</v>
      </c>
      <c r="U47" s="73">
        <f t="shared" si="63"/>
        <v>0</v>
      </c>
    </row>
    <row r="48" spans="1:21" x14ac:dyDescent="0.25">
      <c r="A48" s="254"/>
      <c r="C48" s="68" t="str">
        <f>IF(B48&gt;0,VLOOKUP($B48,Implement!$B$5:$AF$412,6,FALSE)," ")</f>
        <v xml:space="preserve"> </v>
      </c>
      <c r="D48" s="71">
        <f t="shared" si="48"/>
        <v>0</v>
      </c>
      <c r="E48" s="72">
        <f t="shared" si="49"/>
        <v>0</v>
      </c>
      <c r="F48" s="71">
        <v>0</v>
      </c>
      <c r="G48" s="72">
        <f t="shared" si="50"/>
        <v>0</v>
      </c>
      <c r="H48" s="73">
        <f t="shared" si="51"/>
        <v>0</v>
      </c>
      <c r="I48" s="73">
        <f t="shared" si="52"/>
        <v>0</v>
      </c>
      <c r="J48" s="73">
        <f t="shared" si="53"/>
        <v>0</v>
      </c>
      <c r="K48" s="73">
        <f t="shared" si="54"/>
        <v>0</v>
      </c>
      <c r="M48" s="68" t="str">
        <f t="shared" si="55"/>
        <v xml:space="preserve"> </v>
      </c>
      <c r="N48" s="74">
        <f t="shared" si="56"/>
        <v>0</v>
      </c>
      <c r="O48" s="74">
        <f t="shared" si="57"/>
        <v>0</v>
      </c>
      <c r="P48" s="73">
        <f t="shared" si="58"/>
        <v>0</v>
      </c>
      <c r="Q48" s="73">
        <f t="shared" si="59"/>
        <v>0</v>
      </c>
      <c r="R48" s="73">
        <f t="shared" si="60"/>
        <v>0</v>
      </c>
      <c r="S48" s="73">
        <f t="shared" si="61"/>
        <v>0</v>
      </c>
      <c r="T48" s="73">
        <f t="shared" si="62"/>
        <v>0</v>
      </c>
      <c r="U48" s="73">
        <f t="shared" si="63"/>
        <v>0</v>
      </c>
    </row>
    <row r="49" spans="1:21" x14ac:dyDescent="0.25">
      <c r="A49" s="255"/>
      <c r="B49" s="75"/>
      <c r="C49" s="75"/>
      <c r="D49" s="76"/>
      <c r="E49" s="76"/>
      <c r="F49" s="76"/>
      <c r="G49" s="77">
        <f>SUM(G42:G48)</f>
        <v>0.46653960729590987</v>
      </c>
      <c r="H49" s="75"/>
      <c r="I49" s="75"/>
      <c r="J49" s="75"/>
      <c r="K49" s="75"/>
      <c r="L49" s="75"/>
      <c r="M49" s="75"/>
      <c r="N49" s="78"/>
      <c r="O49" s="78">
        <f>SUM(O42:O48)</f>
        <v>2.4246724972040106</v>
      </c>
      <c r="P49" s="79"/>
      <c r="Q49" s="79"/>
      <c r="R49" s="79">
        <f>SUM(R42:R48)</f>
        <v>6.9261392453806927</v>
      </c>
      <c r="S49" s="79"/>
      <c r="T49" s="79"/>
      <c r="U49" s="79">
        <f>SUM(U42:U48)</f>
        <v>19.275650736959822</v>
      </c>
    </row>
    <row r="52" spans="1:21" x14ac:dyDescent="0.25">
      <c r="A52" s="69"/>
      <c r="B52" s="252" t="s">
        <v>114</v>
      </c>
      <c r="C52" s="252"/>
      <c r="D52" s="252"/>
      <c r="E52" s="252"/>
      <c r="F52" s="252"/>
      <c r="G52" s="252"/>
      <c r="H52" s="252"/>
      <c r="I52" s="252"/>
      <c r="J52" s="252"/>
      <c r="K52" s="252"/>
      <c r="L52" s="252"/>
      <c r="M52" s="252"/>
      <c r="N52" s="252"/>
      <c r="O52" s="252"/>
      <c r="P52" s="252"/>
      <c r="Q52" s="252"/>
      <c r="R52" s="252"/>
      <c r="S52" s="252"/>
      <c r="T52" s="252"/>
      <c r="U52" s="252"/>
    </row>
    <row r="53" spans="1:21" ht="30" x14ac:dyDescent="0.25">
      <c r="A53" s="253" t="s">
        <v>87</v>
      </c>
      <c r="B53" s="70" t="s">
        <v>88</v>
      </c>
      <c r="C53" s="70" t="s">
        <v>89</v>
      </c>
      <c r="D53" s="70" t="s">
        <v>90</v>
      </c>
      <c r="E53" s="70" t="s">
        <v>91</v>
      </c>
      <c r="F53" s="70" t="s">
        <v>92</v>
      </c>
      <c r="G53" s="70" t="s">
        <v>93</v>
      </c>
      <c r="H53" s="70" t="s">
        <v>94</v>
      </c>
      <c r="I53" s="70" t="s">
        <v>95</v>
      </c>
      <c r="J53" s="70" t="s">
        <v>96</v>
      </c>
      <c r="K53" s="70" t="s">
        <v>97</v>
      </c>
      <c r="L53" s="70" t="s">
        <v>98</v>
      </c>
      <c r="M53" s="70" t="s">
        <v>99</v>
      </c>
      <c r="N53" s="70" t="s">
        <v>100</v>
      </c>
      <c r="O53" s="70" t="s">
        <v>101</v>
      </c>
      <c r="P53" s="70" t="s">
        <v>102</v>
      </c>
      <c r="Q53" s="70" t="s">
        <v>103</v>
      </c>
      <c r="R53" s="70" t="s">
        <v>104</v>
      </c>
      <c r="S53" s="70" t="s">
        <v>105</v>
      </c>
      <c r="T53" s="70" t="s">
        <v>106</v>
      </c>
      <c r="U53" s="70" t="s">
        <v>107</v>
      </c>
    </row>
    <row r="54" spans="1:21" x14ac:dyDescent="0.25">
      <c r="A54" s="254"/>
      <c r="B54" s="68" t="s">
        <v>541</v>
      </c>
      <c r="C54" s="68" t="str">
        <f>IF(B54&gt;0,VLOOKUP($B54,Implement!$B$5:$AF$412,6,FALSE)," ")</f>
        <v>Chisel Plow-Rigid 15'</v>
      </c>
      <c r="D54" s="71" t="str">
        <f t="shared" ref="D54:D60" si="64">IF(B54&gt;0,VLOOKUP($B54,implement,5,FALSE),0)</f>
        <v>15'</v>
      </c>
      <c r="E54" s="72">
        <f t="shared" ref="E54:E60" si="65">IF(B54&gt;0,VLOOKUP($B54,implement,11,FALSE),0)</f>
        <v>0.12324929971988796</v>
      </c>
      <c r="F54" s="71">
        <v>1</v>
      </c>
      <c r="G54" s="72">
        <f t="shared" ref="G54:G60" si="66">F54*E54</f>
        <v>0.12324929971988796</v>
      </c>
      <c r="H54" s="73">
        <f t="shared" ref="H54:H60" si="67">IF(B54&gt;0,VLOOKUP($B54,implement,24,FALSE),0)</f>
        <v>7.2583333333333337</v>
      </c>
      <c r="I54" s="73">
        <f t="shared" ref="I54:I60" si="68">H54*G54</f>
        <v>0.89458450046685345</v>
      </c>
      <c r="J54" s="73">
        <f t="shared" ref="J54:J60" si="69">IF(B54&gt;0,VLOOKUP($B54,implement,31,FALSE),0)</f>
        <v>17.746066666666664</v>
      </c>
      <c r="K54" s="73">
        <f t="shared" ref="K54:K60" si="70">J54*G54</f>
        <v>2.1871902894491129</v>
      </c>
      <c r="L54" s="68" t="s">
        <v>111</v>
      </c>
      <c r="M54" s="68" t="str">
        <f t="shared" ref="M54:M60" si="71">IF(K54&gt;0,VLOOKUP($L54,tractor_data,6)," ")</f>
        <v>Tractor (90-119 hp) 2WD 105</v>
      </c>
      <c r="N54" s="74">
        <f t="shared" ref="N54:N60" si="72">IF(L54&gt;0,VLOOKUP($L54,tractor_data,8),0)</f>
        <v>5.4046000000000003</v>
      </c>
      <c r="O54" s="74">
        <f t="shared" ref="O54:O60" si="73">N54*G54</f>
        <v>0.66611316526610653</v>
      </c>
      <c r="P54" s="73">
        <f t="shared" ref="P54:P60" si="74">IF(L54&gt;0,VLOOKUP($L54,tractor_data,17),0)</f>
        <v>6.5428571428571427</v>
      </c>
      <c r="Q54" s="73">
        <f t="shared" ref="Q54:Q60" si="75">P54*G54</f>
        <v>0.80640256102440977</v>
      </c>
      <c r="R54" s="73">
        <f t="shared" ref="R54:R60" si="76">I54+Q54</f>
        <v>1.7009870614912632</v>
      </c>
      <c r="S54" s="73">
        <f t="shared" ref="S54:S60" si="77">IF(L54&gt;0,VLOOKUP($L54,tractor_data,24),0)</f>
        <v>19.166209523809528</v>
      </c>
      <c r="T54" s="73">
        <f t="shared" ref="T54:T60" si="78">S54*G54</f>
        <v>2.3622219020941717</v>
      </c>
      <c r="U54" s="73">
        <f t="shared" ref="U54:U60" si="79">T54+K54</f>
        <v>4.5494121915432846</v>
      </c>
    </row>
    <row r="55" spans="1:21" x14ac:dyDescent="0.25">
      <c r="A55" s="254"/>
      <c r="B55" s="68" t="s">
        <v>542</v>
      </c>
      <c r="C55" s="68" t="str">
        <f>IF(B55&gt;0,VLOOKUP($B55,Implement!$B$5:$AF$412,6,FALSE)," ")</f>
        <v>Disk Harrow 14'</v>
      </c>
      <c r="D55" s="71" t="str">
        <f t="shared" si="64"/>
        <v>14'</v>
      </c>
      <c r="E55" s="72">
        <f t="shared" si="65"/>
        <v>0.14030612244897961</v>
      </c>
      <c r="F55" s="71">
        <v>2</v>
      </c>
      <c r="G55" s="72">
        <f t="shared" si="66"/>
        <v>0.28061224489795922</v>
      </c>
      <c r="H55" s="73">
        <f t="shared" si="67"/>
        <v>10.083333333333334</v>
      </c>
      <c r="I55" s="73">
        <f t="shared" si="68"/>
        <v>2.829506802721089</v>
      </c>
      <c r="J55" s="73">
        <f t="shared" si="69"/>
        <v>29.06016666666666</v>
      </c>
      <c r="K55" s="73">
        <f t="shared" si="70"/>
        <v>8.1546386054421767</v>
      </c>
      <c r="L55" s="68" t="s">
        <v>111</v>
      </c>
      <c r="M55" s="68" t="str">
        <f t="shared" si="71"/>
        <v>Tractor (90-119 hp) 2WD 105</v>
      </c>
      <c r="N55" s="74">
        <f t="shared" si="72"/>
        <v>5.4046000000000003</v>
      </c>
      <c r="O55" s="74">
        <f t="shared" si="73"/>
        <v>1.5165969387755105</v>
      </c>
      <c r="P55" s="73">
        <f t="shared" si="74"/>
        <v>6.5428571428571427</v>
      </c>
      <c r="Q55" s="73">
        <f t="shared" si="75"/>
        <v>1.8360058309037903</v>
      </c>
      <c r="R55" s="73">
        <f t="shared" si="76"/>
        <v>4.6655126336248793</v>
      </c>
      <c r="S55" s="73">
        <f t="shared" si="77"/>
        <v>19.166209523809528</v>
      </c>
      <c r="T55" s="73">
        <f t="shared" si="78"/>
        <v>5.3782730806608372</v>
      </c>
      <c r="U55" s="73">
        <f t="shared" si="79"/>
        <v>13.532911686103013</v>
      </c>
    </row>
    <row r="56" spans="1:21" x14ac:dyDescent="0.25">
      <c r="A56" s="254"/>
      <c r="B56" s="68" t="s">
        <v>108</v>
      </c>
      <c r="C56" s="68" t="str">
        <f>IF(B56&gt;0,VLOOKUP($B56,Implement!$B$5:$AF$412,6,FALSE)," ")</f>
        <v>Spray (Broadcast) 27'</v>
      </c>
      <c r="D56" s="71" t="str">
        <f t="shared" si="64"/>
        <v>27'</v>
      </c>
      <c r="E56" s="72">
        <f t="shared" si="65"/>
        <v>6.2678062678062682E-2</v>
      </c>
      <c r="F56" s="71">
        <v>1</v>
      </c>
      <c r="G56" s="72">
        <f t="shared" si="66"/>
        <v>6.2678062678062682E-2</v>
      </c>
      <c r="H56" s="73">
        <f t="shared" si="67"/>
        <v>2.7234375000000002</v>
      </c>
      <c r="I56" s="73">
        <f t="shared" si="68"/>
        <v>0.17069978632478636</v>
      </c>
      <c r="J56" s="73">
        <f t="shared" si="69"/>
        <v>4.4969399999999995</v>
      </c>
      <c r="K56" s="73">
        <f t="shared" si="70"/>
        <v>0.28185948717948717</v>
      </c>
      <c r="L56" s="68" t="s">
        <v>109</v>
      </c>
      <c r="M56" s="68" t="str">
        <f t="shared" si="71"/>
        <v>Tractor (60-89 hp) 2WD 75</v>
      </c>
      <c r="N56" s="74">
        <f t="shared" si="72"/>
        <v>3.8603999999999998</v>
      </c>
      <c r="O56" s="74">
        <f t="shared" si="73"/>
        <v>0.24196239316239318</v>
      </c>
      <c r="P56" s="73">
        <f t="shared" si="74"/>
        <v>6.2053571428571432</v>
      </c>
      <c r="Q56" s="73">
        <f t="shared" si="75"/>
        <v>0.38893976393976398</v>
      </c>
      <c r="R56" s="73">
        <f t="shared" si="76"/>
        <v>0.55963955026455037</v>
      </c>
      <c r="S56" s="73">
        <f t="shared" si="77"/>
        <v>14.54204761904762</v>
      </c>
      <c r="T56" s="73">
        <f t="shared" si="78"/>
        <v>0.91146737213403894</v>
      </c>
      <c r="U56" s="73">
        <f t="shared" si="79"/>
        <v>1.193326859313526</v>
      </c>
    </row>
    <row r="57" spans="1:21" x14ac:dyDescent="0.25">
      <c r="A57" s="254"/>
      <c r="C57" s="68" t="str">
        <f>IF(B57&gt;0,VLOOKUP($B57,Implement!$B$5:$AF$412,6,FALSE)," ")</f>
        <v xml:space="preserve"> </v>
      </c>
      <c r="D57" s="71">
        <f t="shared" si="64"/>
        <v>0</v>
      </c>
      <c r="E57" s="72">
        <f t="shared" si="65"/>
        <v>0</v>
      </c>
      <c r="F57" s="71">
        <v>0</v>
      </c>
      <c r="G57" s="72">
        <f t="shared" si="66"/>
        <v>0</v>
      </c>
      <c r="H57" s="73">
        <f t="shared" si="67"/>
        <v>0</v>
      </c>
      <c r="I57" s="73">
        <f t="shared" si="68"/>
        <v>0</v>
      </c>
      <c r="J57" s="73">
        <f t="shared" si="69"/>
        <v>0</v>
      </c>
      <c r="K57" s="73">
        <f t="shared" si="70"/>
        <v>0</v>
      </c>
      <c r="M57" s="68" t="str">
        <f t="shared" si="71"/>
        <v xml:space="preserve"> </v>
      </c>
      <c r="N57" s="74">
        <f t="shared" si="72"/>
        <v>0</v>
      </c>
      <c r="O57" s="74">
        <f t="shared" si="73"/>
        <v>0</v>
      </c>
      <c r="P57" s="73">
        <f t="shared" si="74"/>
        <v>0</v>
      </c>
      <c r="Q57" s="73">
        <f t="shared" si="75"/>
        <v>0</v>
      </c>
      <c r="R57" s="73">
        <f t="shared" si="76"/>
        <v>0</v>
      </c>
      <c r="S57" s="73">
        <f t="shared" si="77"/>
        <v>0</v>
      </c>
      <c r="T57" s="73">
        <f t="shared" si="78"/>
        <v>0</v>
      </c>
      <c r="U57" s="73">
        <f t="shared" si="79"/>
        <v>0</v>
      </c>
    </row>
    <row r="58" spans="1:21" x14ac:dyDescent="0.25">
      <c r="A58" s="254"/>
      <c r="C58" s="68" t="str">
        <f>IF(B58&gt;0,VLOOKUP($B58,Implement!$B$5:$AF$412,6,FALSE)," ")</f>
        <v xml:space="preserve"> </v>
      </c>
      <c r="D58" s="71">
        <f t="shared" si="64"/>
        <v>0</v>
      </c>
      <c r="E58" s="72">
        <f t="shared" si="65"/>
        <v>0</v>
      </c>
      <c r="F58" s="71">
        <v>0</v>
      </c>
      <c r="G58" s="72">
        <f t="shared" si="66"/>
        <v>0</v>
      </c>
      <c r="H58" s="73">
        <f t="shared" si="67"/>
        <v>0</v>
      </c>
      <c r="I58" s="73">
        <f t="shared" si="68"/>
        <v>0</v>
      </c>
      <c r="J58" s="73">
        <f t="shared" si="69"/>
        <v>0</v>
      </c>
      <c r="K58" s="73">
        <f t="shared" si="70"/>
        <v>0</v>
      </c>
      <c r="M58" s="68" t="str">
        <f t="shared" si="71"/>
        <v xml:space="preserve"> </v>
      </c>
      <c r="N58" s="74">
        <f t="shared" si="72"/>
        <v>0</v>
      </c>
      <c r="O58" s="74">
        <f t="shared" si="73"/>
        <v>0</v>
      </c>
      <c r="P58" s="73">
        <f t="shared" si="74"/>
        <v>0</v>
      </c>
      <c r="Q58" s="73">
        <f t="shared" si="75"/>
        <v>0</v>
      </c>
      <c r="R58" s="73">
        <f t="shared" si="76"/>
        <v>0</v>
      </c>
      <c r="S58" s="73">
        <f t="shared" si="77"/>
        <v>0</v>
      </c>
      <c r="T58" s="73">
        <f t="shared" si="78"/>
        <v>0</v>
      </c>
      <c r="U58" s="73">
        <f t="shared" si="79"/>
        <v>0</v>
      </c>
    </row>
    <row r="59" spans="1:21" x14ac:dyDescent="0.25">
      <c r="A59" s="254"/>
      <c r="C59" s="68" t="str">
        <f>IF(B59&gt;0,VLOOKUP($B59,Implement!$B$5:$AF$412,6,FALSE)," ")</f>
        <v xml:space="preserve"> </v>
      </c>
      <c r="D59" s="71">
        <f t="shared" si="64"/>
        <v>0</v>
      </c>
      <c r="E59" s="72">
        <f t="shared" si="65"/>
        <v>0</v>
      </c>
      <c r="F59" s="71">
        <v>0</v>
      </c>
      <c r="G59" s="72">
        <f t="shared" si="66"/>
        <v>0</v>
      </c>
      <c r="H59" s="73">
        <f t="shared" si="67"/>
        <v>0</v>
      </c>
      <c r="I59" s="73">
        <f t="shared" si="68"/>
        <v>0</v>
      </c>
      <c r="J59" s="73">
        <f t="shared" si="69"/>
        <v>0</v>
      </c>
      <c r="K59" s="73">
        <f t="shared" si="70"/>
        <v>0</v>
      </c>
      <c r="M59" s="68" t="str">
        <f t="shared" si="71"/>
        <v xml:space="preserve"> </v>
      </c>
      <c r="N59" s="74">
        <f t="shared" si="72"/>
        <v>0</v>
      </c>
      <c r="O59" s="74">
        <f t="shared" si="73"/>
        <v>0</v>
      </c>
      <c r="P59" s="73">
        <f t="shared" si="74"/>
        <v>0</v>
      </c>
      <c r="Q59" s="73">
        <f t="shared" si="75"/>
        <v>0</v>
      </c>
      <c r="R59" s="73">
        <f t="shared" si="76"/>
        <v>0</v>
      </c>
      <c r="S59" s="73">
        <f t="shared" si="77"/>
        <v>0</v>
      </c>
      <c r="T59" s="73">
        <f t="shared" si="78"/>
        <v>0</v>
      </c>
      <c r="U59" s="73">
        <f t="shared" si="79"/>
        <v>0</v>
      </c>
    </row>
    <row r="60" spans="1:21" x14ac:dyDescent="0.25">
      <c r="A60" s="254"/>
      <c r="C60" s="68" t="str">
        <f>IF(B60&gt;0,VLOOKUP($B60,Implement!$B$5:$AF$412,6,FALSE)," ")</f>
        <v xml:space="preserve"> </v>
      </c>
      <c r="D60" s="71">
        <f t="shared" si="64"/>
        <v>0</v>
      </c>
      <c r="E60" s="72">
        <f t="shared" si="65"/>
        <v>0</v>
      </c>
      <c r="F60" s="71">
        <v>0</v>
      </c>
      <c r="G60" s="72">
        <f t="shared" si="66"/>
        <v>0</v>
      </c>
      <c r="H60" s="73">
        <f t="shared" si="67"/>
        <v>0</v>
      </c>
      <c r="I60" s="73">
        <f t="shared" si="68"/>
        <v>0</v>
      </c>
      <c r="J60" s="73">
        <f t="shared" si="69"/>
        <v>0</v>
      </c>
      <c r="K60" s="73">
        <f t="shared" si="70"/>
        <v>0</v>
      </c>
      <c r="M60" s="68" t="str">
        <f t="shared" si="71"/>
        <v xml:space="preserve"> </v>
      </c>
      <c r="N60" s="74">
        <f t="shared" si="72"/>
        <v>0</v>
      </c>
      <c r="O60" s="74">
        <f t="shared" si="73"/>
        <v>0</v>
      </c>
      <c r="P60" s="73">
        <f t="shared" si="74"/>
        <v>0</v>
      </c>
      <c r="Q60" s="73">
        <f t="shared" si="75"/>
        <v>0</v>
      </c>
      <c r="R60" s="73">
        <f t="shared" si="76"/>
        <v>0</v>
      </c>
      <c r="S60" s="73">
        <f t="shared" si="77"/>
        <v>0</v>
      </c>
      <c r="T60" s="73">
        <f t="shared" si="78"/>
        <v>0</v>
      </c>
      <c r="U60" s="73">
        <f t="shared" si="79"/>
        <v>0</v>
      </c>
    </row>
    <row r="61" spans="1:21" x14ac:dyDescent="0.25">
      <c r="A61" s="255"/>
      <c r="B61" s="75"/>
      <c r="C61" s="75"/>
      <c r="D61" s="76"/>
      <c r="E61" s="76"/>
      <c r="F61" s="76"/>
      <c r="G61" s="77">
        <f>SUM(G54:G60)</f>
        <v>0.46653960729590987</v>
      </c>
      <c r="H61" s="75"/>
      <c r="I61" s="75"/>
      <c r="J61" s="75"/>
      <c r="K61" s="75"/>
      <c r="L61" s="75"/>
      <c r="M61" s="75"/>
      <c r="N61" s="78"/>
      <c r="O61" s="78">
        <f>SUM(O54:O60)</f>
        <v>2.4246724972040106</v>
      </c>
      <c r="P61" s="79"/>
      <c r="Q61" s="79"/>
      <c r="R61" s="79">
        <f>SUM(R54:R60)</f>
        <v>6.9261392453806927</v>
      </c>
      <c r="S61" s="79"/>
      <c r="T61" s="79"/>
      <c r="U61" s="79">
        <f>SUM(U54:U60)</f>
        <v>19.275650736959822</v>
      </c>
    </row>
    <row r="64" spans="1:21" x14ac:dyDescent="0.25">
      <c r="A64" s="69"/>
      <c r="B64" s="252" t="s">
        <v>498</v>
      </c>
      <c r="C64" s="252"/>
      <c r="D64" s="252"/>
      <c r="E64" s="252"/>
      <c r="F64" s="252"/>
      <c r="G64" s="252"/>
      <c r="H64" s="252"/>
      <c r="I64" s="252"/>
      <c r="J64" s="252"/>
      <c r="K64" s="252"/>
      <c r="L64" s="252"/>
      <c r="M64" s="252"/>
      <c r="N64" s="252"/>
      <c r="O64" s="252"/>
      <c r="P64" s="252"/>
      <c r="Q64" s="252"/>
      <c r="R64" s="252"/>
      <c r="S64" s="252"/>
      <c r="T64" s="252"/>
      <c r="U64" s="252"/>
    </row>
    <row r="65" spans="1:21" ht="30" x14ac:dyDescent="0.25">
      <c r="A65" s="253" t="s">
        <v>87</v>
      </c>
      <c r="B65" s="70" t="s">
        <v>88</v>
      </c>
      <c r="C65" s="70" t="s">
        <v>89</v>
      </c>
      <c r="D65" s="70" t="s">
        <v>90</v>
      </c>
      <c r="E65" s="70" t="s">
        <v>91</v>
      </c>
      <c r="F65" s="70" t="s">
        <v>92</v>
      </c>
      <c r="G65" s="70" t="s">
        <v>93</v>
      </c>
      <c r="H65" s="70" t="s">
        <v>94</v>
      </c>
      <c r="I65" s="70" t="s">
        <v>95</v>
      </c>
      <c r="J65" s="70" t="s">
        <v>96</v>
      </c>
      <c r="K65" s="70" t="s">
        <v>97</v>
      </c>
      <c r="L65" s="70" t="s">
        <v>98</v>
      </c>
      <c r="M65" s="70" t="s">
        <v>99</v>
      </c>
      <c r="N65" s="70" t="s">
        <v>100</v>
      </c>
      <c r="O65" s="70" t="s">
        <v>101</v>
      </c>
      <c r="P65" s="70" t="s">
        <v>102</v>
      </c>
      <c r="Q65" s="70" t="s">
        <v>103</v>
      </c>
      <c r="R65" s="70" t="s">
        <v>104</v>
      </c>
      <c r="S65" s="70" t="s">
        <v>105</v>
      </c>
      <c r="T65" s="70" t="s">
        <v>106</v>
      </c>
      <c r="U65" s="70" t="s">
        <v>107</v>
      </c>
    </row>
    <row r="66" spans="1:21" x14ac:dyDescent="0.25">
      <c r="A66" s="254"/>
      <c r="B66" s="121" t="s">
        <v>108</v>
      </c>
      <c r="C66" s="68" t="str">
        <f>IF(B66&gt;0,VLOOKUP($B66,Implement!$B$5:$AF$412,6,FALSE)," ")</f>
        <v>Spray (Broadcast) 27'</v>
      </c>
      <c r="D66" s="71" t="str">
        <f t="shared" ref="D66:D72" si="80">IF(B66&gt;0,VLOOKUP($B66,implement,5,FALSE),0)</f>
        <v>27'</v>
      </c>
      <c r="E66" s="72">
        <f t="shared" ref="E66:E72" si="81">IF(B66&gt;0,VLOOKUP($B66,implement,11,FALSE),0)</f>
        <v>6.2678062678062682E-2</v>
      </c>
      <c r="F66" s="144">
        <v>7</v>
      </c>
      <c r="G66" s="72">
        <f t="shared" ref="G66:G72" si="82">F66*E66</f>
        <v>0.43874643874643876</v>
      </c>
      <c r="H66" s="73">
        <f t="shared" ref="H66:H72" si="83">IF(B66&gt;0,VLOOKUP($B66,implement,24,FALSE),0)</f>
        <v>2.7234375000000002</v>
      </c>
      <c r="I66" s="73">
        <f t="shared" ref="I66:I72" si="84">H66*G66</f>
        <v>1.1948985042735043</v>
      </c>
      <c r="J66" s="73">
        <f t="shared" ref="J66:J72" si="85">IF(B66&gt;0,VLOOKUP($B66,implement,31,FALSE),0)</f>
        <v>4.4969399999999995</v>
      </c>
      <c r="K66" s="73">
        <f t="shared" ref="K66:K72" si="86">J66*G66</f>
        <v>1.9730164102564101</v>
      </c>
      <c r="L66" s="121" t="s">
        <v>109</v>
      </c>
      <c r="M66" s="68" t="str">
        <f t="shared" ref="M66:M72" si="87">IF(K66&gt;0,VLOOKUP($L66,tractor_data,6)," ")</f>
        <v>Tractor (60-89 hp) 2WD 75</v>
      </c>
      <c r="N66" s="74">
        <f t="shared" ref="N66:N72" si="88">IF(L66&gt;0,VLOOKUP($L66,tractor_data,8),0)</f>
        <v>3.8603999999999998</v>
      </c>
      <c r="O66" s="74">
        <f t="shared" ref="O66:O72" si="89">N66*G66</f>
        <v>1.6937367521367521</v>
      </c>
      <c r="P66" s="73">
        <f t="shared" ref="P66:P72" si="90">IF(L66&gt;0,VLOOKUP($L66,tractor_data,17),0)</f>
        <v>6.2053571428571432</v>
      </c>
      <c r="Q66" s="73">
        <f t="shared" ref="Q66:Q72" si="91">P66*G66</f>
        <v>2.7225783475783478</v>
      </c>
      <c r="R66" s="73">
        <f t="shared" ref="R66:R72" si="92">I66+Q66</f>
        <v>3.9174768518518519</v>
      </c>
      <c r="S66" s="73">
        <f t="shared" ref="S66:S72" si="93">IF(L66&gt;0,VLOOKUP($L66,tractor_data,24),0)</f>
        <v>14.54204761904762</v>
      </c>
      <c r="T66" s="73">
        <f t="shared" ref="T66:T72" si="94">S66*G66</f>
        <v>6.3802716049382724</v>
      </c>
      <c r="U66" s="73">
        <f t="shared" ref="U66:U72" si="95">T66+K66</f>
        <v>8.353288015194682</v>
      </c>
    </row>
    <row r="67" spans="1:21" x14ac:dyDescent="0.25">
      <c r="A67" s="254"/>
      <c r="B67" s="121" t="s">
        <v>499</v>
      </c>
      <c r="C67" s="68" t="str">
        <f>IF(B67&gt;0,VLOOKUP($B67,Implement!$B$5:$AF$412,6,FALSE)," ")</f>
        <v>Hay Cut-Cond 12'</v>
      </c>
      <c r="D67" s="71" t="str">
        <f t="shared" si="80"/>
        <v>12'</v>
      </c>
      <c r="E67" s="72">
        <f t="shared" si="81"/>
        <v>0.171875</v>
      </c>
      <c r="F67" s="144">
        <v>4</v>
      </c>
      <c r="G67" s="72">
        <f t="shared" si="82"/>
        <v>0.6875</v>
      </c>
      <c r="H67" s="73">
        <f t="shared" si="83"/>
        <v>29.5625</v>
      </c>
      <c r="I67" s="73">
        <f t="shared" si="84"/>
        <v>20.32421875</v>
      </c>
      <c r="J67" s="73">
        <f t="shared" si="85"/>
        <v>40.630699999999997</v>
      </c>
      <c r="K67" s="73">
        <f t="shared" si="86"/>
        <v>27.933606249999997</v>
      </c>
      <c r="L67" s="121" t="s">
        <v>111</v>
      </c>
      <c r="M67" s="68" t="str">
        <f t="shared" si="87"/>
        <v>Tractor (90-119 hp) 2WD 105</v>
      </c>
      <c r="N67" s="74">
        <f t="shared" si="88"/>
        <v>5.4046000000000003</v>
      </c>
      <c r="O67" s="74">
        <f t="shared" si="89"/>
        <v>3.7156625000000001</v>
      </c>
      <c r="P67" s="73">
        <f t="shared" si="90"/>
        <v>6.5428571428571427</v>
      </c>
      <c r="Q67" s="73">
        <f t="shared" si="91"/>
        <v>4.4982142857142859</v>
      </c>
      <c r="R67" s="73">
        <f t="shared" si="92"/>
        <v>24.822433035714287</v>
      </c>
      <c r="S67" s="73">
        <f t="shared" si="93"/>
        <v>19.166209523809528</v>
      </c>
      <c r="T67" s="73">
        <f t="shared" si="94"/>
        <v>13.17676904761905</v>
      </c>
      <c r="U67" s="73">
        <f t="shared" si="95"/>
        <v>41.110375297619044</v>
      </c>
    </row>
    <row r="68" spans="1:21" x14ac:dyDescent="0.25">
      <c r="A68" s="254"/>
      <c r="B68" s="121" t="s">
        <v>500</v>
      </c>
      <c r="C68" s="68" t="str">
        <f>IF(B68&gt;0,VLOOKUP($B68,Implement!$B$5:$AF$412,6,FALSE)," ")</f>
        <v>Hay Tedder 17'</v>
      </c>
      <c r="D68" s="71" t="str">
        <f t="shared" si="80"/>
        <v>17'</v>
      </c>
      <c r="E68" s="72">
        <f t="shared" si="81"/>
        <v>0.1011029411764706</v>
      </c>
      <c r="F68" s="144">
        <v>4</v>
      </c>
      <c r="G68" s="72">
        <f t="shared" si="82"/>
        <v>0.40441176470588241</v>
      </c>
      <c r="H68" s="73">
        <f t="shared" si="83"/>
        <v>6.15</v>
      </c>
      <c r="I68" s="73">
        <f t="shared" si="84"/>
        <v>2.4871323529411771</v>
      </c>
      <c r="J68" s="73">
        <f t="shared" si="85"/>
        <v>10.565700000000001</v>
      </c>
      <c r="K68" s="73">
        <f t="shared" si="86"/>
        <v>4.272893382352942</v>
      </c>
      <c r="L68" s="121" t="s">
        <v>109</v>
      </c>
      <c r="M68" s="68" t="str">
        <f t="shared" si="87"/>
        <v>Tractor (60-89 hp) 2WD 75</v>
      </c>
      <c r="N68" s="74">
        <f t="shared" si="88"/>
        <v>3.8603999999999998</v>
      </c>
      <c r="O68" s="74">
        <f t="shared" si="89"/>
        <v>1.5611911764705884</v>
      </c>
      <c r="P68" s="73">
        <f t="shared" si="90"/>
        <v>6.2053571428571432</v>
      </c>
      <c r="Q68" s="73">
        <f t="shared" si="91"/>
        <v>2.5095194327731098</v>
      </c>
      <c r="R68" s="73">
        <f t="shared" si="92"/>
        <v>4.9966517857142865</v>
      </c>
      <c r="S68" s="73">
        <f t="shared" si="93"/>
        <v>14.54204761904762</v>
      </c>
      <c r="T68" s="73">
        <f t="shared" si="94"/>
        <v>5.880975140056024</v>
      </c>
      <c r="U68" s="73">
        <f t="shared" si="95"/>
        <v>10.153868522408967</v>
      </c>
    </row>
    <row r="69" spans="1:21" x14ac:dyDescent="0.25">
      <c r="A69" s="254"/>
      <c r="B69" s="121" t="s">
        <v>501</v>
      </c>
      <c r="C69" s="68" t="str">
        <f>IF(B69&gt;0,VLOOKUP($B69,Implement!$B$5:$AF$412,6,FALSE)," ")</f>
        <v>Hay Rake 17'</v>
      </c>
      <c r="D69" s="71" t="str">
        <f t="shared" si="80"/>
        <v>17'</v>
      </c>
      <c r="E69" s="72">
        <f t="shared" si="81"/>
        <v>0.1011029411764706</v>
      </c>
      <c r="F69" s="144">
        <v>4</v>
      </c>
      <c r="G69" s="72">
        <f t="shared" si="82"/>
        <v>0.40441176470588241</v>
      </c>
      <c r="H69" s="73">
        <f t="shared" si="83"/>
        <v>4.05</v>
      </c>
      <c r="I69" s="73">
        <f t="shared" si="84"/>
        <v>1.6378676470588238</v>
      </c>
      <c r="J69" s="73">
        <f t="shared" si="85"/>
        <v>6.9578999999999995</v>
      </c>
      <c r="K69" s="73">
        <f t="shared" si="86"/>
        <v>2.8138566176470592</v>
      </c>
      <c r="L69" s="121" t="s">
        <v>109</v>
      </c>
      <c r="M69" s="68" t="str">
        <f t="shared" si="87"/>
        <v>Tractor (60-89 hp) 2WD 75</v>
      </c>
      <c r="N69" s="74">
        <f t="shared" si="88"/>
        <v>3.8603999999999998</v>
      </c>
      <c r="O69" s="74">
        <f t="shared" si="89"/>
        <v>1.5611911764705884</v>
      </c>
      <c r="P69" s="73">
        <f t="shared" si="90"/>
        <v>6.2053571428571432</v>
      </c>
      <c r="Q69" s="73">
        <f t="shared" si="91"/>
        <v>2.5095194327731098</v>
      </c>
      <c r="R69" s="73">
        <f t="shared" si="92"/>
        <v>4.1473870798319332</v>
      </c>
      <c r="S69" s="73">
        <f t="shared" si="93"/>
        <v>14.54204761904762</v>
      </c>
      <c r="T69" s="73">
        <f t="shared" si="94"/>
        <v>5.880975140056024</v>
      </c>
      <c r="U69" s="73">
        <f t="shared" si="95"/>
        <v>8.6948317577030831</v>
      </c>
    </row>
    <row r="70" spans="1:21" x14ac:dyDescent="0.25">
      <c r="A70" s="254"/>
      <c r="B70" s="121" t="s">
        <v>502</v>
      </c>
      <c r="C70" s="68" t="str">
        <f>IF(B70&gt;0,VLOOKUP($B70,Implement!$B$5:$AF$412,6,FALSE)," ")</f>
        <v>Hay Baler Lg Round</v>
      </c>
      <c r="D70" s="71" t="str">
        <f t="shared" si="80"/>
        <v>Lg Round</v>
      </c>
      <c r="E70" s="72">
        <f t="shared" si="81"/>
        <v>0.21153846153846154</v>
      </c>
      <c r="F70" s="144">
        <v>4</v>
      </c>
      <c r="G70" s="72">
        <f t="shared" si="82"/>
        <v>0.84615384615384615</v>
      </c>
      <c r="H70" s="73">
        <f t="shared" si="83"/>
        <v>37.237499999999997</v>
      </c>
      <c r="I70" s="73">
        <f t="shared" si="84"/>
        <v>31.508653846153845</v>
      </c>
      <c r="J70" s="73">
        <f t="shared" si="85"/>
        <v>56.8658</v>
      </c>
      <c r="K70" s="73">
        <f t="shared" si="86"/>
        <v>48.117215384615385</v>
      </c>
      <c r="L70" s="121" t="s">
        <v>109</v>
      </c>
      <c r="M70" s="68" t="str">
        <f t="shared" si="87"/>
        <v>Tractor (60-89 hp) 2WD 75</v>
      </c>
      <c r="N70" s="74">
        <f t="shared" si="88"/>
        <v>3.8603999999999998</v>
      </c>
      <c r="O70" s="74">
        <f t="shared" si="89"/>
        <v>3.2664923076923076</v>
      </c>
      <c r="P70" s="73">
        <f t="shared" si="90"/>
        <v>6.2053571428571432</v>
      </c>
      <c r="Q70" s="73">
        <f t="shared" si="91"/>
        <v>5.2506868131868139</v>
      </c>
      <c r="R70" s="73">
        <f t="shared" si="92"/>
        <v>36.759340659340658</v>
      </c>
      <c r="S70" s="73">
        <f t="shared" si="93"/>
        <v>14.54204761904762</v>
      </c>
      <c r="T70" s="73">
        <f t="shared" si="94"/>
        <v>12.304809523809524</v>
      </c>
      <c r="U70" s="73">
        <f t="shared" si="95"/>
        <v>60.422024908424909</v>
      </c>
    </row>
    <row r="71" spans="1:21" x14ac:dyDescent="0.25">
      <c r="A71" s="254"/>
      <c r="B71" s="121" t="s">
        <v>503</v>
      </c>
      <c r="C71" s="68" t="str">
        <f>IF(B71&gt;0,VLOOKUP($B71,Implement!$B$5:$AF$412,6,FALSE)," ")</f>
        <v>Hay Mover 1B Lift</v>
      </c>
      <c r="D71" s="71" t="str">
        <f t="shared" si="80"/>
        <v>1B Lift</v>
      </c>
      <c r="E71" s="72">
        <f t="shared" si="81"/>
        <v>0.3</v>
      </c>
      <c r="F71" s="144">
        <v>4</v>
      </c>
      <c r="G71" s="72">
        <f t="shared" si="82"/>
        <v>1.2</v>
      </c>
      <c r="H71" s="73">
        <f t="shared" si="83"/>
        <v>0.17</v>
      </c>
      <c r="I71" s="73">
        <f t="shared" si="84"/>
        <v>0.20400000000000001</v>
      </c>
      <c r="J71" s="73">
        <f t="shared" si="85"/>
        <v>0.51186999999999994</v>
      </c>
      <c r="K71" s="73">
        <f t="shared" si="86"/>
        <v>0.6142439999999999</v>
      </c>
      <c r="L71" s="121" t="s">
        <v>109</v>
      </c>
      <c r="M71" s="68" t="str">
        <f t="shared" si="87"/>
        <v>Tractor (60-89 hp) 2WD 75</v>
      </c>
      <c r="N71" s="74">
        <f t="shared" si="88"/>
        <v>3.8603999999999998</v>
      </c>
      <c r="O71" s="74">
        <f t="shared" si="89"/>
        <v>4.6324799999999993</v>
      </c>
      <c r="P71" s="73">
        <f t="shared" si="90"/>
        <v>6.2053571428571432</v>
      </c>
      <c r="Q71" s="73">
        <f t="shared" si="91"/>
        <v>7.4464285714285712</v>
      </c>
      <c r="R71" s="73">
        <f t="shared" si="92"/>
        <v>7.6504285714285709</v>
      </c>
      <c r="S71" s="73">
        <f t="shared" si="93"/>
        <v>14.54204761904762</v>
      </c>
      <c r="T71" s="73">
        <f t="shared" si="94"/>
        <v>17.450457142857143</v>
      </c>
      <c r="U71" s="73">
        <f t="shared" si="95"/>
        <v>18.064701142857142</v>
      </c>
    </row>
    <row r="72" spans="1:21" x14ac:dyDescent="0.25">
      <c r="A72" s="254"/>
      <c r="C72" s="68" t="str">
        <f>IF(B72&gt;0,VLOOKUP($B72,Implement!$B$5:$AF$412,6,FALSE)," ")</f>
        <v xml:space="preserve"> </v>
      </c>
      <c r="D72" s="71">
        <f t="shared" si="80"/>
        <v>0</v>
      </c>
      <c r="E72" s="72">
        <f t="shared" si="81"/>
        <v>0</v>
      </c>
      <c r="F72" s="71">
        <v>0</v>
      </c>
      <c r="G72" s="72">
        <f t="shared" si="82"/>
        <v>0</v>
      </c>
      <c r="H72" s="73">
        <f t="shared" si="83"/>
        <v>0</v>
      </c>
      <c r="I72" s="73">
        <f t="shared" si="84"/>
        <v>0</v>
      </c>
      <c r="J72" s="73">
        <f t="shared" si="85"/>
        <v>0</v>
      </c>
      <c r="K72" s="73">
        <f t="shared" si="86"/>
        <v>0</v>
      </c>
      <c r="M72" s="68" t="str">
        <f t="shared" si="87"/>
        <v xml:space="preserve"> </v>
      </c>
      <c r="N72" s="74">
        <f t="shared" si="88"/>
        <v>0</v>
      </c>
      <c r="O72" s="74">
        <f t="shared" si="89"/>
        <v>0</v>
      </c>
      <c r="P72" s="73">
        <f t="shared" si="90"/>
        <v>0</v>
      </c>
      <c r="Q72" s="73">
        <f t="shared" si="91"/>
        <v>0</v>
      </c>
      <c r="R72" s="73">
        <f t="shared" si="92"/>
        <v>0</v>
      </c>
      <c r="S72" s="73">
        <f t="shared" si="93"/>
        <v>0</v>
      </c>
      <c r="T72" s="73">
        <f t="shared" si="94"/>
        <v>0</v>
      </c>
      <c r="U72" s="73">
        <f t="shared" si="95"/>
        <v>0</v>
      </c>
    </row>
    <row r="73" spans="1:21" x14ac:dyDescent="0.25">
      <c r="A73" s="255"/>
      <c r="B73" s="75"/>
      <c r="C73" s="75"/>
      <c r="D73" s="76"/>
      <c r="E73" s="76"/>
      <c r="F73" s="76"/>
      <c r="G73" s="77">
        <f>SUM(G66:G72)</f>
        <v>3.9812238143120497</v>
      </c>
      <c r="H73" s="75"/>
      <c r="I73" s="75"/>
      <c r="J73" s="75"/>
      <c r="K73" s="75"/>
      <c r="L73" s="75"/>
      <c r="M73" s="75"/>
      <c r="N73" s="78"/>
      <c r="O73" s="78">
        <f>SUM(O66:O72)</f>
        <v>16.430753912770236</v>
      </c>
      <c r="P73" s="79"/>
      <c r="Q73" s="79"/>
      <c r="R73" s="79">
        <f>SUM(R66:R72)</f>
        <v>82.293717983881592</v>
      </c>
      <c r="S73" s="79"/>
      <c r="T73" s="79"/>
      <c r="U73" s="79">
        <f>SUM(U66:U72)</f>
        <v>146.79908964420781</v>
      </c>
    </row>
    <row r="76" spans="1:21" x14ac:dyDescent="0.25">
      <c r="B76" s="211" t="s">
        <v>607</v>
      </c>
      <c r="C76" s="69"/>
      <c r="D76" s="69"/>
      <c r="E76" s="69"/>
      <c r="F76" s="69"/>
    </row>
    <row r="77" spans="1:21" x14ac:dyDescent="0.25">
      <c r="B77" s="211" t="s">
        <v>561</v>
      </c>
      <c r="C77" s="211" t="s">
        <v>80</v>
      </c>
      <c r="D77" s="211" t="s">
        <v>93</v>
      </c>
      <c r="E77" s="211" t="s">
        <v>562</v>
      </c>
      <c r="F77" s="211" t="s">
        <v>563</v>
      </c>
    </row>
    <row r="78" spans="1:21" x14ac:dyDescent="0.25">
      <c r="B78" s="68" t="s">
        <v>490</v>
      </c>
      <c r="C78" s="103">
        <f>Main!E32</f>
        <v>0</v>
      </c>
      <c r="D78" s="103">
        <f>C78*G13</f>
        <v>0</v>
      </c>
      <c r="E78" s="103">
        <f>C78*O13</f>
        <v>0</v>
      </c>
      <c r="F78" s="73">
        <f>C78*R13</f>
        <v>0</v>
      </c>
    </row>
    <row r="79" spans="1:21" x14ac:dyDescent="0.25">
      <c r="B79" s="68" t="s">
        <v>55</v>
      </c>
      <c r="C79" s="103">
        <f>Main!E33</f>
        <v>25</v>
      </c>
      <c r="D79" s="103">
        <f>C79*G25</f>
        <v>5.5892602767602773</v>
      </c>
      <c r="E79" s="103">
        <f>C79*O25</f>
        <v>25.368342872405375</v>
      </c>
      <c r="F79" s="73">
        <f>C79*R25</f>
        <v>84.261796873404023</v>
      </c>
    </row>
    <row r="80" spans="1:21" x14ac:dyDescent="0.25">
      <c r="B80" s="68" t="s">
        <v>56</v>
      </c>
      <c r="C80" s="103">
        <f>Main!E34</f>
        <v>37.5</v>
      </c>
      <c r="D80" s="103">
        <f>C80*G37</f>
        <v>8.3838904151404154</v>
      </c>
      <c r="E80" s="103">
        <f>C80*O37</f>
        <v>38.05251430860806</v>
      </c>
      <c r="F80" s="73">
        <f>C80*R37</f>
        <v>126.39269531010603</v>
      </c>
    </row>
    <row r="81" spans="2:6" x14ac:dyDescent="0.25">
      <c r="B81" s="68" t="s">
        <v>558</v>
      </c>
      <c r="C81" s="103">
        <f>Main!E35</f>
        <v>10</v>
      </c>
      <c r="D81" s="103">
        <f>C81*G49</f>
        <v>4.6653960729590986</v>
      </c>
      <c r="E81" s="103">
        <f>C81*O49</f>
        <v>24.246724972040106</v>
      </c>
      <c r="F81" s="73">
        <f>C81*R49</f>
        <v>69.261392453806934</v>
      </c>
    </row>
    <row r="82" spans="2:6" x14ac:dyDescent="0.25">
      <c r="B82" s="68" t="s">
        <v>559</v>
      </c>
      <c r="C82" s="103">
        <f>Main!E36</f>
        <v>0</v>
      </c>
      <c r="D82" s="103">
        <f>C82*G61</f>
        <v>0</v>
      </c>
      <c r="E82" s="103">
        <f>C82*O61</f>
        <v>0</v>
      </c>
      <c r="F82" s="73">
        <f>C82*R61</f>
        <v>0</v>
      </c>
    </row>
    <row r="83" spans="2:6" x14ac:dyDescent="0.25">
      <c r="B83" s="69" t="s">
        <v>560</v>
      </c>
      <c r="C83" s="103">
        <f>Main!E37</f>
        <v>0</v>
      </c>
      <c r="D83" s="172">
        <f>C83*G73</f>
        <v>0</v>
      </c>
      <c r="E83" s="172">
        <f>C83*O73</f>
        <v>0</v>
      </c>
      <c r="F83" s="175">
        <f>C83*R73</f>
        <v>0</v>
      </c>
    </row>
    <row r="84" spans="2:6" x14ac:dyDescent="0.25">
      <c r="B84" s="173" t="s">
        <v>440</v>
      </c>
      <c r="C84" s="174">
        <f>SUM(C78:C83)</f>
        <v>72.5</v>
      </c>
      <c r="D84" s="174">
        <f t="shared" ref="D84:F84" si="96">SUM(D78:D83)</f>
        <v>18.63854676485979</v>
      </c>
      <c r="E84" s="174">
        <f t="shared" si="96"/>
        <v>87.66758215305353</v>
      </c>
      <c r="F84" s="176">
        <f t="shared" si="96"/>
        <v>279.91588463731699</v>
      </c>
    </row>
  </sheetData>
  <mergeCells count="13">
    <mergeCell ref="B2:U2"/>
    <mergeCell ref="B16:U16"/>
    <mergeCell ref="A17:A25"/>
    <mergeCell ref="B28:U28"/>
    <mergeCell ref="A29:A37"/>
    <mergeCell ref="B64:U64"/>
    <mergeCell ref="A65:A73"/>
    <mergeCell ref="B4:U4"/>
    <mergeCell ref="A5:A13"/>
    <mergeCell ref="A41:A49"/>
    <mergeCell ref="B52:U52"/>
    <mergeCell ref="A53:A61"/>
    <mergeCell ref="B40:U40"/>
  </mergeCells>
  <dataValidations count="1">
    <dataValidation type="list" allowBlank="1" showInputMessage="1" showErrorMessage="1" sqref="L18:L24 L30:L36 L42:L48 L54:L60 L66:L72 L6:L12" xr:uid="{00000000-0002-0000-0D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Implement!$B$5:$B$412</xm:f>
          </x14:formula1>
          <xm:sqref>B18:B24 B30:B36 B42:B48 B54:B60 B6:B12 B66:B72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O123"/>
  <sheetViews>
    <sheetView workbookViewId="0"/>
  </sheetViews>
  <sheetFormatPr defaultColWidth="9" defaultRowHeight="15" x14ac:dyDescent="0.25"/>
  <cols>
    <col min="1" max="1" width="9" style="121"/>
    <col min="2" max="2" width="26.5" style="121" bestFit="1" customWidth="1"/>
    <col min="3" max="3" width="7.5" style="121" bestFit="1" customWidth="1"/>
    <col min="4" max="4" width="11.625" style="121" bestFit="1" customWidth="1"/>
    <col min="5" max="5" width="9.25" style="121" bestFit="1" customWidth="1"/>
    <col min="6" max="6" width="16.625" style="121" bestFit="1" customWidth="1"/>
    <col min="7" max="7" width="10.875" style="121" bestFit="1" customWidth="1"/>
    <col min="8" max="9" width="13.625" style="121" bestFit="1" customWidth="1"/>
    <col min="10" max="10" width="7.875" style="121" bestFit="1" customWidth="1"/>
    <col min="11" max="11" width="10.875" style="121" bestFit="1" customWidth="1"/>
    <col min="12" max="15" width="7.875" style="121" bestFit="1" customWidth="1"/>
    <col min="16" max="16384" width="9" style="121"/>
  </cols>
  <sheetData>
    <row r="2" spans="2:15" x14ac:dyDescent="0.25">
      <c r="B2" s="180" t="s">
        <v>25</v>
      </c>
      <c r="C2" s="180"/>
      <c r="D2" s="180"/>
      <c r="E2" s="180"/>
      <c r="F2" s="180"/>
      <c r="G2" s="180"/>
      <c r="H2" s="180"/>
      <c r="I2" s="180"/>
      <c r="J2" s="68"/>
      <c r="K2" s="68"/>
      <c r="L2" s="68"/>
    </row>
    <row r="3" spans="2:15" ht="15.75" thickBot="1" x14ac:dyDescent="0.3">
      <c r="B3" s="192"/>
      <c r="C3" s="192"/>
      <c r="D3" s="192"/>
      <c r="E3" s="192"/>
      <c r="F3" s="192"/>
      <c r="G3" s="192"/>
      <c r="H3" s="192"/>
      <c r="I3" s="192"/>
      <c r="J3" s="192"/>
      <c r="K3" s="192"/>
      <c r="L3" s="192"/>
      <c r="M3" s="126"/>
      <c r="N3" s="126"/>
      <c r="O3" s="126"/>
    </row>
    <row r="4" spans="2:15" ht="30.75" thickBot="1" x14ac:dyDescent="0.3">
      <c r="B4" s="194" t="s">
        <v>115</v>
      </c>
      <c r="C4" s="195" t="s">
        <v>589</v>
      </c>
      <c r="D4" s="195" t="s">
        <v>420</v>
      </c>
      <c r="E4" s="195" t="s">
        <v>590</v>
      </c>
      <c r="F4" s="195" t="s">
        <v>592</v>
      </c>
      <c r="G4" s="195" t="s">
        <v>593</v>
      </c>
      <c r="H4" s="195" t="s">
        <v>594</v>
      </c>
      <c r="I4" s="195" t="s">
        <v>595</v>
      </c>
      <c r="J4" s="195" t="s">
        <v>596</v>
      </c>
      <c r="K4" s="195" t="s">
        <v>597</v>
      </c>
      <c r="L4" s="195" t="s">
        <v>598</v>
      </c>
      <c r="M4" s="195" t="s">
        <v>599</v>
      </c>
      <c r="N4" s="195" t="s">
        <v>600</v>
      </c>
      <c r="O4" s="195" t="s">
        <v>606</v>
      </c>
    </row>
    <row r="5" spans="2:15" x14ac:dyDescent="0.25">
      <c r="B5" s="68" t="s">
        <v>108</v>
      </c>
      <c r="C5" s="201">
        <f t="shared" ref="C5:C17" si="0">IF(B5&gt;0,VLOOKUP($B5,implement,7,FALSE),0)</f>
        <v>5810</v>
      </c>
      <c r="D5" s="201">
        <f t="shared" ref="D5:D17" si="1">IF(B5&gt;0,VLOOKUP($B5,implement,25,FALSE),0)</f>
        <v>2324</v>
      </c>
      <c r="E5" s="202">
        <f t="shared" ref="E5:E17" si="2">IF(B5&gt;0,VLOOKUP($B5,implement,14,FALSE),0)</f>
        <v>8</v>
      </c>
      <c r="F5" s="190">
        <f>AVERAGE(C5:D5)</f>
        <v>4067</v>
      </c>
      <c r="G5" s="190">
        <f>IF(E5&gt;0,(C5-D5)/E5,0)</f>
        <v>435.75</v>
      </c>
      <c r="H5" s="190">
        <f t="shared" ref="H5:H17" si="3">F5*intir</f>
        <v>366.03</v>
      </c>
      <c r="I5" s="190">
        <f t="shared" ref="I5:I17" si="4">F5*itr</f>
        <v>97.608000000000004</v>
      </c>
      <c r="J5" s="164">
        <v>0.25</v>
      </c>
      <c r="K5" s="191">
        <f t="shared" ref="K5:K15" si="5">G5*$J5</f>
        <v>108.9375</v>
      </c>
      <c r="L5" s="191">
        <f t="shared" ref="L5:L15" si="6">H5*$J5</f>
        <v>91.507499999999993</v>
      </c>
      <c r="M5" s="191">
        <f t="shared" ref="M5:M15" si="7">I5*$J5</f>
        <v>24.402000000000001</v>
      </c>
      <c r="N5" s="160">
        <f t="shared" ref="N5:N15" si="8">SUM(K5,L5,M5)</f>
        <v>224.84699999999998</v>
      </c>
      <c r="O5" s="160">
        <f>N5/Main!$D$9</f>
        <v>4.4969399999999995</v>
      </c>
    </row>
    <row r="6" spans="2:15" x14ac:dyDescent="0.25">
      <c r="B6" s="68" t="s">
        <v>110</v>
      </c>
      <c r="C6" s="201">
        <f t="shared" si="0"/>
        <v>20200</v>
      </c>
      <c r="D6" s="201">
        <f t="shared" si="1"/>
        <v>6060</v>
      </c>
      <c r="E6" s="202">
        <f t="shared" si="2"/>
        <v>10</v>
      </c>
      <c r="F6" s="190">
        <f t="shared" ref="F6:F14" si="9">AVERAGE(C6:D6)</f>
        <v>13130</v>
      </c>
      <c r="G6" s="190">
        <f t="shared" ref="G6:G17" si="10">IF(E6&gt;0,(C6-D6)/E6,0)</f>
        <v>1414</v>
      </c>
      <c r="H6" s="190">
        <f t="shared" si="3"/>
        <v>1181.7</v>
      </c>
      <c r="I6" s="190">
        <f t="shared" si="4"/>
        <v>315.12</v>
      </c>
      <c r="J6" s="164">
        <v>0.25</v>
      </c>
      <c r="K6" s="191">
        <f t="shared" si="5"/>
        <v>353.5</v>
      </c>
      <c r="L6" s="191">
        <f t="shared" si="6"/>
        <v>295.42500000000001</v>
      </c>
      <c r="M6" s="191">
        <f t="shared" si="7"/>
        <v>78.78</v>
      </c>
      <c r="N6" s="160">
        <f t="shared" si="8"/>
        <v>727.70499999999993</v>
      </c>
      <c r="O6" s="160">
        <f>N6/Main!$D$9</f>
        <v>14.554099999999998</v>
      </c>
    </row>
    <row r="7" spans="2:15" x14ac:dyDescent="0.25">
      <c r="B7" s="68" t="s">
        <v>543</v>
      </c>
      <c r="C7" s="201">
        <f t="shared" si="0"/>
        <v>69500</v>
      </c>
      <c r="D7" s="201">
        <f t="shared" si="1"/>
        <v>31275</v>
      </c>
      <c r="E7" s="202">
        <f t="shared" si="2"/>
        <v>8</v>
      </c>
      <c r="F7" s="190">
        <f t="shared" si="9"/>
        <v>50387.5</v>
      </c>
      <c r="G7" s="190">
        <f t="shared" si="10"/>
        <v>4778.125</v>
      </c>
      <c r="H7" s="190">
        <f t="shared" si="3"/>
        <v>4534.875</v>
      </c>
      <c r="I7" s="190">
        <f t="shared" si="4"/>
        <v>1209.3</v>
      </c>
      <c r="J7" s="164">
        <v>0.1</v>
      </c>
      <c r="K7" s="191">
        <f t="shared" si="5"/>
        <v>477.8125</v>
      </c>
      <c r="L7" s="191">
        <f t="shared" si="6"/>
        <v>453.48750000000001</v>
      </c>
      <c r="M7" s="191">
        <f t="shared" si="7"/>
        <v>120.93</v>
      </c>
      <c r="N7" s="160">
        <f t="shared" si="8"/>
        <v>1052.23</v>
      </c>
      <c r="O7" s="160">
        <f>N7/Main!$D$9</f>
        <v>21.044599999999999</v>
      </c>
    </row>
    <row r="8" spans="2:15" x14ac:dyDescent="0.25">
      <c r="B8" s="68" t="s">
        <v>541</v>
      </c>
      <c r="C8" s="201">
        <f t="shared" si="0"/>
        <v>20100</v>
      </c>
      <c r="D8" s="201">
        <f t="shared" si="1"/>
        <v>6030</v>
      </c>
      <c r="E8" s="202">
        <f t="shared" si="2"/>
        <v>12</v>
      </c>
      <c r="F8" s="190">
        <f t="shared" si="9"/>
        <v>13065</v>
      </c>
      <c r="G8" s="190">
        <f t="shared" si="10"/>
        <v>1172.5</v>
      </c>
      <c r="H8" s="190">
        <f t="shared" si="3"/>
        <v>1175.8499999999999</v>
      </c>
      <c r="I8" s="190">
        <f t="shared" si="4"/>
        <v>313.56</v>
      </c>
      <c r="J8" s="164">
        <v>0.1</v>
      </c>
      <c r="K8" s="191">
        <f t="shared" si="5"/>
        <v>117.25</v>
      </c>
      <c r="L8" s="191">
        <f t="shared" si="6"/>
        <v>117.58499999999999</v>
      </c>
      <c r="M8" s="191">
        <f t="shared" si="7"/>
        <v>31.356000000000002</v>
      </c>
      <c r="N8" s="160">
        <f t="shared" si="8"/>
        <v>266.19099999999997</v>
      </c>
      <c r="O8" s="160">
        <f>N8/Main!$D$9</f>
        <v>5.3238199999999996</v>
      </c>
    </row>
    <row r="9" spans="2:15" x14ac:dyDescent="0.25">
      <c r="B9" s="68" t="s">
        <v>542</v>
      </c>
      <c r="C9" s="201">
        <f t="shared" si="0"/>
        <v>36300</v>
      </c>
      <c r="D9" s="201">
        <f t="shared" si="1"/>
        <v>10890</v>
      </c>
      <c r="E9" s="202">
        <f t="shared" si="2"/>
        <v>10</v>
      </c>
      <c r="F9" s="190">
        <f t="shared" si="9"/>
        <v>23595</v>
      </c>
      <c r="G9" s="190">
        <f t="shared" si="10"/>
        <v>2541</v>
      </c>
      <c r="H9" s="190">
        <f t="shared" si="3"/>
        <v>2123.5499999999997</v>
      </c>
      <c r="I9" s="190">
        <f t="shared" si="4"/>
        <v>566.28</v>
      </c>
      <c r="J9" s="164">
        <v>0.1</v>
      </c>
      <c r="K9" s="191">
        <f t="shared" si="5"/>
        <v>254.10000000000002</v>
      </c>
      <c r="L9" s="191">
        <f t="shared" si="6"/>
        <v>212.35499999999999</v>
      </c>
      <c r="M9" s="191">
        <f t="shared" si="7"/>
        <v>56.628</v>
      </c>
      <c r="N9" s="160">
        <f t="shared" si="8"/>
        <v>523.08300000000008</v>
      </c>
      <c r="O9" s="160">
        <f>N9/Main!$D$9</f>
        <v>10.461660000000002</v>
      </c>
    </row>
    <row r="10" spans="2:15" x14ac:dyDescent="0.25">
      <c r="B10" s="68" t="s">
        <v>499</v>
      </c>
      <c r="C10" s="201">
        <f t="shared" si="0"/>
        <v>47300</v>
      </c>
      <c r="D10" s="201">
        <f t="shared" si="1"/>
        <v>7095</v>
      </c>
      <c r="E10" s="202">
        <f t="shared" si="2"/>
        <v>8</v>
      </c>
      <c r="F10" s="190">
        <f t="shared" si="9"/>
        <v>27197.5</v>
      </c>
      <c r="G10" s="190">
        <f t="shared" si="10"/>
        <v>5025.625</v>
      </c>
      <c r="H10" s="190">
        <f t="shared" si="3"/>
        <v>2447.7750000000001</v>
      </c>
      <c r="I10" s="190">
        <f t="shared" si="4"/>
        <v>652.74</v>
      </c>
      <c r="J10" s="164">
        <v>0</v>
      </c>
      <c r="K10" s="191">
        <f t="shared" si="5"/>
        <v>0</v>
      </c>
      <c r="L10" s="191">
        <f t="shared" si="6"/>
        <v>0</v>
      </c>
      <c r="M10" s="191">
        <f t="shared" si="7"/>
        <v>0</v>
      </c>
      <c r="N10" s="160">
        <f t="shared" si="8"/>
        <v>0</v>
      </c>
      <c r="O10" s="160">
        <f>N10/Main!$D$9</f>
        <v>0</v>
      </c>
    </row>
    <row r="11" spans="2:15" x14ac:dyDescent="0.25">
      <c r="B11" s="68" t="s">
        <v>500</v>
      </c>
      <c r="C11" s="201">
        <f t="shared" si="0"/>
        <v>12300</v>
      </c>
      <c r="D11" s="201">
        <f t="shared" si="1"/>
        <v>1845</v>
      </c>
      <c r="E11" s="202">
        <f t="shared" si="2"/>
        <v>8</v>
      </c>
      <c r="F11" s="190">
        <f t="shared" si="9"/>
        <v>7072.5</v>
      </c>
      <c r="G11" s="190">
        <f t="shared" si="10"/>
        <v>1306.875</v>
      </c>
      <c r="H11" s="190">
        <f t="shared" si="3"/>
        <v>636.52499999999998</v>
      </c>
      <c r="I11" s="190">
        <f t="shared" si="4"/>
        <v>169.74</v>
      </c>
      <c r="J11" s="164">
        <v>0</v>
      </c>
      <c r="K11" s="191">
        <f t="shared" si="5"/>
        <v>0</v>
      </c>
      <c r="L11" s="191">
        <f t="shared" si="6"/>
        <v>0</v>
      </c>
      <c r="M11" s="191">
        <f t="shared" si="7"/>
        <v>0</v>
      </c>
      <c r="N11" s="160">
        <f t="shared" si="8"/>
        <v>0</v>
      </c>
      <c r="O11" s="160">
        <f>N11/Main!$D$9</f>
        <v>0</v>
      </c>
    </row>
    <row r="12" spans="2:15" x14ac:dyDescent="0.25">
      <c r="B12" s="68" t="s">
        <v>501</v>
      </c>
      <c r="C12" s="201">
        <f t="shared" si="0"/>
        <v>8100</v>
      </c>
      <c r="D12" s="201">
        <f t="shared" si="1"/>
        <v>1215</v>
      </c>
      <c r="E12" s="202">
        <f t="shared" si="2"/>
        <v>8</v>
      </c>
      <c r="F12" s="190">
        <f t="shared" si="9"/>
        <v>4657.5</v>
      </c>
      <c r="G12" s="190">
        <f t="shared" si="10"/>
        <v>860.625</v>
      </c>
      <c r="H12" s="190">
        <f t="shared" si="3"/>
        <v>419.17500000000001</v>
      </c>
      <c r="I12" s="190">
        <f t="shared" si="4"/>
        <v>111.78</v>
      </c>
      <c r="J12" s="164">
        <v>0</v>
      </c>
      <c r="K12" s="191">
        <f t="shared" si="5"/>
        <v>0</v>
      </c>
      <c r="L12" s="191">
        <f t="shared" si="6"/>
        <v>0</v>
      </c>
      <c r="M12" s="191">
        <f t="shared" si="7"/>
        <v>0</v>
      </c>
      <c r="N12" s="160">
        <f t="shared" si="8"/>
        <v>0</v>
      </c>
      <c r="O12" s="160">
        <f>N12/Main!$D$9</f>
        <v>0</v>
      </c>
    </row>
    <row r="13" spans="2:15" x14ac:dyDescent="0.25">
      <c r="B13" s="68" t="s">
        <v>502</v>
      </c>
      <c r="C13" s="201">
        <f t="shared" si="0"/>
        <v>66200</v>
      </c>
      <c r="D13" s="201">
        <f t="shared" si="1"/>
        <v>9930</v>
      </c>
      <c r="E13" s="202">
        <f t="shared" si="2"/>
        <v>8</v>
      </c>
      <c r="F13" s="190">
        <f t="shared" si="9"/>
        <v>38065</v>
      </c>
      <c r="G13" s="190">
        <f t="shared" si="10"/>
        <v>7033.75</v>
      </c>
      <c r="H13" s="190">
        <f t="shared" si="3"/>
        <v>3425.85</v>
      </c>
      <c r="I13" s="190">
        <f t="shared" si="4"/>
        <v>913.56000000000006</v>
      </c>
      <c r="J13" s="164">
        <v>0</v>
      </c>
      <c r="K13" s="191">
        <f t="shared" si="5"/>
        <v>0</v>
      </c>
      <c r="L13" s="191">
        <f t="shared" si="6"/>
        <v>0</v>
      </c>
      <c r="M13" s="191">
        <f t="shared" si="7"/>
        <v>0</v>
      </c>
      <c r="N13" s="160">
        <f t="shared" si="8"/>
        <v>0</v>
      </c>
      <c r="O13" s="160">
        <f>N13/Main!$D$9</f>
        <v>0</v>
      </c>
    </row>
    <row r="14" spans="2:15" x14ac:dyDescent="0.25">
      <c r="B14" s="68" t="s">
        <v>503</v>
      </c>
      <c r="C14" s="201">
        <f t="shared" si="0"/>
        <v>680</v>
      </c>
      <c r="D14" s="201">
        <f t="shared" si="1"/>
        <v>102</v>
      </c>
      <c r="E14" s="202">
        <f t="shared" si="2"/>
        <v>10</v>
      </c>
      <c r="F14" s="190">
        <f t="shared" si="9"/>
        <v>391</v>
      </c>
      <c r="G14" s="190">
        <f t="shared" si="10"/>
        <v>57.8</v>
      </c>
      <c r="H14" s="190">
        <f t="shared" si="3"/>
        <v>35.19</v>
      </c>
      <c r="I14" s="190">
        <f t="shared" si="4"/>
        <v>9.3840000000000003</v>
      </c>
      <c r="J14" s="164">
        <v>0.25</v>
      </c>
      <c r="K14" s="191">
        <f t="shared" si="5"/>
        <v>14.45</v>
      </c>
      <c r="L14" s="191">
        <f t="shared" si="6"/>
        <v>8.7974999999999994</v>
      </c>
      <c r="M14" s="191">
        <f t="shared" si="7"/>
        <v>2.3460000000000001</v>
      </c>
      <c r="N14" s="160">
        <f t="shared" si="8"/>
        <v>25.593499999999999</v>
      </c>
      <c r="O14" s="160">
        <f>N14/Main!$D$9</f>
        <v>0.51186999999999994</v>
      </c>
    </row>
    <row r="15" spans="2:15" x14ac:dyDescent="0.25">
      <c r="B15" s="68" t="s">
        <v>604</v>
      </c>
      <c r="C15" s="201">
        <f t="shared" si="0"/>
        <v>6880</v>
      </c>
      <c r="D15" s="201">
        <f t="shared" si="1"/>
        <v>1032</v>
      </c>
      <c r="E15" s="202">
        <f t="shared" si="2"/>
        <v>10</v>
      </c>
      <c r="F15" s="190">
        <f t="shared" ref="F15" si="11">AVERAGE(C15:D15)</f>
        <v>3956</v>
      </c>
      <c r="G15" s="190">
        <f t="shared" si="10"/>
        <v>584.79999999999995</v>
      </c>
      <c r="H15" s="190">
        <f t="shared" si="3"/>
        <v>356.03999999999996</v>
      </c>
      <c r="I15" s="190">
        <f t="shared" si="4"/>
        <v>94.944000000000003</v>
      </c>
      <c r="J15" s="164">
        <v>0.25</v>
      </c>
      <c r="K15" s="191">
        <f t="shared" si="5"/>
        <v>146.19999999999999</v>
      </c>
      <c r="L15" s="191">
        <f t="shared" si="6"/>
        <v>89.009999999999991</v>
      </c>
      <c r="M15" s="191">
        <f t="shared" si="7"/>
        <v>23.736000000000001</v>
      </c>
      <c r="N15" s="160">
        <f t="shared" si="8"/>
        <v>258.94599999999997</v>
      </c>
      <c r="O15" s="160">
        <f>N15/Main!$D$9</f>
        <v>5.1789199999999997</v>
      </c>
    </row>
    <row r="16" spans="2:15" x14ac:dyDescent="0.25">
      <c r="B16" s="68"/>
      <c r="C16" s="201">
        <f t="shared" si="0"/>
        <v>0</v>
      </c>
      <c r="D16" s="201">
        <f t="shared" si="1"/>
        <v>0</v>
      </c>
      <c r="E16" s="202">
        <f t="shared" si="2"/>
        <v>0</v>
      </c>
      <c r="F16" s="190">
        <f t="shared" ref="F16:F17" si="12">AVERAGE(C16:D16)</f>
        <v>0</v>
      </c>
      <c r="G16" s="190">
        <f t="shared" si="10"/>
        <v>0</v>
      </c>
      <c r="H16" s="190">
        <f t="shared" si="3"/>
        <v>0</v>
      </c>
      <c r="I16" s="190">
        <f t="shared" si="4"/>
        <v>0</v>
      </c>
      <c r="J16" s="164">
        <v>0</v>
      </c>
      <c r="K16" s="191">
        <f t="shared" ref="K16:K17" si="13">G16*$J16</f>
        <v>0</v>
      </c>
      <c r="L16" s="191">
        <f t="shared" ref="L16:L17" si="14">H16*$J16</f>
        <v>0</v>
      </c>
      <c r="M16" s="191">
        <f t="shared" ref="M16:M17" si="15">I16*$J16</f>
        <v>0</v>
      </c>
      <c r="N16" s="160">
        <f t="shared" ref="N16:N17" si="16">SUM(K16,L16,M16)</f>
        <v>0</v>
      </c>
      <c r="O16" s="160">
        <f>N16/Main!$D$9</f>
        <v>0</v>
      </c>
    </row>
    <row r="17" spans="2:15" ht="15.75" thickBot="1" x14ac:dyDescent="0.3">
      <c r="B17" s="68"/>
      <c r="C17" s="201">
        <f t="shared" si="0"/>
        <v>0</v>
      </c>
      <c r="D17" s="201">
        <f t="shared" si="1"/>
        <v>0</v>
      </c>
      <c r="E17" s="202">
        <f t="shared" si="2"/>
        <v>0</v>
      </c>
      <c r="F17" s="190">
        <f t="shared" si="12"/>
        <v>0</v>
      </c>
      <c r="G17" s="190">
        <f t="shared" si="10"/>
        <v>0</v>
      </c>
      <c r="H17" s="190">
        <f t="shared" si="3"/>
        <v>0</v>
      </c>
      <c r="I17" s="190">
        <f t="shared" si="4"/>
        <v>0</v>
      </c>
      <c r="J17" s="164">
        <v>0</v>
      </c>
      <c r="K17" s="191">
        <f t="shared" si="13"/>
        <v>0</v>
      </c>
      <c r="L17" s="191">
        <f t="shared" si="14"/>
        <v>0</v>
      </c>
      <c r="M17" s="191">
        <f t="shared" si="15"/>
        <v>0</v>
      </c>
      <c r="N17" s="160">
        <f t="shared" si="16"/>
        <v>0</v>
      </c>
      <c r="O17" s="162">
        <f>N17/Main!$D$9</f>
        <v>0</v>
      </c>
    </row>
    <row r="18" spans="2:15" ht="15.75" thickBot="1" x14ac:dyDescent="0.3">
      <c r="B18" s="193" t="s">
        <v>601</v>
      </c>
      <c r="C18" s="198">
        <f t="shared" ref="C18:M18" si="17">SUM(C5:C17)</f>
        <v>293370</v>
      </c>
      <c r="D18" s="198">
        <f t="shared" si="17"/>
        <v>77798</v>
      </c>
      <c r="E18" s="198"/>
      <c r="F18" s="198">
        <f t="shared" si="17"/>
        <v>185584</v>
      </c>
      <c r="G18" s="198">
        <f t="shared" si="17"/>
        <v>25210.85</v>
      </c>
      <c r="H18" s="198">
        <f t="shared" si="17"/>
        <v>16702.559999999998</v>
      </c>
      <c r="I18" s="198">
        <f t="shared" si="17"/>
        <v>4454.0160000000005</v>
      </c>
      <c r="J18" s="198"/>
      <c r="K18" s="198">
        <f t="shared" si="17"/>
        <v>1472.25</v>
      </c>
      <c r="L18" s="198">
        <f t="shared" si="17"/>
        <v>1268.1675</v>
      </c>
      <c r="M18" s="198">
        <f t="shared" si="17"/>
        <v>338.178</v>
      </c>
      <c r="N18" s="198">
        <f>SUM(N5:N17)</f>
        <v>3078.5954999999999</v>
      </c>
      <c r="O18" s="162">
        <f>N18/Main!$D$9</f>
        <v>61.571909999999995</v>
      </c>
    </row>
    <row r="19" spans="2:15" x14ac:dyDescent="0.25">
      <c r="B19" s="180"/>
      <c r="C19" s="68"/>
      <c r="D19" s="68"/>
      <c r="E19" s="68"/>
      <c r="F19" s="68"/>
      <c r="G19" s="68"/>
      <c r="H19" s="68"/>
      <c r="I19" s="68"/>
      <c r="J19" s="68"/>
      <c r="K19" s="68"/>
      <c r="L19" s="68"/>
    </row>
    <row r="20" spans="2:15" x14ac:dyDescent="0.25">
      <c r="B20" s="180"/>
      <c r="C20" s="68"/>
      <c r="D20" s="68"/>
      <c r="E20" s="68"/>
      <c r="F20" s="68"/>
      <c r="G20" s="68"/>
      <c r="H20" s="68"/>
      <c r="I20" s="68"/>
      <c r="J20" s="68"/>
      <c r="K20" s="68"/>
      <c r="L20" s="68"/>
    </row>
    <row r="21" spans="2:15" ht="15.75" thickBot="1" x14ac:dyDescent="0.3">
      <c r="B21" s="192"/>
      <c r="C21" s="192"/>
      <c r="D21" s="192"/>
      <c r="E21" s="192"/>
      <c r="F21" s="192"/>
      <c r="G21" s="192"/>
      <c r="H21" s="192"/>
      <c r="I21" s="192"/>
      <c r="J21" s="196"/>
      <c r="K21" s="196"/>
      <c r="L21" s="196"/>
      <c r="M21" s="197"/>
      <c r="N21" s="126"/>
      <c r="O21" s="126"/>
    </row>
    <row r="22" spans="2:15" ht="30.75" thickBot="1" x14ac:dyDescent="0.3">
      <c r="B22" s="194" t="s">
        <v>591</v>
      </c>
      <c r="C22" s="195" t="s">
        <v>589</v>
      </c>
      <c r="D22" s="195" t="s">
        <v>420</v>
      </c>
      <c r="E22" s="195" t="s">
        <v>590</v>
      </c>
      <c r="F22" s="195" t="s">
        <v>592</v>
      </c>
      <c r="G22" s="195" t="s">
        <v>593</v>
      </c>
      <c r="H22" s="195" t="s">
        <v>594</v>
      </c>
      <c r="I22" s="195" t="s">
        <v>595</v>
      </c>
      <c r="J22" s="195" t="s">
        <v>596</v>
      </c>
      <c r="K22" s="195" t="s">
        <v>597</v>
      </c>
      <c r="L22" s="195" t="s">
        <v>598</v>
      </c>
      <c r="M22" s="195" t="s">
        <v>599</v>
      </c>
      <c r="N22" s="195" t="s">
        <v>600</v>
      </c>
      <c r="O22" s="203" t="s">
        <v>606</v>
      </c>
    </row>
    <row r="23" spans="2:15" x14ac:dyDescent="0.25">
      <c r="B23" s="121" t="s">
        <v>109</v>
      </c>
      <c r="C23" s="200">
        <f>IF(B23&gt;0,VLOOKUP($B23,tractor_data,7),0)</f>
        <v>69500</v>
      </c>
      <c r="D23" s="200">
        <f>IF(B23&gt;0,VLOOKUP($B23,tractor_data,18),0)</f>
        <v>13900</v>
      </c>
      <c r="E23" s="133">
        <f>IF(B23&gt;0,VLOOKUP($B23,tractor_data,11),0)</f>
        <v>14</v>
      </c>
      <c r="F23" s="190">
        <f>AVERAGE(C23:D23)</f>
        <v>41700</v>
      </c>
      <c r="G23" s="190">
        <f>IF(E23&gt;0,(C23-D23)/E23,0)</f>
        <v>3971.4285714285716</v>
      </c>
      <c r="H23" s="190">
        <f>F23*intir</f>
        <v>3753</v>
      </c>
      <c r="I23" s="190">
        <f>F23*itr</f>
        <v>1000.8000000000001</v>
      </c>
      <c r="J23" s="164">
        <v>0.25</v>
      </c>
      <c r="K23" s="191">
        <f t="shared" ref="K23:M24" si="18">G23*$J23</f>
        <v>992.85714285714289</v>
      </c>
      <c r="L23" s="191">
        <f t="shared" si="18"/>
        <v>938.25</v>
      </c>
      <c r="M23" s="191">
        <f t="shared" si="18"/>
        <v>250.20000000000002</v>
      </c>
      <c r="N23" s="160">
        <f>SUM(K23,L23,M23)</f>
        <v>2181.3071428571429</v>
      </c>
      <c r="O23" s="160">
        <f>N23/Main!$D$9</f>
        <v>43.62614285714286</v>
      </c>
    </row>
    <row r="24" spans="2:15" x14ac:dyDescent="0.25">
      <c r="B24" s="121" t="s">
        <v>111</v>
      </c>
      <c r="C24" s="200">
        <f>IF(B24&gt;0,VLOOKUP($B24,tractor_data,7),0)</f>
        <v>91600</v>
      </c>
      <c r="D24" s="200">
        <f>IF(B24&gt;0,VLOOKUP($B24,tractor_data,18),0)</f>
        <v>18320</v>
      </c>
      <c r="E24" s="133">
        <f>IF(B24&gt;0,VLOOKUP($B24,tractor_data,11),0)</f>
        <v>14</v>
      </c>
      <c r="F24" s="190">
        <f t="shared" ref="F24:F26" si="19">AVERAGE(C24:D24)</f>
        <v>54960</v>
      </c>
      <c r="G24" s="190">
        <f t="shared" ref="G24:G26" si="20">IF(E24&gt;0,(C24-D24)/E24,0)</f>
        <v>5234.2857142857147</v>
      </c>
      <c r="H24" s="190">
        <f>F24*intir</f>
        <v>4946.3999999999996</v>
      </c>
      <c r="I24" s="190">
        <f>F24*itr</f>
        <v>1319.04</v>
      </c>
      <c r="J24" s="164">
        <v>0.1</v>
      </c>
      <c r="K24" s="191">
        <f t="shared" si="18"/>
        <v>523.42857142857144</v>
      </c>
      <c r="L24" s="191">
        <f t="shared" si="18"/>
        <v>494.64</v>
      </c>
      <c r="M24" s="191">
        <f t="shared" si="18"/>
        <v>131.904</v>
      </c>
      <c r="N24" s="160">
        <f>SUM(K24,L24,M24)</f>
        <v>1149.9725714285714</v>
      </c>
      <c r="O24" s="160">
        <f>N24/Main!$D$9</f>
        <v>22.99945142857143</v>
      </c>
    </row>
    <row r="25" spans="2:15" x14ac:dyDescent="0.25">
      <c r="C25" s="200">
        <f>IF(B25&gt;0,VLOOKUP($B25,tractor_data,7),0)</f>
        <v>0</v>
      </c>
      <c r="D25" s="200">
        <f>IF(B25&gt;0,VLOOKUP($B25,tractor_data,18),0)</f>
        <v>0</v>
      </c>
      <c r="E25" s="133">
        <f>IF(B25&gt;0,VLOOKUP($B25,tractor_data,11),0)</f>
        <v>0</v>
      </c>
      <c r="F25" s="190">
        <f t="shared" si="19"/>
        <v>0</v>
      </c>
      <c r="G25" s="190">
        <f t="shared" si="20"/>
        <v>0</v>
      </c>
      <c r="H25" s="190">
        <f>F25*intir</f>
        <v>0</v>
      </c>
      <c r="I25" s="190">
        <f>F25*itr</f>
        <v>0</v>
      </c>
      <c r="J25" s="164">
        <v>0</v>
      </c>
      <c r="K25" s="191">
        <f t="shared" ref="K25:K26" si="21">G25*$J25</f>
        <v>0</v>
      </c>
      <c r="L25" s="191">
        <f t="shared" ref="L25:L26" si="22">H25*$J25</f>
        <v>0</v>
      </c>
      <c r="M25" s="191">
        <f t="shared" ref="M25:M26" si="23">I25*$J25</f>
        <v>0</v>
      </c>
      <c r="N25" s="160">
        <f t="shared" ref="N25:N26" si="24">SUM(K25,L25,M25)</f>
        <v>0</v>
      </c>
      <c r="O25" s="160">
        <f>N25/Main!$D$9</f>
        <v>0</v>
      </c>
    </row>
    <row r="26" spans="2:15" ht="15.75" thickBot="1" x14ac:dyDescent="0.3">
      <c r="B26" s="192"/>
      <c r="C26" s="200">
        <f>IF(B26&gt;0,VLOOKUP($B26,tractor_data,7),0)</f>
        <v>0</v>
      </c>
      <c r="D26" s="200">
        <f>IF(B26&gt;0,VLOOKUP($B26,tractor_data,18),0)</f>
        <v>0</v>
      </c>
      <c r="E26" s="133">
        <f>IF(B26&gt;0,VLOOKUP($B26,tractor_data,11),0)</f>
        <v>0</v>
      </c>
      <c r="F26" s="190">
        <f t="shared" si="19"/>
        <v>0</v>
      </c>
      <c r="G26" s="190">
        <f t="shared" si="20"/>
        <v>0</v>
      </c>
      <c r="H26" s="190">
        <f>F26*intir</f>
        <v>0</v>
      </c>
      <c r="I26" s="190">
        <f>F26*itr</f>
        <v>0</v>
      </c>
      <c r="J26" s="164">
        <v>0</v>
      </c>
      <c r="K26" s="191">
        <f t="shared" si="21"/>
        <v>0</v>
      </c>
      <c r="L26" s="191">
        <f t="shared" si="22"/>
        <v>0</v>
      </c>
      <c r="M26" s="191">
        <f t="shared" si="23"/>
        <v>0</v>
      </c>
      <c r="N26" s="160">
        <f t="shared" si="24"/>
        <v>0</v>
      </c>
      <c r="O26" s="162">
        <f>N26/Main!$D$9</f>
        <v>0</v>
      </c>
    </row>
    <row r="27" spans="2:15" ht="15.75" thickBot="1" x14ac:dyDescent="0.3">
      <c r="B27" s="193" t="s">
        <v>602</v>
      </c>
      <c r="C27" s="199">
        <f>SUM(C23:C26)</f>
        <v>161100</v>
      </c>
      <c r="D27" s="199">
        <f t="shared" ref="D27:N27" si="25">SUM(D23:D26)</f>
        <v>32220</v>
      </c>
      <c r="E27" s="199"/>
      <c r="F27" s="199">
        <f t="shared" si="25"/>
        <v>96660</v>
      </c>
      <c r="G27" s="199">
        <f t="shared" si="25"/>
        <v>9205.7142857142862</v>
      </c>
      <c r="H27" s="199">
        <f t="shared" si="25"/>
        <v>8699.4</v>
      </c>
      <c r="I27" s="199">
        <f t="shared" si="25"/>
        <v>2319.84</v>
      </c>
      <c r="J27" s="199"/>
      <c r="K27" s="199">
        <f t="shared" si="25"/>
        <v>1516.2857142857142</v>
      </c>
      <c r="L27" s="199">
        <f t="shared" si="25"/>
        <v>1432.8899999999999</v>
      </c>
      <c r="M27" s="199">
        <f t="shared" si="25"/>
        <v>382.10400000000004</v>
      </c>
      <c r="N27" s="199">
        <f t="shared" si="25"/>
        <v>3331.2797142857144</v>
      </c>
      <c r="O27" s="162">
        <f>N27/Main!$D$9</f>
        <v>66.625594285714286</v>
      </c>
    </row>
    <row r="28" spans="2:15" x14ac:dyDescent="0.25">
      <c r="B28" s="68"/>
      <c r="C28" s="68"/>
      <c r="D28" s="68"/>
      <c r="E28" s="68"/>
      <c r="F28" s="68"/>
      <c r="G28" s="68"/>
      <c r="H28" s="68"/>
      <c r="I28" s="68"/>
      <c r="J28" s="68"/>
      <c r="K28" s="68"/>
      <c r="L28" s="68"/>
      <c r="O28" s="147"/>
    </row>
    <row r="29" spans="2:15" ht="15.75" thickBot="1" x14ac:dyDescent="0.3">
      <c r="B29" s="192"/>
      <c r="C29" s="192"/>
      <c r="D29" s="192"/>
      <c r="E29" s="192"/>
      <c r="F29" s="192"/>
      <c r="G29" s="192"/>
      <c r="H29" s="192"/>
      <c r="I29" s="192"/>
      <c r="J29" s="192"/>
      <c r="K29" s="192"/>
      <c r="L29" s="192"/>
      <c r="M29" s="126"/>
      <c r="N29" s="126"/>
      <c r="O29" s="163"/>
    </row>
    <row r="30" spans="2:15" ht="15.75" thickBot="1" x14ac:dyDescent="0.3">
      <c r="B30" s="193" t="s">
        <v>603</v>
      </c>
      <c r="C30" s="199">
        <f>SUM(C18,C27)</f>
        <v>454470</v>
      </c>
      <c r="D30" s="199">
        <f t="shared" ref="D30:N30" si="26">SUM(D18,D27)</f>
        <v>110018</v>
      </c>
      <c r="E30" s="199"/>
      <c r="F30" s="199">
        <f t="shared" si="26"/>
        <v>282244</v>
      </c>
      <c r="G30" s="199">
        <f t="shared" si="26"/>
        <v>34416.564285714281</v>
      </c>
      <c r="H30" s="199">
        <f t="shared" si="26"/>
        <v>25401.96</v>
      </c>
      <c r="I30" s="199">
        <f t="shared" si="26"/>
        <v>6773.8560000000007</v>
      </c>
      <c r="J30" s="199"/>
      <c r="K30" s="199">
        <f t="shared" si="26"/>
        <v>2988.5357142857142</v>
      </c>
      <c r="L30" s="199">
        <f t="shared" si="26"/>
        <v>2701.0574999999999</v>
      </c>
      <c r="M30" s="199">
        <f t="shared" si="26"/>
        <v>720.28200000000004</v>
      </c>
      <c r="N30" s="199">
        <f t="shared" si="26"/>
        <v>6409.8752142857138</v>
      </c>
      <c r="O30" s="198">
        <f>N30/Main!$D$9</f>
        <v>128.19750428571427</v>
      </c>
    </row>
    <row r="31" spans="2:15" x14ac:dyDescent="0.25">
      <c r="B31" s="68"/>
      <c r="C31" s="68"/>
      <c r="D31" s="68"/>
      <c r="E31" s="68"/>
      <c r="F31" s="68"/>
      <c r="G31" s="68"/>
      <c r="H31" s="68"/>
      <c r="I31" s="68"/>
      <c r="J31" s="68"/>
      <c r="K31" s="68"/>
      <c r="L31" s="68"/>
    </row>
    <row r="32" spans="2:15" x14ac:dyDescent="0.25">
      <c r="B32" s="68"/>
      <c r="C32" s="68"/>
      <c r="D32" s="68"/>
      <c r="E32" s="68"/>
      <c r="F32" s="68"/>
      <c r="G32" s="68"/>
      <c r="H32" s="68"/>
      <c r="I32" s="68"/>
      <c r="J32" s="68"/>
      <c r="K32" s="68"/>
      <c r="L32" s="68"/>
    </row>
    <row r="33" spans="2:12" x14ac:dyDescent="0.25">
      <c r="B33" s="68"/>
      <c r="C33" s="68"/>
      <c r="D33" s="68"/>
      <c r="E33" s="68"/>
      <c r="F33" s="68"/>
      <c r="G33" s="68"/>
      <c r="H33" s="68"/>
      <c r="I33" s="68"/>
      <c r="J33" s="68"/>
      <c r="K33" s="68"/>
      <c r="L33" s="68"/>
    </row>
    <row r="34" spans="2:12" x14ac:dyDescent="0.25">
      <c r="B34" s="68"/>
      <c r="C34" s="68"/>
      <c r="D34" s="68"/>
      <c r="E34" s="68"/>
      <c r="F34" s="68"/>
      <c r="G34" s="68"/>
      <c r="H34" s="68"/>
      <c r="I34" s="68"/>
      <c r="J34" s="68"/>
      <c r="K34" s="68"/>
      <c r="L34" s="68"/>
    </row>
    <row r="35" spans="2:12" x14ac:dyDescent="0.25">
      <c r="B35" s="68"/>
      <c r="C35" s="68"/>
      <c r="D35" s="68"/>
      <c r="E35" s="68"/>
      <c r="F35" s="68"/>
      <c r="G35" s="68"/>
      <c r="H35" s="68"/>
      <c r="I35" s="68"/>
      <c r="J35" s="68"/>
      <c r="K35" s="68"/>
      <c r="L35" s="68"/>
    </row>
    <row r="36" spans="2:12" x14ac:dyDescent="0.25">
      <c r="B36" s="68"/>
      <c r="C36" s="68"/>
      <c r="D36" s="68"/>
      <c r="E36" s="68"/>
      <c r="F36" s="68"/>
      <c r="G36" s="68"/>
      <c r="H36" s="68"/>
      <c r="I36" s="68"/>
      <c r="J36" s="68"/>
      <c r="K36" s="68"/>
      <c r="L36" s="68"/>
    </row>
    <row r="37" spans="2:12" x14ac:dyDescent="0.25">
      <c r="B37" s="68"/>
      <c r="C37" s="68"/>
      <c r="D37" s="68"/>
      <c r="E37" s="68"/>
      <c r="F37" s="68"/>
      <c r="G37" s="68"/>
      <c r="H37" s="68"/>
      <c r="I37" s="68"/>
      <c r="J37" s="68"/>
      <c r="K37" s="68"/>
      <c r="L37" s="68"/>
    </row>
    <row r="38" spans="2:12" x14ac:dyDescent="0.25">
      <c r="B38" s="68"/>
      <c r="C38" s="68"/>
      <c r="D38" s="68"/>
      <c r="E38" s="68"/>
      <c r="F38" s="68"/>
      <c r="G38" s="68"/>
      <c r="H38" s="68"/>
      <c r="I38" s="68"/>
      <c r="J38" s="68"/>
      <c r="K38" s="68"/>
      <c r="L38" s="68"/>
    </row>
    <row r="39" spans="2:12" x14ac:dyDescent="0.25">
      <c r="B39" s="68"/>
      <c r="C39" s="68"/>
      <c r="D39" s="68"/>
      <c r="E39" s="68"/>
      <c r="F39" s="68"/>
      <c r="G39" s="68"/>
      <c r="H39" s="68"/>
      <c r="I39" s="68"/>
      <c r="J39" s="68"/>
      <c r="K39" s="68"/>
      <c r="L39" s="68"/>
    </row>
    <row r="40" spans="2:12" x14ac:dyDescent="0.25">
      <c r="B40" s="68"/>
      <c r="C40" s="68"/>
      <c r="D40" s="68"/>
      <c r="E40" s="68"/>
      <c r="F40" s="68"/>
      <c r="G40" s="68"/>
      <c r="H40" s="68"/>
      <c r="I40" s="68"/>
      <c r="J40" s="68"/>
      <c r="K40" s="68"/>
      <c r="L40" s="68"/>
    </row>
    <row r="41" spans="2:12" x14ac:dyDescent="0.25">
      <c r="B41" s="68"/>
      <c r="C41" s="68"/>
      <c r="D41" s="68"/>
      <c r="E41" s="68"/>
      <c r="F41" s="68"/>
      <c r="G41" s="68"/>
      <c r="H41" s="68"/>
      <c r="I41" s="68"/>
      <c r="J41" s="68"/>
      <c r="K41" s="68"/>
      <c r="L41" s="68"/>
    </row>
    <row r="42" spans="2:12" x14ac:dyDescent="0.25">
      <c r="B42" s="68"/>
      <c r="C42" s="68"/>
      <c r="D42" s="68"/>
      <c r="E42" s="68"/>
      <c r="F42" s="68"/>
      <c r="G42" s="68"/>
      <c r="H42" s="68"/>
      <c r="I42" s="68"/>
      <c r="J42" s="68"/>
      <c r="K42" s="68"/>
      <c r="L42" s="68"/>
    </row>
    <row r="43" spans="2:12" x14ac:dyDescent="0.25">
      <c r="B43" s="68"/>
      <c r="C43" s="68"/>
      <c r="D43" s="68"/>
      <c r="E43" s="68"/>
      <c r="F43" s="68"/>
      <c r="G43" s="68"/>
      <c r="H43" s="68"/>
      <c r="I43" s="68"/>
      <c r="J43" s="68"/>
      <c r="K43" s="68"/>
      <c r="L43" s="68"/>
    </row>
    <row r="44" spans="2:12" x14ac:dyDescent="0.25">
      <c r="B44" s="68"/>
      <c r="C44" s="68"/>
      <c r="D44" s="68"/>
      <c r="E44" s="68"/>
      <c r="F44" s="68"/>
      <c r="G44" s="68"/>
      <c r="H44" s="68"/>
      <c r="I44" s="68"/>
      <c r="J44" s="68"/>
      <c r="K44" s="68"/>
      <c r="L44" s="68"/>
    </row>
    <row r="45" spans="2:12" x14ac:dyDescent="0.25">
      <c r="B45" s="68"/>
      <c r="C45" s="68"/>
      <c r="D45" s="68"/>
      <c r="E45" s="68"/>
      <c r="F45" s="68"/>
      <c r="G45" s="68"/>
      <c r="H45" s="68"/>
      <c r="I45" s="68"/>
      <c r="J45" s="68"/>
      <c r="K45" s="68"/>
      <c r="L45" s="68"/>
    </row>
    <row r="46" spans="2:12" x14ac:dyDescent="0.25">
      <c r="B46" s="68"/>
      <c r="C46" s="68"/>
      <c r="D46" s="68"/>
      <c r="E46" s="68"/>
      <c r="F46" s="68"/>
      <c r="G46" s="68"/>
      <c r="H46" s="68"/>
      <c r="I46" s="68"/>
      <c r="J46" s="68"/>
      <c r="K46" s="68"/>
      <c r="L46" s="68"/>
    </row>
    <row r="47" spans="2:12" x14ac:dyDescent="0.25">
      <c r="B47" s="68"/>
      <c r="C47" s="68"/>
      <c r="D47" s="68"/>
      <c r="E47" s="68"/>
      <c r="F47" s="68"/>
      <c r="G47" s="68"/>
      <c r="H47" s="68"/>
      <c r="I47" s="68"/>
      <c r="J47" s="68"/>
      <c r="K47" s="68"/>
      <c r="L47" s="68"/>
    </row>
    <row r="48" spans="2:12" x14ac:dyDescent="0.25">
      <c r="B48" s="68"/>
      <c r="C48" s="68"/>
      <c r="D48" s="68"/>
      <c r="E48" s="68"/>
      <c r="F48" s="68"/>
      <c r="G48" s="68"/>
      <c r="H48" s="68"/>
      <c r="I48" s="68"/>
      <c r="J48" s="68"/>
      <c r="K48" s="68"/>
      <c r="L48" s="68"/>
    </row>
    <row r="49" spans="2:12" x14ac:dyDescent="0.25">
      <c r="B49" s="68"/>
      <c r="C49" s="68"/>
      <c r="D49" s="68"/>
      <c r="E49" s="68"/>
      <c r="F49" s="68"/>
      <c r="G49" s="68"/>
      <c r="H49" s="68"/>
      <c r="I49" s="68"/>
      <c r="J49" s="68"/>
      <c r="K49" s="68"/>
      <c r="L49" s="68"/>
    </row>
    <row r="50" spans="2:12" x14ac:dyDescent="0.25">
      <c r="B50" s="68"/>
      <c r="C50" s="68"/>
      <c r="D50" s="68"/>
      <c r="E50" s="68"/>
      <c r="F50" s="68"/>
      <c r="G50" s="68"/>
      <c r="H50" s="68"/>
      <c r="I50" s="68"/>
      <c r="J50" s="68"/>
      <c r="K50" s="68"/>
      <c r="L50" s="68"/>
    </row>
    <row r="51" spans="2:12" x14ac:dyDescent="0.25">
      <c r="B51" s="68"/>
      <c r="C51" s="68"/>
      <c r="D51" s="68"/>
      <c r="E51" s="68"/>
      <c r="F51" s="68"/>
      <c r="G51" s="68"/>
      <c r="H51" s="68"/>
      <c r="I51" s="68"/>
      <c r="J51" s="68"/>
      <c r="K51" s="68"/>
      <c r="L51" s="68"/>
    </row>
    <row r="52" spans="2:12" x14ac:dyDescent="0.25">
      <c r="B52" s="68"/>
      <c r="C52" s="68"/>
      <c r="D52" s="68"/>
      <c r="E52" s="68"/>
      <c r="F52" s="68"/>
      <c r="G52" s="68"/>
      <c r="H52" s="68"/>
      <c r="I52" s="68"/>
      <c r="J52" s="68"/>
      <c r="K52" s="68"/>
      <c r="L52" s="68"/>
    </row>
    <row r="53" spans="2:12" x14ac:dyDescent="0.25">
      <c r="B53" s="68"/>
      <c r="C53" s="68"/>
      <c r="D53" s="68"/>
      <c r="E53" s="68"/>
      <c r="F53" s="68"/>
      <c r="G53" s="68"/>
      <c r="H53" s="68"/>
      <c r="I53" s="68"/>
      <c r="J53" s="68"/>
      <c r="K53" s="68"/>
      <c r="L53" s="68"/>
    </row>
    <row r="54" spans="2:12" x14ac:dyDescent="0.25">
      <c r="B54" s="68"/>
      <c r="C54" s="68"/>
      <c r="D54" s="68"/>
      <c r="E54" s="68"/>
      <c r="F54" s="68"/>
      <c r="G54" s="68"/>
      <c r="H54" s="68"/>
      <c r="I54" s="68"/>
      <c r="J54" s="68"/>
      <c r="K54" s="68"/>
      <c r="L54" s="68"/>
    </row>
    <row r="55" spans="2:12" x14ac:dyDescent="0.25">
      <c r="B55" s="68"/>
      <c r="C55" s="68"/>
      <c r="D55" s="68"/>
      <c r="E55" s="68"/>
      <c r="F55" s="68"/>
      <c r="G55" s="68"/>
      <c r="H55" s="68"/>
      <c r="I55" s="68"/>
      <c r="J55" s="68"/>
      <c r="K55" s="68"/>
      <c r="L55" s="68"/>
    </row>
    <row r="56" spans="2:12" x14ac:dyDescent="0.25">
      <c r="B56" s="68"/>
      <c r="C56" s="68"/>
      <c r="D56" s="68"/>
      <c r="E56" s="68"/>
      <c r="F56" s="68"/>
      <c r="G56" s="68"/>
      <c r="H56" s="68"/>
      <c r="I56" s="68"/>
      <c r="J56" s="68"/>
      <c r="K56" s="68"/>
      <c r="L56" s="68"/>
    </row>
    <row r="57" spans="2:12" x14ac:dyDescent="0.25">
      <c r="B57" s="68"/>
      <c r="C57" s="68"/>
      <c r="D57" s="68"/>
      <c r="E57" s="68"/>
      <c r="F57" s="68"/>
      <c r="G57" s="68"/>
      <c r="H57" s="68"/>
      <c r="I57" s="68"/>
      <c r="J57" s="68"/>
      <c r="K57" s="68"/>
      <c r="L57" s="68"/>
    </row>
    <row r="58" spans="2:12" x14ac:dyDescent="0.25">
      <c r="B58" s="68"/>
      <c r="C58" s="68"/>
      <c r="D58" s="68"/>
      <c r="E58" s="68"/>
      <c r="F58" s="68"/>
      <c r="G58" s="68"/>
      <c r="H58" s="68"/>
      <c r="I58" s="68"/>
      <c r="J58" s="68"/>
      <c r="K58" s="68"/>
      <c r="L58" s="68"/>
    </row>
    <row r="59" spans="2:12" x14ac:dyDescent="0.25">
      <c r="B59" s="68"/>
      <c r="C59" s="68"/>
      <c r="D59" s="68"/>
      <c r="E59" s="68"/>
      <c r="F59" s="68"/>
      <c r="G59" s="68"/>
      <c r="H59" s="68"/>
      <c r="I59" s="68"/>
      <c r="J59" s="68"/>
      <c r="K59" s="68"/>
      <c r="L59" s="68"/>
    </row>
    <row r="60" spans="2:12" x14ac:dyDescent="0.25">
      <c r="B60" s="68"/>
      <c r="C60" s="68"/>
      <c r="D60" s="68"/>
      <c r="E60" s="68"/>
      <c r="F60" s="68"/>
      <c r="G60" s="68"/>
      <c r="H60" s="68"/>
      <c r="I60" s="68"/>
      <c r="J60" s="68"/>
      <c r="K60" s="68"/>
      <c r="L60" s="68"/>
    </row>
    <row r="61" spans="2:12" x14ac:dyDescent="0.25">
      <c r="B61" s="68"/>
      <c r="C61" s="68"/>
      <c r="D61" s="68"/>
      <c r="E61" s="68"/>
      <c r="F61" s="68"/>
      <c r="G61" s="68"/>
      <c r="H61" s="68"/>
      <c r="I61" s="68"/>
      <c r="J61" s="68"/>
      <c r="K61" s="68"/>
      <c r="L61" s="68"/>
    </row>
    <row r="62" spans="2:12" x14ac:dyDescent="0.25">
      <c r="B62" s="68"/>
      <c r="C62" s="68"/>
      <c r="D62" s="68"/>
      <c r="E62" s="68"/>
      <c r="F62" s="68"/>
      <c r="G62" s="68"/>
      <c r="H62" s="68"/>
      <c r="I62" s="68"/>
      <c r="J62" s="68"/>
      <c r="K62" s="68"/>
      <c r="L62" s="68"/>
    </row>
    <row r="63" spans="2:12" x14ac:dyDescent="0.25">
      <c r="B63" s="68"/>
      <c r="C63" s="68"/>
      <c r="D63" s="68"/>
      <c r="E63" s="68"/>
      <c r="F63" s="68"/>
      <c r="G63" s="68"/>
      <c r="H63" s="68"/>
      <c r="I63" s="68"/>
      <c r="J63" s="68"/>
      <c r="K63" s="68"/>
      <c r="L63" s="68"/>
    </row>
    <row r="64" spans="2:12" x14ac:dyDescent="0.25">
      <c r="B64" s="68"/>
      <c r="C64" s="68"/>
      <c r="D64" s="68"/>
      <c r="E64" s="68"/>
      <c r="F64" s="68"/>
      <c r="G64" s="68"/>
      <c r="H64" s="68"/>
      <c r="I64" s="68"/>
      <c r="J64" s="68"/>
      <c r="K64" s="68"/>
      <c r="L64" s="68"/>
    </row>
    <row r="65" spans="2:12" x14ac:dyDescent="0.25">
      <c r="B65" s="68"/>
      <c r="C65" s="68"/>
      <c r="D65" s="68"/>
      <c r="E65" s="68"/>
      <c r="F65" s="68"/>
      <c r="G65" s="68"/>
      <c r="H65" s="68"/>
      <c r="I65" s="68"/>
      <c r="J65" s="68"/>
      <c r="K65" s="68"/>
      <c r="L65" s="68"/>
    </row>
    <row r="66" spans="2:12" x14ac:dyDescent="0.25">
      <c r="B66" s="68"/>
      <c r="C66" s="68"/>
      <c r="D66" s="68"/>
      <c r="E66" s="68"/>
      <c r="F66" s="68"/>
      <c r="G66" s="68"/>
      <c r="H66" s="68"/>
      <c r="I66" s="68"/>
      <c r="J66" s="68"/>
      <c r="K66" s="68"/>
      <c r="L66" s="68"/>
    </row>
    <row r="67" spans="2:12" x14ac:dyDescent="0.25">
      <c r="B67" s="68"/>
      <c r="C67" s="68"/>
      <c r="D67" s="68"/>
      <c r="E67" s="68"/>
      <c r="F67" s="68"/>
      <c r="G67" s="68"/>
      <c r="H67" s="68"/>
      <c r="I67" s="68"/>
      <c r="J67" s="68"/>
      <c r="K67" s="68"/>
      <c r="L67" s="68"/>
    </row>
    <row r="68" spans="2:12" x14ac:dyDescent="0.25">
      <c r="B68" s="68"/>
      <c r="C68" s="68"/>
      <c r="D68" s="68"/>
      <c r="E68" s="68"/>
      <c r="F68" s="68"/>
      <c r="G68" s="68"/>
      <c r="H68" s="68"/>
      <c r="I68" s="68"/>
      <c r="J68" s="68"/>
      <c r="K68" s="68"/>
      <c r="L68" s="68"/>
    </row>
    <row r="69" spans="2:12" x14ac:dyDescent="0.25">
      <c r="B69" s="68"/>
      <c r="C69" s="68"/>
      <c r="D69" s="68"/>
      <c r="E69" s="68"/>
      <c r="F69" s="68"/>
      <c r="G69" s="68"/>
      <c r="H69" s="68"/>
      <c r="I69" s="68"/>
      <c r="J69" s="68"/>
      <c r="K69" s="68"/>
      <c r="L69" s="68"/>
    </row>
    <row r="70" spans="2:12" x14ac:dyDescent="0.25">
      <c r="B70" s="68"/>
      <c r="C70" s="68"/>
      <c r="D70" s="68"/>
      <c r="E70" s="68"/>
      <c r="F70" s="68"/>
      <c r="G70" s="68"/>
      <c r="H70" s="68"/>
      <c r="I70" s="68"/>
      <c r="J70" s="68"/>
      <c r="K70" s="68"/>
      <c r="L70" s="68"/>
    </row>
    <row r="71" spans="2:12" x14ac:dyDescent="0.25">
      <c r="B71" s="68"/>
      <c r="C71" s="68"/>
      <c r="D71" s="68"/>
      <c r="E71" s="68"/>
      <c r="F71" s="68"/>
      <c r="G71" s="68"/>
      <c r="H71" s="68"/>
      <c r="I71" s="68"/>
      <c r="J71" s="68"/>
      <c r="K71" s="68"/>
      <c r="L71" s="68"/>
    </row>
    <row r="72" spans="2:12" x14ac:dyDescent="0.25">
      <c r="B72" s="68"/>
      <c r="C72" s="68"/>
      <c r="D72" s="68"/>
      <c r="E72" s="68"/>
      <c r="F72" s="68"/>
      <c r="G72" s="68"/>
      <c r="H72" s="68"/>
      <c r="I72" s="68"/>
      <c r="J72" s="68"/>
      <c r="K72" s="68"/>
      <c r="L72" s="68"/>
    </row>
    <row r="73" spans="2:12" x14ac:dyDescent="0.25">
      <c r="B73" s="68"/>
      <c r="C73" s="68"/>
      <c r="D73" s="68"/>
      <c r="E73" s="68"/>
      <c r="F73" s="68"/>
      <c r="G73" s="68"/>
      <c r="H73" s="68"/>
      <c r="I73" s="68"/>
      <c r="J73" s="68"/>
      <c r="K73" s="68"/>
      <c r="L73" s="68"/>
    </row>
    <row r="74" spans="2:12" x14ac:dyDescent="0.25">
      <c r="B74" s="68"/>
      <c r="C74" s="68"/>
      <c r="D74" s="68"/>
      <c r="E74" s="68"/>
      <c r="F74" s="68"/>
      <c r="G74" s="68"/>
      <c r="H74" s="68"/>
      <c r="I74" s="68"/>
      <c r="J74" s="68"/>
      <c r="K74" s="68"/>
      <c r="L74" s="68"/>
    </row>
    <row r="75" spans="2:12" x14ac:dyDescent="0.25">
      <c r="B75" s="68"/>
      <c r="C75" s="68"/>
      <c r="D75" s="68"/>
      <c r="E75" s="68"/>
      <c r="F75" s="68"/>
      <c r="G75" s="68"/>
      <c r="H75" s="68"/>
      <c r="I75" s="68"/>
      <c r="J75" s="68"/>
      <c r="K75" s="68"/>
      <c r="L75" s="68"/>
    </row>
    <row r="76" spans="2:12" x14ac:dyDescent="0.25">
      <c r="B76" s="68"/>
      <c r="C76" s="68"/>
      <c r="D76" s="68"/>
      <c r="E76" s="68"/>
      <c r="F76" s="68"/>
      <c r="G76" s="68"/>
      <c r="H76" s="68"/>
      <c r="I76" s="68"/>
      <c r="J76" s="68"/>
      <c r="K76" s="68"/>
      <c r="L76" s="68"/>
    </row>
    <row r="77" spans="2:12" x14ac:dyDescent="0.25">
      <c r="B77" s="68"/>
      <c r="C77" s="68"/>
      <c r="D77" s="68"/>
      <c r="E77" s="68"/>
      <c r="F77" s="68"/>
      <c r="G77" s="68"/>
      <c r="H77" s="68"/>
      <c r="I77" s="68"/>
      <c r="J77" s="68"/>
      <c r="K77" s="68"/>
      <c r="L77" s="68"/>
    </row>
    <row r="78" spans="2:12" x14ac:dyDescent="0.25">
      <c r="B78" s="68"/>
      <c r="C78" s="68"/>
      <c r="D78" s="68"/>
      <c r="E78" s="68"/>
      <c r="F78" s="68"/>
      <c r="G78" s="68"/>
      <c r="H78" s="68"/>
      <c r="I78" s="68"/>
      <c r="J78" s="68"/>
      <c r="K78" s="68"/>
      <c r="L78" s="68"/>
    </row>
    <row r="79" spans="2:12" x14ac:dyDescent="0.25">
      <c r="B79" s="68"/>
      <c r="C79" s="68"/>
      <c r="D79" s="68"/>
      <c r="E79" s="68"/>
      <c r="F79" s="68"/>
      <c r="G79" s="68"/>
      <c r="H79" s="68"/>
      <c r="I79" s="68"/>
      <c r="J79" s="68"/>
      <c r="K79" s="68"/>
      <c r="L79" s="68"/>
    </row>
    <row r="80" spans="2:12" x14ac:dyDescent="0.25">
      <c r="B80" s="68"/>
      <c r="C80" s="68"/>
      <c r="D80" s="68"/>
      <c r="E80" s="68"/>
      <c r="F80" s="68"/>
      <c r="G80" s="68"/>
      <c r="H80" s="68"/>
      <c r="I80" s="68"/>
      <c r="J80" s="68"/>
      <c r="K80" s="68"/>
      <c r="L80" s="68"/>
    </row>
    <row r="81" spans="2:12" x14ac:dyDescent="0.25">
      <c r="B81" s="68"/>
      <c r="C81" s="68"/>
      <c r="D81" s="68"/>
      <c r="E81" s="68"/>
      <c r="F81" s="68"/>
      <c r="G81" s="68"/>
      <c r="H81" s="68"/>
      <c r="I81" s="68"/>
      <c r="J81" s="68"/>
      <c r="K81" s="68"/>
      <c r="L81" s="68"/>
    </row>
    <row r="82" spans="2:12" x14ac:dyDescent="0.25">
      <c r="B82" s="68"/>
      <c r="C82" s="68"/>
      <c r="D82" s="68"/>
      <c r="E82" s="68"/>
      <c r="F82" s="68"/>
      <c r="G82" s="68"/>
      <c r="H82" s="68"/>
      <c r="I82" s="68"/>
      <c r="J82" s="68"/>
      <c r="K82" s="68"/>
      <c r="L82" s="68"/>
    </row>
    <row r="83" spans="2:12" x14ac:dyDescent="0.25">
      <c r="B83" s="68"/>
      <c r="C83" s="68"/>
      <c r="D83" s="68"/>
      <c r="E83" s="68"/>
      <c r="F83" s="68"/>
      <c r="G83" s="68"/>
      <c r="H83" s="68"/>
      <c r="I83" s="68"/>
      <c r="J83" s="68"/>
      <c r="K83" s="68"/>
      <c r="L83" s="68"/>
    </row>
    <row r="84" spans="2:12" x14ac:dyDescent="0.25">
      <c r="B84" s="68"/>
      <c r="C84" s="68"/>
      <c r="D84" s="68"/>
      <c r="E84" s="68"/>
      <c r="F84" s="68"/>
      <c r="G84" s="68"/>
      <c r="H84" s="68"/>
      <c r="I84" s="68"/>
      <c r="J84" s="68"/>
      <c r="K84" s="68"/>
      <c r="L84" s="68"/>
    </row>
    <row r="85" spans="2:12" x14ac:dyDescent="0.25">
      <c r="B85" s="68"/>
      <c r="C85" s="68"/>
      <c r="D85" s="68"/>
      <c r="E85" s="68"/>
      <c r="F85" s="68"/>
      <c r="G85" s="68"/>
      <c r="H85" s="68"/>
      <c r="I85" s="68"/>
      <c r="J85" s="68"/>
      <c r="K85" s="68"/>
      <c r="L85" s="68"/>
    </row>
    <row r="86" spans="2:12" x14ac:dyDescent="0.25">
      <c r="B86" s="68"/>
      <c r="C86" s="68"/>
      <c r="D86" s="68"/>
      <c r="E86" s="68"/>
      <c r="F86" s="68"/>
      <c r="G86" s="68"/>
      <c r="H86" s="68"/>
      <c r="I86" s="68"/>
      <c r="J86" s="68"/>
      <c r="K86" s="68"/>
      <c r="L86" s="68"/>
    </row>
    <row r="87" spans="2:12" x14ac:dyDescent="0.25">
      <c r="B87" s="68"/>
      <c r="C87" s="68"/>
      <c r="D87" s="68"/>
      <c r="E87" s="68"/>
      <c r="F87" s="68"/>
      <c r="G87" s="68"/>
      <c r="H87" s="68"/>
      <c r="I87" s="68"/>
      <c r="J87" s="68"/>
      <c r="K87" s="68"/>
      <c r="L87" s="68"/>
    </row>
    <row r="88" spans="2:12" x14ac:dyDescent="0.25">
      <c r="B88" s="68"/>
      <c r="C88" s="68"/>
      <c r="D88" s="68"/>
      <c r="E88" s="68"/>
      <c r="F88" s="68"/>
      <c r="G88" s="68"/>
      <c r="H88" s="68"/>
      <c r="I88" s="68"/>
      <c r="J88" s="68"/>
      <c r="K88" s="68"/>
      <c r="L88" s="68"/>
    </row>
    <row r="89" spans="2:12" x14ac:dyDescent="0.25">
      <c r="B89" s="68"/>
      <c r="C89" s="68"/>
      <c r="D89" s="68"/>
      <c r="E89" s="68"/>
      <c r="F89" s="68"/>
      <c r="G89" s="68"/>
      <c r="H89" s="68"/>
      <c r="I89" s="68"/>
      <c r="J89" s="68"/>
      <c r="K89" s="68"/>
      <c r="L89" s="68"/>
    </row>
    <row r="90" spans="2:12" x14ac:dyDescent="0.25">
      <c r="B90" s="68"/>
      <c r="C90" s="68"/>
      <c r="D90" s="68"/>
      <c r="E90" s="68"/>
      <c r="F90" s="68"/>
      <c r="G90" s="68"/>
      <c r="H90" s="68"/>
      <c r="I90" s="68"/>
      <c r="J90" s="68"/>
      <c r="K90" s="68"/>
      <c r="L90" s="68"/>
    </row>
    <row r="91" spans="2:12" x14ac:dyDescent="0.25">
      <c r="B91" s="68"/>
      <c r="C91" s="68"/>
      <c r="D91" s="68"/>
      <c r="E91" s="68"/>
      <c r="F91" s="68"/>
      <c r="G91" s="68"/>
      <c r="H91" s="68"/>
      <c r="I91" s="68"/>
      <c r="J91" s="68"/>
      <c r="K91" s="68"/>
      <c r="L91" s="68"/>
    </row>
    <row r="92" spans="2:12" x14ac:dyDescent="0.25">
      <c r="B92" s="68"/>
      <c r="C92" s="68"/>
      <c r="D92" s="68"/>
      <c r="E92" s="68"/>
      <c r="F92" s="68"/>
      <c r="G92" s="68"/>
      <c r="H92" s="68"/>
      <c r="I92" s="68"/>
      <c r="J92" s="68"/>
      <c r="K92" s="68"/>
      <c r="L92" s="68"/>
    </row>
    <row r="93" spans="2:12" x14ac:dyDescent="0.25">
      <c r="B93" s="68"/>
      <c r="C93" s="68"/>
      <c r="D93" s="68"/>
      <c r="E93" s="68"/>
      <c r="F93" s="68"/>
      <c r="G93" s="68"/>
      <c r="H93" s="68"/>
      <c r="I93" s="68"/>
      <c r="J93" s="68"/>
      <c r="K93" s="68"/>
      <c r="L93" s="68"/>
    </row>
    <row r="94" spans="2:12" x14ac:dyDescent="0.25">
      <c r="B94" s="68"/>
      <c r="C94" s="68"/>
      <c r="D94" s="68"/>
      <c r="E94" s="68"/>
      <c r="F94" s="68"/>
      <c r="G94" s="68"/>
      <c r="H94" s="68"/>
      <c r="I94" s="68"/>
      <c r="J94" s="68"/>
      <c r="K94" s="68"/>
      <c r="L94" s="68"/>
    </row>
    <row r="95" spans="2:12" x14ac:dyDescent="0.25">
      <c r="B95" s="68"/>
      <c r="C95" s="68"/>
      <c r="D95" s="68"/>
      <c r="E95" s="68"/>
      <c r="F95" s="68"/>
      <c r="G95" s="68"/>
      <c r="H95" s="68"/>
      <c r="I95" s="68"/>
      <c r="J95" s="68"/>
      <c r="K95" s="68"/>
      <c r="L95" s="68"/>
    </row>
    <row r="96" spans="2:12" x14ac:dyDescent="0.25">
      <c r="B96" s="68"/>
      <c r="C96" s="68"/>
      <c r="D96" s="68"/>
      <c r="E96" s="68"/>
      <c r="F96" s="68"/>
      <c r="G96" s="68"/>
      <c r="H96" s="68"/>
      <c r="I96" s="68"/>
      <c r="J96" s="68"/>
      <c r="K96" s="68"/>
      <c r="L96" s="68"/>
    </row>
    <row r="97" spans="2:12" x14ac:dyDescent="0.25">
      <c r="B97" s="68"/>
      <c r="C97" s="68"/>
      <c r="D97" s="68"/>
      <c r="E97" s="68"/>
      <c r="F97" s="68"/>
      <c r="G97" s="68"/>
      <c r="H97" s="68"/>
      <c r="I97" s="68"/>
      <c r="J97" s="68"/>
      <c r="K97" s="68"/>
      <c r="L97" s="68"/>
    </row>
    <row r="98" spans="2:12" x14ac:dyDescent="0.25">
      <c r="B98" s="68"/>
      <c r="C98" s="68"/>
      <c r="D98" s="68"/>
      <c r="E98" s="68"/>
      <c r="F98" s="68"/>
      <c r="G98" s="68"/>
      <c r="H98" s="68"/>
      <c r="I98" s="68"/>
      <c r="J98" s="68"/>
      <c r="K98" s="68"/>
      <c r="L98" s="68"/>
    </row>
    <row r="99" spans="2:12" x14ac:dyDescent="0.25">
      <c r="B99" s="68"/>
      <c r="C99" s="68"/>
      <c r="D99" s="68"/>
      <c r="E99" s="68"/>
      <c r="F99" s="68"/>
      <c r="G99" s="68"/>
      <c r="H99" s="68"/>
      <c r="I99" s="68"/>
      <c r="J99" s="68"/>
      <c r="K99" s="68"/>
      <c r="L99" s="68"/>
    </row>
    <row r="100" spans="2:12" x14ac:dyDescent="0.25">
      <c r="B100" s="68"/>
      <c r="C100" s="68"/>
      <c r="D100" s="68"/>
      <c r="E100" s="68"/>
      <c r="F100" s="68"/>
      <c r="G100" s="68"/>
      <c r="H100" s="68"/>
      <c r="I100" s="68"/>
      <c r="J100" s="68"/>
      <c r="K100" s="68"/>
      <c r="L100" s="68"/>
    </row>
    <row r="101" spans="2:12" x14ac:dyDescent="0.25">
      <c r="B101" s="68"/>
      <c r="C101" s="68"/>
      <c r="D101" s="68"/>
      <c r="E101" s="68"/>
      <c r="F101" s="68"/>
      <c r="G101" s="68"/>
      <c r="H101" s="68"/>
      <c r="I101" s="68"/>
      <c r="J101" s="68"/>
      <c r="K101" s="68"/>
      <c r="L101" s="68"/>
    </row>
    <row r="102" spans="2:12" x14ac:dyDescent="0.25">
      <c r="B102" s="68"/>
      <c r="C102" s="68"/>
      <c r="D102" s="68"/>
      <c r="E102" s="68"/>
      <c r="F102" s="68"/>
      <c r="G102" s="68"/>
      <c r="H102" s="68"/>
      <c r="I102" s="68"/>
      <c r="J102" s="68"/>
      <c r="K102" s="68"/>
      <c r="L102" s="68"/>
    </row>
    <row r="103" spans="2:12" x14ac:dyDescent="0.25">
      <c r="B103" s="68"/>
      <c r="C103" s="68"/>
      <c r="D103" s="68"/>
      <c r="E103" s="68"/>
      <c r="F103" s="68"/>
      <c r="G103" s="68"/>
      <c r="H103" s="68"/>
      <c r="I103" s="68"/>
      <c r="J103" s="68"/>
      <c r="K103" s="68"/>
      <c r="L103" s="68"/>
    </row>
    <row r="104" spans="2:12" x14ac:dyDescent="0.25">
      <c r="B104" s="68"/>
      <c r="C104" s="68"/>
      <c r="D104" s="68"/>
      <c r="E104" s="68"/>
      <c r="F104" s="68"/>
      <c r="G104" s="68"/>
      <c r="H104" s="68"/>
      <c r="I104" s="68"/>
      <c r="J104" s="68"/>
      <c r="K104" s="68"/>
      <c r="L104" s="68"/>
    </row>
    <row r="105" spans="2:12" x14ac:dyDescent="0.25">
      <c r="B105" s="68"/>
      <c r="C105" s="68"/>
      <c r="D105" s="68"/>
      <c r="E105" s="68"/>
      <c r="F105" s="68"/>
      <c r="G105" s="68"/>
      <c r="H105" s="68"/>
      <c r="I105" s="68"/>
      <c r="J105" s="68"/>
      <c r="K105" s="68"/>
      <c r="L105" s="68"/>
    </row>
    <row r="106" spans="2:12" x14ac:dyDescent="0.25">
      <c r="B106" s="68"/>
      <c r="C106" s="68"/>
      <c r="D106" s="68"/>
      <c r="E106" s="68"/>
      <c r="F106" s="68"/>
      <c r="G106" s="68"/>
      <c r="H106" s="68"/>
      <c r="I106" s="68"/>
      <c r="J106" s="68"/>
      <c r="K106" s="68"/>
      <c r="L106" s="68"/>
    </row>
    <row r="107" spans="2:12" x14ac:dyDescent="0.25">
      <c r="B107" s="68"/>
      <c r="C107" s="68"/>
      <c r="D107" s="68"/>
      <c r="E107" s="68"/>
      <c r="F107" s="68"/>
      <c r="G107" s="68"/>
      <c r="H107" s="68"/>
      <c r="I107" s="68"/>
      <c r="J107" s="68"/>
      <c r="K107" s="68"/>
      <c r="L107" s="68"/>
    </row>
    <row r="108" spans="2:12" x14ac:dyDescent="0.25">
      <c r="B108" s="68"/>
      <c r="C108" s="68"/>
      <c r="D108" s="68"/>
      <c r="E108" s="68"/>
      <c r="F108" s="68"/>
      <c r="G108" s="68"/>
      <c r="H108" s="68"/>
      <c r="I108" s="68"/>
      <c r="J108" s="68"/>
      <c r="K108" s="68"/>
      <c r="L108" s="68"/>
    </row>
    <row r="109" spans="2:12" x14ac:dyDescent="0.25">
      <c r="B109" s="68"/>
      <c r="C109" s="68"/>
      <c r="D109" s="68"/>
      <c r="E109" s="68"/>
      <c r="F109" s="68"/>
      <c r="G109" s="68"/>
      <c r="H109" s="68"/>
      <c r="I109" s="68"/>
      <c r="J109" s="68"/>
      <c r="K109" s="68"/>
      <c r="L109" s="68"/>
    </row>
    <row r="110" spans="2:12" x14ac:dyDescent="0.25">
      <c r="B110" s="68"/>
      <c r="C110" s="68"/>
      <c r="D110" s="68"/>
      <c r="E110" s="68"/>
      <c r="F110" s="68"/>
      <c r="G110" s="68"/>
      <c r="H110" s="68"/>
      <c r="I110" s="68"/>
      <c r="J110" s="68"/>
      <c r="K110" s="68"/>
      <c r="L110" s="68"/>
    </row>
    <row r="111" spans="2:12" x14ac:dyDescent="0.25">
      <c r="B111" s="68"/>
      <c r="C111" s="68"/>
      <c r="D111" s="68"/>
      <c r="E111" s="68"/>
      <c r="F111" s="68"/>
      <c r="G111" s="68"/>
      <c r="H111" s="68"/>
      <c r="I111" s="68"/>
      <c r="J111" s="68"/>
      <c r="K111" s="68"/>
      <c r="L111" s="68"/>
    </row>
    <row r="112" spans="2:12" x14ac:dyDescent="0.25">
      <c r="B112" s="68"/>
      <c r="C112" s="68"/>
      <c r="D112" s="68"/>
      <c r="E112" s="68"/>
      <c r="F112" s="68"/>
      <c r="G112" s="68"/>
      <c r="H112" s="68"/>
      <c r="I112" s="68"/>
      <c r="J112" s="68"/>
      <c r="K112" s="68"/>
      <c r="L112" s="68"/>
    </row>
    <row r="113" spans="2:12" x14ac:dyDescent="0.25">
      <c r="B113" s="68"/>
      <c r="C113" s="68"/>
      <c r="D113" s="68"/>
      <c r="E113" s="68"/>
      <c r="F113" s="68"/>
      <c r="G113" s="68"/>
      <c r="H113" s="68"/>
      <c r="I113" s="68"/>
      <c r="J113" s="68"/>
      <c r="K113" s="68"/>
      <c r="L113" s="68"/>
    </row>
    <row r="114" spans="2:12" x14ac:dyDescent="0.25">
      <c r="B114" s="68"/>
      <c r="C114" s="68"/>
      <c r="D114" s="68"/>
      <c r="E114" s="68"/>
      <c r="F114" s="68"/>
      <c r="G114" s="68"/>
      <c r="H114" s="68"/>
      <c r="I114" s="68"/>
      <c r="J114" s="68"/>
      <c r="K114" s="68"/>
      <c r="L114" s="68"/>
    </row>
    <row r="115" spans="2:12" x14ac:dyDescent="0.25">
      <c r="B115" s="68"/>
      <c r="C115" s="68"/>
      <c r="D115" s="68"/>
      <c r="E115" s="68"/>
      <c r="F115" s="68"/>
      <c r="G115" s="68"/>
      <c r="H115" s="68"/>
      <c r="I115" s="68"/>
      <c r="J115" s="68"/>
      <c r="K115" s="68"/>
      <c r="L115" s="68"/>
    </row>
    <row r="116" spans="2:12" x14ac:dyDescent="0.25">
      <c r="B116" s="68"/>
      <c r="C116" s="68"/>
      <c r="D116" s="68"/>
      <c r="E116" s="68"/>
      <c r="F116" s="68"/>
      <c r="G116" s="68"/>
      <c r="H116" s="68"/>
      <c r="I116" s="68"/>
      <c r="J116" s="68"/>
      <c r="K116" s="68"/>
      <c r="L116" s="68"/>
    </row>
    <row r="117" spans="2:12" x14ac:dyDescent="0.25">
      <c r="B117" s="68"/>
      <c r="C117" s="68"/>
      <c r="D117" s="68"/>
      <c r="E117" s="68"/>
      <c r="F117" s="68"/>
      <c r="G117" s="68"/>
      <c r="H117" s="68"/>
      <c r="I117" s="68"/>
      <c r="J117" s="68"/>
      <c r="K117" s="68"/>
      <c r="L117" s="68"/>
    </row>
    <row r="118" spans="2:12" x14ac:dyDescent="0.25">
      <c r="B118" s="68"/>
      <c r="C118" s="68"/>
      <c r="D118" s="68"/>
      <c r="E118" s="68"/>
      <c r="F118" s="68"/>
      <c r="G118" s="68"/>
      <c r="H118" s="68"/>
      <c r="I118" s="68"/>
      <c r="J118" s="68"/>
      <c r="K118" s="68"/>
      <c r="L118" s="68"/>
    </row>
    <row r="119" spans="2:12" x14ac:dyDescent="0.25">
      <c r="B119" s="68"/>
      <c r="C119" s="68"/>
      <c r="D119" s="68"/>
      <c r="E119" s="68"/>
      <c r="F119" s="68"/>
      <c r="G119" s="68"/>
      <c r="H119" s="68"/>
      <c r="I119" s="68"/>
      <c r="J119" s="68"/>
      <c r="K119" s="68"/>
      <c r="L119" s="68"/>
    </row>
    <row r="120" spans="2:12" x14ac:dyDescent="0.25">
      <c r="B120" s="68"/>
      <c r="C120" s="68"/>
      <c r="D120" s="68"/>
      <c r="E120" s="68"/>
      <c r="F120" s="68"/>
      <c r="G120" s="68"/>
      <c r="H120" s="68"/>
      <c r="I120" s="68"/>
      <c r="J120" s="68"/>
      <c r="K120" s="68"/>
      <c r="L120" s="68"/>
    </row>
    <row r="121" spans="2:12" x14ac:dyDescent="0.25">
      <c r="B121" s="68"/>
      <c r="C121" s="68"/>
      <c r="D121" s="68"/>
      <c r="E121" s="68"/>
      <c r="F121" s="68"/>
      <c r="G121" s="68"/>
      <c r="H121" s="68"/>
      <c r="I121" s="68"/>
      <c r="J121" s="68"/>
      <c r="K121" s="68"/>
      <c r="L121" s="68"/>
    </row>
    <row r="122" spans="2:12" x14ac:dyDescent="0.25">
      <c r="B122" s="68"/>
      <c r="C122" s="68"/>
      <c r="D122" s="68"/>
      <c r="E122" s="68"/>
      <c r="F122" s="68"/>
      <c r="G122" s="68"/>
      <c r="H122" s="68"/>
      <c r="I122" s="68"/>
      <c r="J122" s="68"/>
      <c r="K122" s="68"/>
      <c r="L122" s="68"/>
    </row>
    <row r="123" spans="2:12" x14ac:dyDescent="0.25">
      <c r="B123" s="68"/>
      <c r="C123" s="68"/>
      <c r="D123" s="68"/>
      <c r="E123" s="68"/>
      <c r="F123" s="68"/>
      <c r="G123" s="68"/>
      <c r="H123" s="68"/>
      <c r="I123" s="68"/>
      <c r="J123" s="68"/>
      <c r="K123" s="68"/>
      <c r="L123" s="68"/>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412"/>
  <sheetViews>
    <sheetView workbookViewId="0"/>
  </sheetViews>
  <sheetFormatPr defaultColWidth="9" defaultRowHeight="15" x14ac:dyDescent="0.25"/>
  <cols>
    <col min="1" max="21" width="9" style="68"/>
    <col min="22" max="22" width="9.25" style="68" bestFit="1" customWidth="1"/>
    <col min="23" max="16384" width="9" style="68"/>
  </cols>
  <sheetData>
    <row r="1" spans="1:32" x14ac:dyDescent="0.25">
      <c r="A1" s="80" t="s">
        <v>115</v>
      </c>
      <c r="B1" s="81"/>
      <c r="C1" s="82" t="s">
        <v>116</v>
      </c>
      <c r="D1" s="83"/>
      <c r="E1" s="83"/>
      <c r="F1" s="84">
        <v>0.09</v>
      </c>
      <c r="H1" s="85"/>
      <c r="L1" s="86"/>
      <c r="V1" s="87"/>
      <c r="X1" s="88"/>
    </row>
    <row r="2" spans="1:32" ht="15.75" thickBot="1" x14ac:dyDescent="0.3">
      <c r="C2" s="89" t="s">
        <v>117</v>
      </c>
      <c r="D2" s="90"/>
      <c r="E2" s="90"/>
      <c r="F2" s="91">
        <v>2.4E-2</v>
      </c>
      <c r="G2" s="68">
        <v>6</v>
      </c>
      <c r="H2" s="85">
        <v>7</v>
      </c>
      <c r="I2" s="68">
        <v>8</v>
      </c>
      <c r="J2" s="68">
        <v>9</v>
      </c>
      <c r="K2" s="68">
        <v>10</v>
      </c>
      <c r="L2" s="68">
        <v>11</v>
      </c>
      <c r="M2" s="68">
        <v>12</v>
      </c>
      <c r="N2" s="68">
        <v>13</v>
      </c>
      <c r="O2" s="68">
        <v>14</v>
      </c>
      <c r="P2" s="68">
        <v>15</v>
      </c>
      <c r="Q2" s="68">
        <v>16</v>
      </c>
      <c r="R2" s="68">
        <v>17</v>
      </c>
      <c r="S2" s="87">
        <v>18</v>
      </c>
      <c r="T2" s="68">
        <v>19</v>
      </c>
      <c r="U2" s="87">
        <v>20</v>
      </c>
      <c r="V2" s="68">
        <v>21</v>
      </c>
      <c r="W2" s="68">
        <v>22</v>
      </c>
      <c r="X2" s="68">
        <v>23</v>
      </c>
      <c r="Y2" s="68">
        <v>24</v>
      </c>
      <c r="Z2" s="68">
        <v>25</v>
      </c>
      <c r="AA2" s="68">
        <v>26</v>
      </c>
      <c r="AB2" s="68">
        <v>27</v>
      </c>
      <c r="AC2" s="68">
        <v>28</v>
      </c>
      <c r="AD2" s="68">
        <v>29</v>
      </c>
      <c r="AE2" s="68">
        <v>30</v>
      </c>
      <c r="AF2" s="68">
        <v>31</v>
      </c>
    </row>
    <row r="3" spans="1:32" x14ac:dyDescent="0.25">
      <c r="D3" s="92"/>
      <c r="H3" s="85"/>
      <c r="L3" s="86"/>
      <c r="R3" s="257" t="s">
        <v>118</v>
      </c>
      <c r="S3" s="257"/>
      <c r="T3" s="257"/>
      <c r="U3" s="257"/>
      <c r="V3" s="257"/>
      <c r="W3" s="257"/>
      <c r="X3" s="258" t="s">
        <v>119</v>
      </c>
      <c r="Y3" s="258"/>
    </row>
    <row r="4" spans="1:32" x14ac:dyDescent="0.25">
      <c r="A4" s="75"/>
      <c r="B4" s="75" t="s">
        <v>120</v>
      </c>
      <c r="C4" s="93" t="s">
        <v>121</v>
      </c>
      <c r="D4" s="75" t="s">
        <v>122</v>
      </c>
      <c r="E4" s="94" t="s">
        <v>123</v>
      </c>
      <c r="F4" s="94" t="s">
        <v>124</v>
      </c>
      <c r="G4" s="94" t="s">
        <v>125</v>
      </c>
      <c r="H4" s="94" t="s">
        <v>126</v>
      </c>
      <c r="I4" s="95" t="s">
        <v>127</v>
      </c>
      <c r="J4" s="93" t="s">
        <v>128</v>
      </c>
      <c r="K4" s="94" t="s">
        <v>129</v>
      </c>
      <c r="L4" s="96" t="s">
        <v>130</v>
      </c>
      <c r="M4" s="94" t="s">
        <v>131</v>
      </c>
      <c r="N4" s="94" t="s">
        <v>132</v>
      </c>
      <c r="O4" s="94" t="s">
        <v>133</v>
      </c>
      <c r="P4" s="94" t="s">
        <v>134</v>
      </c>
      <c r="Q4" s="97" t="s">
        <v>135</v>
      </c>
      <c r="R4" s="98" t="s">
        <v>136</v>
      </c>
      <c r="S4" s="98" t="s">
        <v>137</v>
      </c>
      <c r="T4" s="98" t="s">
        <v>138</v>
      </c>
      <c r="U4" s="98" t="s">
        <v>139</v>
      </c>
      <c r="V4" s="99" t="s">
        <v>140</v>
      </c>
      <c r="W4" s="98" t="s">
        <v>141</v>
      </c>
      <c r="X4" s="100" t="s">
        <v>142</v>
      </c>
      <c r="Y4" s="101" t="s">
        <v>143</v>
      </c>
      <c r="Z4" s="97" t="s">
        <v>144</v>
      </c>
      <c r="AA4" s="97" t="s">
        <v>145</v>
      </c>
      <c r="AB4" s="97" t="s">
        <v>146</v>
      </c>
      <c r="AC4" s="97" t="s">
        <v>147</v>
      </c>
      <c r="AD4" s="94" t="s">
        <v>148</v>
      </c>
      <c r="AE4" s="94" t="s">
        <v>149</v>
      </c>
      <c r="AF4" s="94" t="s">
        <v>150</v>
      </c>
    </row>
    <row r="5" spans="1:32" x14ac:dyDescent="0.25">
      <c r="A5" s="102">
        <v>65</v>
      </c>
      <c r="B5" s="68" t="str">
        <f t="shared" ref="B5:B72" si="0">CONCATENATE(C5,D5,E5,F5)</f>
        <v>0.01, Bed-Disk  (Hipper)  4R-36</v>
      </c>
      <c r="C5" s="103">
        <v>0.01</v>
      </c>
      <c r="D5" s="68" t="s">
        <v>151</v>
      </c>
      <c r="E5" s="68" t="s">
        <v>152</v>
      </c>
      <c r="F5" s="68" t="s">
        <v>153</v>
      </c>
      <c r="G5" s="68" t="str">
        <f t="shared" ref="G5:G72" si="1">CONCATENATE(E5,F5)</f>
        <v>Bed-Disk  (Hipper)  4R-36</v>
      </c>
      <c r="H5" s="85">
        <v>15700</v>
      </c>
      <c r="I5" s="221">
        <v>12</v>
      </c>
      <c r="J5" s="221">
        <v>5.5</v>
      </c>
      <c r="K5" s="221">
        <v>80</v>
      </c>
      <c r="L5" s="86">
        <f t="shared" ref="L5:L72" si="2">1/((I5*J5*K5/100*5280)/43560)</f>
        <v>0.15625</v>
      </c>
      <c r="M5" s="221">
        <v>30</v>
      </c>
      <c r="N5" s="221">
        <v>40</v>
      </c>
      <c r="O5" s="221">
        <v>10</v>
      </c>
      <c r="P5" s="221">
        <v>160</v>
      </c>
      <c r="Q5" s="221">
        <v>0</v>
      </c>
      <c r="R5" s="104">
        <f t="shared" ref="R5:R72" si="3">P5*O5</f>
        <v>1600</v>
      </c>
      <c r="S5" s="104">
        <v>1</v>
      </c>
      <c r="T5" s="104">
        <v>0.27</v>
      </c>
      <c r="U5" s="104">
        <v>1.4</v>
      </c>
      <c r="V5" s="219">
        <f t="shared" ref="V5:V72" si="4">(T5*H5)*((S5*P5/1000)^U5)</f>
        <v>325.86025444142638</v>
      </c>
      <c r="W5" s="106">
        <f t="shared" ref="W5:W72" si="5">V5/P5</f>
        <v>2.0366265902589147</v>
      </c>
      <c r="X5" s="107">
        <f t="shared" ref="X5:X72" si="6">(H5*N5/100)/O5</f>
        <v>628</v>
      </c>
      <c r="Y5" s="108">
        <f t="shared" ref="Y5:Y72" si="7">X5/P5</f>
        <v>3.9249999999999998</v>
      </c>
      <c r="Z5" s="88">
        <f t="shared" ref="Z5:Z72" si="8">H5*M5/100</f>
        <v>4710</v>
      </c>
      <c r="AA5" s="88">
        <f>(H5-Z5)/O5</f>
        <v>1099</v>
      </c>
      <c r="AB5" s="88">
        <f t="shared" ref="AB5:AB72" si="9">(Z5+H5)/2</f>
        <v>10205</v>
      </c>
      <c r="AC5" s="109">
        <f t="shared" ref="AC5:AC68" si="10">AB5*intir</f>
        <v>918.44999999999993</v>
      </c>
      <c r="AD5" s="109">
        <f t="shared" ref="AD5:AD68" si="11">AB5*itr</f>
        <v>244.92000000000002</v>
      </c>
      <c r="AE5" s="109">
        <f t="shared" ref="AE5:AE72" si="12">AA5+AC5+AD5</f>
        <v>2262.37</v>
      </c>
      <c r="AF5" s="73">
        <f t="shared" ref="AF5:AF72" si="13">AE5/P5</f>
        <v>14.1398125</v>
      </c>
    </row>
    <row r="6" spans="1:32" x14ac:dyDescent="0.25">
      <c r="A6" s="102">
        <v>67</v>
      </c>
      <c r="B6" s="68" t="str">
        <f t="shared" si="0"/>
        <v>0.03, Bed-Disk  (Hipper)  6R-36</v>
      </c>
      <c r="C6" s="103">
        <v>0.03</v>
      </c>
      <c r="D6" s="68" t="s">
        <v>151</v>
      </c>
      <c r="E6" s="68" t="s">
        <v>152</v>
      </c>
      <c r="F6" s="68" t="s">
        <v>154</v>
      </c>
      <c r="G6" s="68" t="str">
        <f t="shared" si="1"/>
        <v>Bed-Disk  (Hipper)  6R-36</v>
      </c>
      <c r="H6" s="85">
        <v>23600</v>
      </c>
      <c r="I6" s="221">
        <v>18</v>
      </c>
      <c r="J6" s="221">
        <v>5.5</v>
      </c>
      <c r="K6" s="221">
        <v>80</v>
      </c>
      <c r="L6" s="86">
        <f t="shared" si="2"/>
        <v>0.10416666666666667</v>
      </c>
      <c r="M6" s="221">
        <v>30</v>
      </c>
      <c r="N6" s="221">
        <v>40</v>
      </c>
      <c r="O6" s="221">
        <v>10</v>
      </c>
      <c r="P6" s="221">
        <v>160</v>
      </c>
      <c r="Q6" s="221">
        <v>0</v>
      </c>
      <c r="R6" s="104">
        <f t="shared" si="3"/>
        <v>1600</v>
      </c>
      <c r="S6" s="104">
        <v>1</v>
      </c>
      <c r="T6" s="104">
        <v>0.27</v>
      </c>
      <c r="U6" s="104">
        <v>1.4</v>
      </c>
      <c r="V6" s="219">
        <f t="shared" si="4"/>
        <v>489.82815317309957</v>
      </c>
      <c r="W6" s="106">
        <f t="shared" si="5"/>
        <v>3.0614259573318723</v>
      </c>
      <c r="X6" s="107">
        <f t="shared" si="6"/>
        <v>944</v>
      </c>
      <c r="Y6" s="108">
        <f t="shared" si="7"/>
        <v>5.9</v>
      </c>
      <c r="Z6" s="88">
        <f t="shared" si="8"/>
        <v>7080</v>
      </c>
      <c r="AA6" s="88">
        <f t="shared" ref="AA6:AA72" si="14">(H6-Z6)/O6</f>
        <v>1652</v>
      </c>
      <c r="AB6" s="88">
        <f t="shared" si="9"/>
        <v>15340</v>
      </c>
      <c r="AC6" s="109">
        <f t="shared" si="10"/>
        <v>1380.6</v>
      </c>
      <c r="AD6" s="109">
        <f t="shared" si="11"/>
        <v>368.16</v>
      </c>
      <c r="AE6" s="109">
        <f t="shared" si="12"/>
        <v>3400.7599999999998</v>
      </c>
      <c r="AF6" s="73">
        <f t="shared" si="13"/>
        <v>21.254749999999998</v>
      </c>
    </row>
    <row r="7" spans="1:32" x14ac:dyDescent="0.25">
      <c r="A7" s="102">
        <v>68</v>
      </c>
      <c r="B7" s="68" t="str">
        <f t="shared" si="0"/>
        <v>0.04, Bed-Disk  (Hipper)  8R-30</v>
      </c>
      <c r="C7" s="103">
        <v>0.04</v>
      </c>
      <c r="D7" s="68" t="s">
        <v>151</v>
      </c>
      <c r="E7" s="68" t="s">
        <v>152</v>
      </c>
      <c r="F7" s="68" t="s">
        <v>155</v>
      </c>
      <c r="G7" s="68" t="str">
        <f t="shared" si="1"/>
        <v>Bed-Disk  (Hipper)  8R-30</v>
      </c>
      <c r="H7" s="85">
        <v>32600</v>
      </c>
      <c r="I7" s="221">
        <v>20</v>
      </c>
      <c r="J7" s="221">
        <v>5.5</v>
      </c>
      <c r="K7" s="221">
        <v>80</v>
      </c>
      <c r="L7" s="86">
        <f t="shared" si="2"/>
        <v>9.375E-2</v>
      </c>
      <c r="M7" s="221">
        <v>30</v>
      </c>
      <c r="N7" s="221">
        <v>40</v>
      </c>
      <c r="O7" s="221">
        <v>10</v>
      </c>
      <c r="P7" s="221">
        <v>160</v>
      </c>
      <c r="Q7" s="221">
        <v>0</v>
      </c>
      <c r="R7" s="104">
        <f t="shared" si="3"/>
        <v>1600</v>
      </c>
      <c r="S7" s="104">
        <v>1</v>
      </c>
      <c r="T7" s="104">
        <v>0.27</v>
      </c>
      <c r="U7" s="104">
        <v>1.4</v>
      </c>
      <c r="V7" s="219">
        <f t="shared" si="4"/>
        <v>676.62702514589171</v>
      </c>
      <c r="W7" s="106">
        <f t="shared" si="5"/>
        <v>4.2289189071618232</v>
      </c>
      <c r="X7" s="107">
        <f t="shared" si="6"/>
        <v>1304</v>
      </c>
      <c r="Y7" s="108">
        <f t="shared" si="7"/>
        <v>8.15</v>
      </c>
      <c r="Z7" s="88">
        <f t="shared" si="8"/>
        <v>9780</v>
      </c>
      <c r="AA7" s="88">
        <f t="shared" si="14"/>
        <v>2282</v>
      </c>
      <c r="AB7" s="88">
        <f t="shared" si="9"/>
        <v>21190</v>
      </c>
      <c r="AC7" s="109">
        <f t="shared" si="10"/>
        <v>1907.1</v>
      </c>
      <c r="AD7" s="109">
        <f t="shared" si="11"/>
        <v>508.56</v>
      </c>
      <c r="AE7" s="109">
        <f t="shared" si="12"/>
        <v>4697.6600000000008</v>
      </c>
      <c r="AF7" s="73">
        <f t="shared" si="13"/>
        <v>29.360375000000005</v>
      </c>
    </row>
    <row r="8" spans="1:32" x14ac:dyDescent="0.25">
      <c r="A8" s="102">
        <v>298</v>
      </c>
      <c r="B8" s="68" t="str">
        <f t="shared" si="0"/>
        <v>0.06, Bed-Disk  (Hipper) 12R-30</v>
      </c>
      <c r="C8" s="103">
        <v>0.06</v>
      </c>
      <c r="D8" s="68" t="s">
        <v>151</v>
      </c>
      <c r="E8" s="68" t="s">
        <v>152</v>
      </c>
      <c r="F8" s="68" t="s">
        <v>156</v>
      </c>
      <c r="G8" s="68" t="str">
        <f t="shared" si="1"/>
        <v>Bed-Disk  (Hipper) 12R-30</v>
      </c>
      <c r="H8" s="85">
        <v>87500</v>
      </c>
      <c r="I8" s="221">
        <v>30</v>
      </c>
      <c r="J8" s="221">
        <v>5.5</v>
      </c>
      <c r="K8" s="221">
        <v>80</v>
      </c>
      <c r="L8" s="86">
        <f t="shared" si="2"/>
        <v>6.25E-2</v>
      </c>
      <c r="M8" s="221">
        <v>30</v>
      </c>
      <c r="N8" s="221">
        <v>40</v>
      </c>
      <c r="O8" s="221">
        <v>10</v>
      </c>
      <c r="P8" s="221">
        <v>160</v>
      </c>
      <c r="Q8" s="221">
        <v>0</v>
      </c>
      <c r="R8" s="104">
        <f t="shared" si="3"/>
        <v>1600</v>
      </c>
      <c r="S8" s="104">
        <v>1</v>
      </c>
      <c r="T8" s="104">
        <v>0.27</v>
      </c>
      <c r="U8" s="104">
        <v>1.4</v>
      </c>
      <c r="V8" s="219">
        <f t="shared" si="4"/>
        <v>1816.1001441799242</v>
      </c>
      <c r="W8" s="106">
        <f t="shared" si="5"/>
        <v>11.350625901124527</v>
      </c>
      <c r="X8" s="107">
        <f t="shared" si="6"/>
        <v>3500</v>
      </c>
      <c r="Y8" s="108">
        <f t="shared" si="7"/>
        <v>21.875</v>
      </c>
      <c r="Z8" s="88">
        <f t="shared" si="8"/>
        <v>26250</v>
      </c>
      <c r="AA8" s="88">
        <f t="shared" si="14"/>
        <v>6125</v>
      </c>
      <c r="AB8" s="88">
        <f t="shared" si="9"/>
        <v>56875</v>
      </c>
      <c r="AC8" s="109">
        <f t="shared" si="10"/>
        <v>5118.75</v>
      </c>
      <c r="AD8" s="109">
        <f t="shared" si="11"/>
        <v>1365</v>
      </c>
      <c r="AE8" s="109">
        <f t="shared" si="12"/>
        <v>12608.75</v>
      </c>
      <c r="AF8" s="73">
        <f t="shared" si="13"/>
        <v>78.8046875</v>
      </c>
    </row>
    <row r="9" spans="1:32" x14ac:dyDescent="0.25">
      <c r="A9" s="102">
        <v>240</v>
      </c>
      <c r="B9" s="68" t="str">
        <f t="shared" si="0"/>
        <v>0.08, Bed-Disk  (Hipper)  8R-36 2x1</v>
      </c>
      <c r="C9" s="103">
        <v>0.08</v>
      </c>
      <c r="D9" s="68" t="s">
        <v>151</v>
      </c>
      <c r="E9" s="68" t="s">
        <v>152</v>
      </c>
      <c r="F9" s="68" t="s">
        <v>157</v>
      </c>
      <c r="G9" s="68" t="str">
        <f t="shared" si="1"/>
        <v>Bed-Disk  (Hipper)  8R-36 2x1</v>
      </c>
      <c r="H9" s="85">
        <v>114000</v>
      </c>
      <c r="I9" s="221">
        <v>36</v>
      </c>
      <c r="J9" s="221">
        <v>5.5</v>
      </c>
      <c r="K9" s="221">
        <v>80</v>
      </c>
      <c r="L9" s="86">
        <f t="shared" si="2"/>
        <v>5.2083333333333336E-2</v>
      </c>
      <c r="M9" s="221">
        <v>30</v>
      </c>
      <c r="N9" s="221">
        <v>40</v>
      </c>
      <c r="O9" s="221">
        <v>10</v>
      </c>
      <c r="P9" s="221">
        <v>160</v>
      </c>
      <c r="Q9" s="221">
        <v>0</v>
      </c>
      <c r="R9" s="104">
        <f t="shared" si="3"/>
        <v>1600</v>
      </c>
      <c r="S9" s="104">
        <v>1</v>
      </c>
      <c r="T9" s="104">
        <v>0.27</v>
      </c>
      <c r="U9" s="104">
        <v>1.4</v>
      </c>
      <c r="V9" s="219">
        <f t="shared" si="4"/>
        <v>2366.1190449887017</v>
      </c>
      <c r="W9" s="106">
        <f t="shared" si="5"/>
        <v>14.788244031179385</v>
      </c>
      <c r="X9" s="107">
        <f t="shared" si="6"/>
        <v>4560</v>
      </c>
      <c r="Y9" s="108">
        <f t="shared" si="7"/>
        <v>28.5</v>
      </c>
      <c r="Z9" s="88">
        <f t="shared" si="8"/>
        <v>34200</v>
      </c>
      <c r="AA9" s="88">
        <f t="shared" si="14"/>
        <v>7980</v>
      </c>
      <c r="AB9" s="88">
        <f t="shared" si="9"/>
        <v>74100</v>
      </c>
      <c r="AC9" s="109">
        <f t="shared" si="10"/>
        <v>6669</v>
      </c>
      <c r="AD9" s="109">
        <f t="shared" si="11"/>
        <v>1778.4</v>
      </c>
      <c r="AE9" s="109">
        <f t="shared" si="12"/>
        <v>16427.400000000001</v>
      </c>
      <c r="AF9" s="73">
        <f t="shared" si="13"/>
        <v>102.67125000000001</v>
      </c>
    </row>
    <row r="10" spans="1:32" x14ac:dyDescent="0.25">
      <c r="A10" s="102">
        <v>241</v>
      </c>
      <c r="B10" s="68" t="str">
        <f t="shared" si="0"/>
        <v>0.09, Bed-Disk  (Hipper) 12R-36</v>
      </c>
      <c r="C10" s="103">
        <v>0.09</v>
      </c>
      <c r="D10" s="68" t="s">
        <v>151</v>
      </c>
      <c r="E10" s="68" t="s">
        <v>152</v>
      </c>
      <c r="F10" s="68" t="s">
        <v>158</v>
      </c>
      <c r="G10" s="68" t="str">
        <f t="shared" si="1"/>
        <v>Bed-Disk  (Hipper) 12R-36</v>
      </c>
      <c r="H10" s="85">
        <v>114000</v>
      </c>
      <c r="I10" s="221">
        <v>36</v>
      </c>
      <c r="J10" s="221">
        <v>5.5</v>
      </c>
      <c r="K10" s="221">
        <v>80</v>
      </c>
      <c r="L10" s="86">
        <f t="shared" si="2"/>
        <v>5.2083333333333336E-2</v>
      </c>
      <c r="M10" s="221">
        <v>30</v>
      </c>
      <c r="N10" s="221">
        <v>40</v>
      </c>
      <c r="O10" s="221">
        <v>10</v>
      </c>
      <c r="P10" s="221">
        <v>160</v>
      </c>
      <c r="Q10" s="221">
        <v>0</v>
      </c>
      <c r="R10" s="104">
        <f t="shared" si="3"/>
        <v>1600</v>
      </c>
      <c r="S10" s="104">
        <v>1</v>
      </c>
      <c r="T10" s="104">
        <v>0.27</v>
      </c>
      <c r="U10" s="104">
        <v>1.4</v>
      </c>
      <c r="V10" s="219">
        <f t="shared" si="4"/>
        <v>2366.1190449887017</v>
      </c>
      <c r="W10" s="106">
        <f t="shared" si="5"/>
        <v>14.788244031179385</v>
      </c>
      <c r="X10" s="107">
        <f t="shared" si="6"/>
        <v>4560</v>
      </c>
      <c r="Y10" s="108">
        <f t="shared" si="7"/>
        <v>28.5</v>
      </c>
      <c r="Z10" s="88">
        <f t="shared" si="8"/>
        <v>34200</v>
      </c>
      <c r="AA10" s="88">
        <f t="shared" si="14"/>
        <v>7980</v>
      </c>
      <c r="AB10" s="88">
        <f t="shared" si="9"/>
        <v>74100</v>
      </c>
      <c r="AC10" s="109">
        <f t="shared" si="10"/>
        <v>6669</v>
      </c>
      <c r="AD10" s="109">
        <f t="shared" si="11"/>
        <v>1778.4</v>
      </c>
      <c r="AE10" s="109">
        <f t="shared" si="12"/>
        <v>16427.400000000001</v>
      </c>
      <c r="AF10" s="73">
        <f t="shared" si="13"/>
        <v>102.67125000000001</v>
      </c>
    </row>
    <row r="11" spans="1:32" x14ac:dyDescent="0.25">
      <c r="A11" s="102">
        <v>411</v>
      </c>
      <c r="B11" s="68" t="str">
        <f t="shared" si="0"/>
        <v>0.1, Bed-Disk  (Hipper) Fl  8R-36</v>
      </c>
      <c r="C11" s="103">
        <v>0.1</v>
      </c>
      <c r="D11" s="68" t="s">
        <v>151</v>
      </c>
      <c r="E11" s="68" t="s">
        <v>159</v>
      </c>
      <c r="F11" s="68" t="s">
        <v>160</v>
      </c>
      <c r="G11" s="68" t="str">
        <f t="shared" si="1"/>
        <v>Bed-Disk  (Hipper) Fl  8R-36</v>
      </c>
      <c r="H11" s="85">
        <v>45800</v>
      </c>
      <c r="I11" s="221">
        <v>24</v>
      </c>
      <c r="J11" s="221">
        <v>5.5</v>
      </c>
      <c r="K11" s="221">
        <v>80</v>
      </c>
      <c r="L11" s="86">
        <f t="shared" si="2"/>
        <v>7.8125E-2</v>
      </c>
      <c r="M11" s="221">
        <v>30</v>
      </c>
      <c r="N11" s="221">
        <v>40</v>
      </c>
      <c r="O11" s="221">
        <v>10</v>
      </c>
      <c r="P11" s="221">
        <v>160</v>
      </c>
      <c r="Q11" s="221">
        <v>0</v>
      </c>
      <c r="R11" s="104">
        <f t="shared" si="3"/>
        <v>1600</v>
      </c>
      <c r="S11" s="104">
        <v>1</v>
      </c>
      <c r="T11" s="104">
        <v>0.27</v>
      </c>
      <c r="U11" s="104">
        <v>1.4</v>
      </c>
      <c r="V11" s="219">
        <f t="shared" si="4"/>
        <v>950.5987040393203</v>
      </c>
      <c r="W11" s="106">
        <f t="shared" si="5"/>
        <v>5.9412419002457515</v>
      </c>
      <c r="X11" s="107">
        <f t="shared" si="6"/>
        <v>1832</v>
      </c>
      <c r="Y11" s="108">
        <f t="shared" si="7"/>
        <v>11.45</v>
      </c>
      <c r="Z11" s="88">
        <f t="shared" si="8"/>
        <v>13740</v>
      </c>
      <c r="AA11" s="88">
        <f t="shared" si="14"/>
        <v>3206</v>
      </c>
      <c r="AB11" s="88">
        <f t="shared" si="9"/>
        <v>29770</v>
      </c>
      <c r="AC11" s="109">
        <f t="shared" si="10"/>
        <v>2679.2999999999997</v>
      </c>
      <c r="AD11" s="109">
        <f t="shared" si="11"/>
        <v>714.48</v>
      </c>
      <c r="AE11" s="109">
        <f t="shared" si="12"/>
        <v>6599.7799999999988</v>
      </c>
      <c r="AF11" s="73">
        <f t="shared" si="13"/>
        <v>41.24862499999999</v>
      </c>
    </row>
    <row r="12" spans="1:32" x14ac:dyDescent="0.25">
      <c r="A12" s="102">
        <v>69</v>
      </c>
      <c r="B12" s="68" t="str">
        <f t="shared" si="0"/>
        <v>0.11, Bed-Disk  (Hipper) Rd  8R-36</v>
      </c>
      <c r="C12" s="103">
        <v>0.11</v>
      </c>
      <c r="D12" s="68" t="s">
        <v>151</v>
      </c>
      <c r="E12" s="68" t="s">
        <v>161</v>
      </c>
      <c r="F12" s="68" t="s">
        <v>160</v>
      </c>
      <c r="G12" s="68" t="str">
        <f t="shared" si="1"/>
        <v>Bed-Disk  (Hipper) Rd  8R-36</v>
      </c>
      <c r="H12" s="85">
        <v>33800</v>
      </c>
      <c r="I12" s="221">
        <v>24</v>
      </c>
      <c r="J12" s="221">
        <v>5.5</v>
      </c>
      <c r="K12" s="221">
        <v>80</v>
      </c>
      <c r="L12" s="86">
        <f t="shared" si="2"/>
        <v>7.8125E-2</v>
      </c>
      <c r="M12" s="221">
        <v>30</v>
      </c>
      <c r="N12" s="221">
        <v>40</v>
      </c>
      <c r="O12" s="221">
        <v>10</v>
      </c>
      <c r="P12" s="221">
        <v>160</v>
      </c>
      <c r="Q12" s="221">
        <v>0</v>
      </c>
      <c r="R12" s="104">
        <f t="shared" si="3"/>
        <v>1600</v>
      </c>
      <c r="S12" s="104">
        <v>1</v>
      </c>
      <c r="T12" s="104">
        <v>0.27</v>
      </c>
      <c r="U12" s="104">
        <v>1.4</v>
      </c>
      <c r="V12" s="219">
        <f t="shared" si="4"/>
        <v>701.53354140893066</v>
      </c>
      <c r="W12" s="106">
        <f t="shared" si="5"/>
        <v>4.384584633805817</v>
      </c>
      <c r="X12" s="107">
        <f t="shared" si="6"/>
        <v>1352</v>
      </c>
      <c r="Y12" s="108">
        <f t="shared" si="7"/>
        <v>8.4499999999999993</v>
      </c>
      <c r="Z12" s="88">
        <f t="shared" si="8"/>
        <v>10140</v>
      </c>
      <c r="AA12" s="88">
        <f t="shared" si="14"/>
        <v>2366</v>
      </c>
      <c r="AB12" s="88">
        <f t="shared" si="9"/>
        <v>21970</v>
      </c>
      <c r="AC12" s="109">
        <f t="shared" si="10"/>
        <v>1977.3</v>
      </c>
      <c r="AD12" s="109">
        <f t="shared" si="11"/>
        <v>527.28</v>
      </c>
      <c r="AE12" s="109">
        <f t="shared" si="12"/>
        <v>4870.58</v>
      </c>
      <c r="AF12" s="73">
        <f t="shared" si="13"/>
        <v>30.441125</v>
      </c>
    </row>
    <row r="13" spans="1:32" x14ac:dyDescent="0.25">
      <c r="A13" s="102">
        <v>611</v>
      </c>
      <c r="B13" s="68" t="str">
        <f t="shared" si="0"/>
        <v>0.12, Bed-Disk  w/roller 8R-30</v>
      </c>
      <c r="C13" s="103">
        <v>0.12</v>
      </c>
      <c r="D13" s="68" t="s">
        <v>151</v>
      </c>
      <c r="E13" s="68" t="s">
        <v>162</v>
      </c>
      <c r="F13" s="68" t="s">
        <v>155</v>
      </c>
      <c r="G13" s="68" t="str">
        <f t="shared" si="1"/>
        <v>Bed-Disk  w/roller 8R-30</v>
      </c>
      <c r="H13" s="85">
        <v>59900</v>
      </c>
      <c r="I13" s="221">
        <v>20</v>
      </c>
      <c r="J13" s="221">
        <v>5.5</v>
      </c>
      <c r="K13" s="221">
        <v>80</v>
      </c>
      <c r="L13" s="86">
        <f t="shared" si="2"/>
        <v>9.375E-2</v>
      </c>
      <c r="M13" s="221">
        <v>30</v>
      </c>
      <c r="N13" s="221">
        <v>40</v>
      </c>
      <c r="O13" s="221">
        <v>10</v>
      </c>
      <c r="P13" s="221">
        <v>160</v>
      </c>
      <c r="Q13" s="221">
        <v>0</v>
      </c>
      <c r="R13" s="104">
        <f t="shared" si="3"/>
        <v>1600</v>
      </c>
      <c r="S13" s="104">
        <v>1</v>
      </c>
      <c r="T13" s="104">
        <v>0.27</v>
      </c>
      <c r="U13" s="104">
        <v>1.4</v>
      </c>
      <c r="V13" s="219">
        <f t="shared" si="4"/>
        <v>1243.2502701300282</v>
      </c>
      <c r="W13" s="106">
        <f t="shared" si="5"/>
        <v>7.7703141883126765</v>
      </c>
      <c r="X13" s="107">
        <f t="shared" si="6"/>
        <v>2396</v>
      </c>
      <c r="Y13" s="108">
        <f t="shared" si="7"/>
        <v>14.975</v>
      </c>
      <c r="Z13" s="88">
        <f t="shared" si="8"/>
        <v>17970</v>
      </c>
      <c r="AA13" s="88">
        <f t="shared" si="14"/>
        <v>4193</v>
      </c>
      <c r="AB13" s="88">
        <f t="shared" si="9"/>
        <v>38935</v>
      </c>
      <c r="AC13" s="109">
        <f t="shared" si="10"/>
        <v>3504.15</v>
      </c>
      <c r="AD13" s="109">
        <f t="shared" si="11"/>
        <v>934.44</v>
      </c>
      <c r="AE13" s="109">
        <f t="shared" si="12"/>
        <v>8631.59</v>
      </c>
      <c r="AF13" s="73">
        <f t="shared" si="13"/>
        <v>53.947437499999999</v>
      </c>
    </row>
    <row r="14" spans="1:32" x14ac:dyDescent="0.25">
      <c r="A14" s="102">
        <v>732</v>
      </c>
      <c r="B14" s="68" t="str">
        <f t="shared" si="0"/>
        <v>0.13, Bed-Disk  w/roller 8R-36</v>
      </c>
      <c r="C14" s="103">
        <v>0.13</v>
      </c>
      <c r="D14" s="68" t="s">
        <v>151</v>
      </c>
      <c r="E14" s="68" t="s">
        <v>162</v>
      </c>
      <c r="F14" s="68" t="s">
        <v>160</v>
      </c>
      <c r="G14" s="68" t="str">
        <f t="shared" si="1"/>
        <v>Bed-Disk  w/roller 8R-36</v>
      </c>
      <c r="H14" s="85">
        <v>68500</v>
      </c>
      <c r="I14" s="221">
        <v>24</v>
      </c>
      <c r="J14" s="221">
        <v>5.5</v>
      </c>
      <c r="K14" s="221">
        <v>80</v>
      </c>
      <c r="L14" s="86">
        <f t="shared" si="2"/>
        <v>7.8125E-2</v>
      </c>
      <c r="M14" s="221">
        <v>30</v>
      </c>
      <c r="N14" s="221">
        <v>40</v>
      </c>
      <c r="O14" s="221">
        <v>10</v>
      </c>
      <c r="P14" s="221">
        <v>160</v>
      </c>
      <c r="Q14" s="221">
        <v>0</v>
      </c>
      <c r="R14" s="104">
        <f t="shared" si="3"/>
        <v>1600</v>
      </c>
      <c r="S14" s="104">
        <v>1</v>
      </c>
      <c r="T14" s="104">
        <v>0.27</v>
      </c>
      <c r="U14" s="104">
        <v>1.4</v>
      </c>
      <c r="V14" s="219">
        <f t="shared" si="4"/>
        <v>1421.7469700151407</v>
      </c>
      <c r="W14" s="106">
        <f t="shared" si="5"/>
        <v>8.8859185625946289</v>
      </c>
      <c r="X14" s="107">
        <f t="shared" si="6"/>
        <v>2740</v>
      </c>
      <c r="Y14" s="108">
        <f t="shared" si="7"/>
        <v>17.125</v>
      </c>
      <c r="Z14" s="88">
        <f t="shared" si="8"/>
        <v>20550</v>
      </c>
      <c r="AA14" s="88">
        <f t="shared" si="14"/>
        <v>4795</v>
      </c>
      <c r="AB14" s="88">
        <f t="shared" si="9"/>
        <v>44525</v>
      </c>
      <c r="AC14" s="109">
        <f t="shared" si="10"/>
        <v>4007.25</v>
      </c>
      <c r="AD14" s="109">
        <f t="shared" si="11"/>
        <v>1068.5999999999999</v>
      </c>
      <c r="AE14" s="109">
        <f t="shared" si="12"/>
        <v>9870.85</v>
      </c>
      <c r="AF14" s="73">
        <f t="shared" si="13"/>
        <v>61.692812500000002</v>
      </c>
    </row>
    <row r="15" spans="1:32" x14ac:dyDescent="0.25">
      <c r="A15" s="102">
        <v>301</v>
      </c>
      <c r="B15" s="68" t="str">
        <f t="shared" si="0"/>
        <v>0.14, Bed-Disk  w/roller 12R-30</v>
      </c>
      <c r="C15" s="103">
        <v>0.14000000000000001</v>
      </c>
      <c r="D15" s="68" t="s">
        <v>151</v>
      </c>
      <c r="E15" s="68" t="s">
        <v>162</v>
      </c>
      <c r="F15" s="68" t="s">
        <v>163</v>
      </c>
      <c r="G15" s="68" t="str">
        <f t="shared" si="1"/>
        <v>Bed-Disk  w/roller 12R-30</v>
      </c>
      <c r="H15" s="85">
        <v>113000</v>
      </c>
      <c r="I15" s="221">
        <v>30</v>
      </c>
      <c r="J15" s="221">
        <v>5.5</v>
      </c>
      <c r="K15" s="221">
        <v>80</v>
      </c>
      <c r="L15" s="86">
        <f t="shared" si="2"/>
        <v>6.25E-2</v>
      </c>
      <c r="M15" s="221">
        <v>30</v>
      </c>
      <c r="N15" s="221">
        <v>40</v>
      </c>
      <c r="O15" s="221">
        <v>10</v>
      </c>
      <c r="P15" s="221">
        <v>160</v>
      </c>
      <c r="Q15" s="221">
        <v>0</v>
      </c>
      <c r="R15" s="104">
        <f t="shared" si="3"/>
        <v>1600</v>
      </c>
      <c r="S15" s="104">
        <v>1</v>
      </c>
      <c r="T15" s="104">
        <v>0.27</v>
      </c>
      <c r="U15" s="104">
        <v>1.4</v>
      </c>
      <c r="V15" s="219">
        <f t="shared" si="4"/>
        <v>2345.3636147695024</v>
      </c>
      <c r="W15" s="106">
        <f t="shared" si="5"/>
        <v>14.65852259230939</v>
      </c>
      <c r="X15" s="107">
        <f t="shared" si="6"/>
        <v>4520</v>
      </c>
      <c r="Y15" s="108">
        <f t="shared" si="7"/>
        <v>28.25</v>
      </c>
      <c r="Z15" s="88">
        <f t="shared" si="8"/>
        <v>33900</v>
      </c>
      <c r="AA15" s="88">
        <f t="shared" si="14"/>
        <v>7910</v>
      </c>
      <c r="AB15" s="88">
        <f t="shared" si="9"/>
        <v>73450</v>
      </c>
      <c r="AC15" s="109">
        <f t="shared" si="10"/>
        <v>6610.5</v>
      </c>
      <c r="AD15" s="109">
        <f t="shared" si="11"/>
        <v>1762.8</v>
      </c>
      <c r="AE15" s="109">
        <f t="shared" si="12"/>
        <v>16283.3</v>
      </c>
      <c r="AF15" s="73">
        <f t="shared" si="13"/>
        <v>101.770625</v>
      </c>
    </row>
    <row r="16" spans="1:32" x14ac:dyDescent="0.25">
      <c r="A16" s="102">
        <v>594</v>
      </c>
      <c r="B16" s="68" t="str">
        <f t="shared" si="0"/>
        <v>0.15, Bed/Lister  4R-36</v>
      </c>
      <c r="C16" s="103">
        <v>0.15</v>
      </c>
      <c r="D16" s="68" t="s">
        <v>151</v>
      </c>
      <c r="E16" s="68" t="s">
        <v>164</v>
      </c>
      <c r="F16" s="68" t="s">
        <v>153</v>
      </c>
      <c r="G16" s="68" t="str">
        <f t="shared" si="1"/>
        <v>Bed/Lister  4R-36</v>
      </c>
      <c r="H16" s="85">
        <v>31900</v>
      </c>
      <c r="I16" s="221">
        <v>10</v>
      </c>
      <c r="J16" s="221">
        <v>4.25</v>
      </c>
      <c r="K16" s="221">
        <v>85</v>
      </c>
      <c r="L16" s="86">
        <f t="shared" si="2"/>
        <v>0.22837370242214533</v>
      </c>
      <c r="M16" s="221">
        <v>35</v>
      </c>
      <c r="N16" s="221">
        <v>30</v>
      </c>
      <c r="O16" s="221">
        <v>8</v>
      </c>
      <c r="P16" s="221">
        <v>160</v>
      </c>
      <c r="Q16" s="221">
        <v>0</v>
      </c>
      <c r="R16" s="104">
        <f t="shared" si="3"/>
        <v>1280</v>
      </c>
      <c r="S16" s="104">
        <v>1</v>
      </c>
      <c r="T16" s="104">
        <v>0.27</v>
      </c>
      <c r="U16" s="104">
        <v>1.4</v>
      </c>
      <c r="V16" s="219">
        <f t="shared" si="4"/>
        <v>662.0982239924524</v>
      </c>
      <c r="W16" s="106">
        <f t="shared" si="5"/>
        <v>4.1381138999528275</v>
      </c>
      <c r="X16" s="107">
        <f t="shared" si="6"/>
        <v>1196.25</v>
      </c>
      <c r="Y16" s="108">
        <f t="shared" si="7"/>
        <v>7.4765625</v>
      </c>
      <c r="Z16" s="88">
        <f t="shared" si="8"/>
        <v>11165</v>
      </c>
      <c r="AA16" s="88">
        <f t="shared" si="14"/>
        <v>2591.875</v>
      </c>
      <c r="AB16" s="88">
        <f t="shared" si="9"/>
        <v>21532.5</v>
      </c>
      <c r="AC16" s="109">
        <f t="shared" si="10"/>
        <v>1937.925</v>
      </c>
      <c r="AD16" s="109">
        <f t="shared" si="11"/>
        <v>516.78</v>
      </c>
      <c r="AE16" s="109">
        <f t="shared" si="12"/>
        <v>5046.58</v>
      </c>
      <c r="AF16" s="73">
        <f t="shared" si="13"/>
        <v>31.541125000000001</v>
      </c>
    </row>
    <row r="17" spans="1:32" x14ac:dyDescent="0.25">
      <c r="A17" s="102">
        <v>119</v>
      </c>
      <c r="B17" s="68" t="str">
        <f t="shared" si="0"/>
        <v>0.16, Bed/Lister  6R-36</v>
      </c>
      <c r="C17" s="103">
        <v>0.16</v>
      </c>
      <c r="D17" s="68" t="s">
        <v>151</v>
      </c>
      <c r="E17" s="68" t="s">
        <v>164</v>
      </c>
      <c r="F17" s="68" t="s">
        <v>154</v>
      </c>
      <c r="G17" s="68" t="str">
        <f t="shared" si="1"/>
        <v>Bed/Lister  6R-36</v>
      </c>
      <c r="H17" s="85">
        <v>36000</v>
      </c>
      <c r="I17" s="221">
        <v>18</v>
      </c>
      <c r="J17" s="221">
        <v>4.25</v>
      </c>
      <c r="K17" s="221">
        <v>85</v>
      </c>
      <c r="L17" s="86">
        <f t="shared" si="2"/>
        <v>0.12687427912341406</v>
      </c>
      <c r="M17" s="221">
        <v>35</v>
      </c>
      <c r="N17" s="221">
        <v>30</v>
      </c>
      <c r="O17" s="221">
        <v>8</v>
      </c>
      <c r="P17" s="221">
        <v>160</v>
      </c>
      <c r="Q17" s="221">
        <v>0</v>
      </c>
      <c r="R17" s="104">
        <f t="shared" si="3"/>
        <v>1280</v>
      </c>
      <c r="S17" s="104">
        <v>1</v>
      </c>
      <c r="T17" s="104">
        <v>0.27</v>
      </c>
      <c r="U17" s="104">
        <v>1.4</v>
      </c>
      <c r="V17" s="219">
        <f t="shared" si="4"/>
        <v>747.1954878911688</v>
      </c>
      <c r="W17" s="106">
        <f t="shared" si="5"/>
        <v>4.6699717993198053</v>
      </c>
      <c r="X17" s="107">
        <f t="shared" si="6"/>
        <v>1350</v>
      </c>
      <c r="Y17" s="108">
        <f t="shared" si="7"/>
        <v>8.4375</v>
      </c>
      <c r="Z17" s="88">
        <f t="shared" si="8"/>
        <v>12600</v>
      </c>
      <c r="AA17" s="88">
        <f t="shared" si="14"/>
        <v>2925</v>
      </c>
      <c r="AB17" s="88">
        <f t="shared" si="9"/>
        <v>24300</v>
      </c>
      <c r="AC17" s="109">
        <f t="shared" si="10"/>
        <v>2187</v>
      </c>
      <c r="AD17" s="109">
        <f t="shared" si="11"/>
        <v>583.20000000000005</v>
      </c>
      <c r="AE17" s="109">
        <f t="shared" si="12"/>
        <v>5695.2</v>
      </c>
      <c r="AF17" s="73">
        <f t="shared" si="13"/>
        <v>35.594999999999999</v>
      </c>
    </row>
    <row r="18" spans="1:32" x14ac:dyDescent="0.25">
      <c r="A18" s="102">
        <v>120</v>
      </c>
      <c r="B18" s="68" t="str">
        <f t="shared" si="0"/>
        <v>0.17, Bed/Lister  8R-30</v>
      </c>
      <c r="C18" s="103">
        <v>0.17</v>
      </c>
      <c r="D18" s="68" t="s">
        <v>151</v>
      </c>
      <c r="E18" s="68" t="s">
        <v>164</v>
      </c>
      <c r="F18" s="68" t="s">
        <v>155</v>
      </c>
      <c r="G18" s="68" t="str">
        <f t="shared" si="1"/>
        <v>Bed/Lister  8R-30</v>
      </c>
      <c r="H18" s="220">
        <v>48300</v>
      </c>
      <c r="I18" s="221">
        <v>20</v>
      </c>
      <c r="J18" s="221">
        <v>4.25</v>
      </c>
      <c r="K18" s="221">
        <v>85</v>
      </c>
      <c r="L18" s="86">
        <f t="shared" si="2"/>
        <v>0.11418685121107267</v>
      </c>
      <c r="M18" s="221">
        <v>35</v>
      </c>
      <c r="N18" s="221">
        <v>30</v>
      </c>
      <c r="O18" s="221">
        <v>8</v>
      </c>
      <c r="P18" s="221">
        <v>160</v>
      </c>
      <c r="Q18" s="221">
        <v>0</v>
      </c>
      <c r="R18" s="104">
        <f t="shared" si="3"/>
        <v>1280</v>
      </c>
      <c r="S18" s="104">
        <v>1</v>
      </c>
      <c r="T18" s="104">
        <v>0.27</v>
      </c>
      <c r="U18" s="104">
        <v>1.4</v>
      </c>
      <c r="V18" s="219">
        <f t="shared" si="4"/>
        <v>1002.4872795873182</v>
      </c>
      <c r="W18" s="106">
        <f t="shared" si="5"/>
        <v>6.2655454974207387</v>
      </c>
      <c r="X18" s="107">
        <f t="shared" si="6"/>
        <v>1811.25</v>
      </c>
      <c r="Y18" s="108">
        <f t="shared" si="7"/>
        <v>11.3203125</v>
      </c>
      <c r="Z18" s="88">
        <f t="shared" si="8"/>
        <v>16905</v>
      </c>
      <c r="AA18" s="88">
        <f t="shared" si="14"/>
        <v>3924.375</v>
      </c>
      <c r="AB18" s="88">
        <f t="shared" si="9"/>
        <v>32602.5</v>
      </c>
      <c r="AC18" s="109">
        <f t="shared" si="10"/>
        <v>2934.2249999999999</v>
      </c>
      <c r="AD18" s="109">
        <f t="shared" si="11"/>
        <v>782.46</v>
      </c>
      <c r="AE18" s="109">
        <f t="shared" si="12"/>
        <v>7641.06</v>
      </c>
      <c r="AF18" s="73">
        <f t="shared" si="13"/>
        <v>47.756625</v>
      </c>
    </row>
    <row r="19" spans="1:32" x14ac:dyDescent="0.25">
      <c r="A19" s="102">
        <v>121</v>
      </c>
      <c r="B19" s="68" t="str">
        <f t="shared" si="0"/>
        <v>0.18, Bed/Lister  8R-36</v>
      </c>
      <c r="C19" s="103">
        <v>0.18</v>
      </c>
      <c r="D19" s="68" t="s">
        <v>151</v>
      </c>
      <c r="E19" s="68" t="s">
        <v>164</v>
      </c>
      <c r="F19" s="68" t="s">
        <v>160</v>
      </c>
      <c r="G19" s="68" t="str">
        <f t="shared" si="1"/>
        <v>Bed/Lister  8R-36</v>
      </c>
      <c r="H19" s="220">
        <v>48700</v>
      </c>
      <c r="I19" s="221">
        <v>24</v>
      </c>
      <c r="J19" s="221">
        <v>4.25</v>
      </c>
      <c r="K19" s="221">
        <v>85</v>
      </c>
      <c r="L19" s="86">
        <f t="shared" si="2"/>
        <v>9.5155709342560554E-2</v>
      </c>
      <c r="M19" s="221">
        <v>35</v>
      </c>
      <c r="N19" s="221">
        <v>30</v>
      </c>
      <c r="O19" s="221">
        <v>8</v>
      </c>
      <c r="P19" s="221">
        <v>160</v>
      </c>
      <c r="Q19" s="221">
        <v>0</v>
      </c>
      <c r="R19" s="104">
        <f t="shared" si="3"/>
        <v>1280</v>
      </c>
      <c r="S19" s="104">
        <v>1</v>
      </c>
      <c r="T19" s="104">
        <v>0.27</v>
      </c>
      <c r="U19" s="104">
        <v>1.4</v>
      </c>
      <c r="V19" s="219">
        <f t="shared" si="4"/>
        <v>1010.7894516749978</v>
      </c>
      <c r="W19" s="106">
        <f t="shared" si="5"/>
        <v>6.3174340729687364</v>
      </c>
      <c r="X19" s="107">
        <f t="shared" si="6"/>
        <v>1826.25</v>
      </c>
      <c r="Y19" s="108">
        <f t="shared" si="7"/>
        <v>11.4140625</v>
      </c>
      <c r="Z19" s="88">
        <f t="shared" si="8"/>
        <v>17045</v>
      </c>
      <c r="AA19" s="88">
        <f t="shared" si="14"/>
        <v>3956.875</v>
      </c>
      <c r="AB19" s="88">
        <f t="shared" si="9"/>
        <v>32872.5</v>
      </c>
      <c r="AC19" s="109">
        <f t="shared" si="10"/>
        <v>2958.5250000000001</v>
      </c>
      <c r="AD19" s="109">
        <f t="shared" si="11"/>
        <v>788.94</v>
      </c>
      <c r="AE19" s="109">
        <f t="shared" si="12"/>
        <v>7704.34</v>
      </c>
      <c r="AF19" s="73">
        <f t="shared" si="13"/>
        <v>48.152124999999998</v>
      </c>
    </row>
    <row r="20" spans="1:32" x14ac:dyDescent="0.25">
      <c r="A20" s="102">
        <v>246</v>
      </c>
      <c r="B20" s="68" t="str">
        <f t="shared" si="0"/>
        <v>0.19, Bed/Lister  8R-36 2x1</v>
      </c>
      <c r="C20" s="103">
        <v>0.19</v>
      </c>
      <c r="D20" s="68" t="s">
        <v>151</v>
      </c>
      <c r="E20" s="68" t="s">
        <v>164</v>
      </c>
      <c r="F20" s="68" t="s">
        <v>157</v>
      </c>
      <c r="G20" s="68" t="str">
        <f t="shared" si="1"/>
        <v>Bed/Lister  8R-36 2x1</v>
      </c>
      <c r="H20" s="220">
        <v>81500</v>
      </c>
      <c r="I20" s="221">
        <v>36</v>
      </c>
      <c r="J20" s="221">
        <v>4.25</v>
      </c>
      <c r="K20" s="221">
        <v>85</v>
      </c>
      <c r="L20" s="86">
        <f t="shared" si="2"/>
        <v>6.3437139561707032E-2</v>
      </c>
      <c r="M20" s="221">
        <v>35</v>
      </c>
      <c r="N20" s="221">
        <v>30</v>
      </c>
      <c r="O20" s="221">
        <v>8</v>
      </c>
      <c r="P20" s="221">
        <v>160</v>
      </c>
      <c r="Q20" s="221">
        <v>0</v>
      </c>
      <c r="R20" s="104">
        <f t="shared" si="3"/>
        <v>1280</v>
      </c>
      <c r="S20" s="104">
        <v>1</v>
      </c>
      <c r="T20" s="104">
        <v>0.27</v>
      </c>
      <c r="U20" s="104">
        <v>1.4</v>
      </c>
      <c r="V20" s="219">
        <f t="shared" si="4"/>
        <v>1691.5675628647293</v>
      </c>
      <c r="W20" s="106">
        <f t="shared" si="5"/>
        <v>10.572297267904558</v>
      </c>
      <c r="X20" s="107">
        <f t="shared" si="6"/>
        <v>3056.25</v>
      </c>
      <c r="Y20" s="108">
        <f t="shared" si="7"/>
        <v>19.1015625</v>
      </c>
      <c r="Z20" s="88">
        <f t="shared" si="8"/>
        <v>28525</v>
      </c>
      <c r="AA20" s="88">
        <f t="shared" si="14"/>
        <v>6621.875</v>
      </c>
      <c r="AB20" s="88">
        <f t="shared" si="9"/>
        <v>55012.5</v>
      </c>
      <c r="AC20" s="109">
        <f t="shared" si="10"/>
        <v>4951.125</v>
      </c>
      <c r="AD20" s="109">
        <f t="shared" si="11"/>
        <v>1320.3</v>
      </c>
      <c r="AE20" s="109">
        <f t="shared" si="12"/>
        <v>12893.3</v>
      </c>
      <c r="AF20" s="73">
        <f t="shared" si="13"/>
        <v>80.583124999999995</v>
      </c>
    </row>
    <row r="21" spans="1:32" x14ac:dyDescent="0.25">
      <c r="A21" s="102">
        <v>247</v>
      </c>
      <c r="B21" s="68" t="str">
        <f t="shared" si="0"/>
        <v>0.22, Bed/Lister 12R-36</v>
      </c>
      <c r="C21" s="103">
        <v>0.22</v>
      </c>
      <c r="D21" s="68" t="s">
        <v>151</v>
      </c>
      <c r="E21" s="68" t="s">
        <v>164</v>
      </c>
      <c r="F21" s="68" t="s">
        <v>158</v>
      </c>
      <c r="G21" s="68" t="str">
        <f t="shared" si="1"/>
        <v>Bed/Lister 12R-36</v>
      </c>
      <c r="H21" s="220">
        <v>81500</v>
      </c>
      <c r="I21" s="221">
        <v>36</v>
      </c>
      <c r="J21" s="221">
        <v>4.25</v>
      </c>
      <c r="K21" s="221">
        <v>85</v>
      </c>
      <c r="L21" s="86">
        <f t="shared" si="2"/>
        <v>6.3437139561707032E-2</v>
      </c>
      <c r="M21" s="221">
        <v>35</v>
      </c>
      <c r="N21" s="221">
        <v>30</v>
      </c>
      <c r="O21" s="221">
        <v>8</v>
      </c>
      <c r="P21" s="221">
        <v>160</v>
      </c>
      <c r="Q21" s="221">
        <v>0</v>
      </c>
      <c r="R21" s="104">
        <f t="shared" si="3"/>
        <v>1280</v>
      </c>
      <c r="S21" s="104">
        <v>1</v>
      </c>
      <c r="T21" s="104">
        <v>0.27</v>
      </c>
      <c r="U21" s="104">
        <v>1.4</v>
      </c>
      <c r="V21" s="219">
        <f t="shared" si="4"/>
        <v>1691.5675628647293</v>
      </c>
      <c r="W21" s="106">
        <f t="shared" si="5"/>
        <v>10.572297267904558</v>
      </c>
      <c r="X21" s="107">
        <f t="shared" si="6"/>
        <v>3056.25</v>
      </c>
      <c r="Y21" s="108">
        <f t="shared" si="7"/>
        <v>19.1015625</v>
      </c>
      <c r="Z21" s="88">
        <f t="shared" si="8"/>
        <v>28525</v>
      </c>
      <c r="AA21" s="88">
        <f t="shared" si="14"/>
        <v>6621.875</v>
      </c>
      <c r="AB21" s="88">
        <f t="shared" si="9"/>
        <v>55012.5</v>
      </c>
      <c r="AC21" s="109">
        <f t="shared" si="10"/>
        <v>4951.125</v>
      </c>
      <c r="AD21" s="109">
        <f t="shared" si="11"/>
        <v>1320.3</v>
      </c>
      <c r="AE21" s="109">
        <f t="shared" si="12"/>
        <v>12893.3</v>
      </c>
      <c r="AF21" s="73">
        <f t="shared" si="13"/>
        <v>80.583124999999995</v>
      </c>
    </row>
    <row r="22" spans="1:32" x14ac:dyDescent="0.25">
      <c r="A22" s="102"/>
      <c r="B22" s="68" t="str">
        <f t="shared" si="0"/>
        <v>0.221, Bed/Lister -Roll-Fo 8R-36</v>
      </c>
      <c r="C22" s="103">
        <v>0.221</v>
      </c>
      <c r="D22" s="68" t="s">
        <v>151</v>
      </c>
      <c r="E22" s="68" t="s">
        <v>165</v>
      </c>
      <c r="F22" s="68" t="s">
        <v>166</v>
      </c>
      <c r="G22" s="68" t="str">
        <f t="shared" si="1"/>
        <v>Bed/Lister -Roll-Fo 8R-36</v>
      </c>
      <c r="H22" s="220">
        <v>31400</v>
      </c>
      <c r="I22" s="221">
        <v>24</v>
      </c>
      <c r="J22" s="221">
        <v>4.25</v>
      </c>
      <c r="K22" s="221">
        <v>80</v>
      </c>
      <c r="L22" s="86">
        <f t="shared" si="2"/>
        <v>0.1011029411764706</v>
      </c>
      <c r="M22" s="221">
        <v>30</v>
      </c>
      <c r="N22" s="221">
        <v>40</v>
      </c>
      <c r="O22" s="221">
        <v>10</v>
      </c>
      <c r="P22" s="221">
        <v>160</v>
      </c>
      <c r="Q22" s="221">
        <v>0</v>
      </c>
      <c r="R22" s="104">
        <f t="shared" si="3"/>
        <v>1600</v>
      </c>
      <c r="S22" s="104">
        <v>1</v>
      </c>
      <c r="T22" s="104">
        <v>0.27</v>
      </c>
      <c r="U22" s="104">
        <v>1.4</v>
      </c>
      <c r="V22" s="219">
        <f t="shared" si="4"/>
        <v>651.72050888285276</v>
      </c>
      <c r="W22" s="106">
        <f t="shared" si="5"/>
        <v>4.0732531805178294</v>
      </c>
      <c r="X22" s="107">
        <f t="shared" si="6"/>
        <v>1256</v>
      </c>
      <c r="Y22" s="108">
        <f t="shared" si="7"/>
        <v>7.85</v>
      </c>
      <c r="Z22" s="88">
        <f t="shared" si="8"/>
        <v>9420</v>
      </c>
      <c r="AA22" s="88">
        <f t="shared" si="14"/>
        <v>2198</v>
      </c>
      <c r="AB22" s="88">
        <f t="shared" si="9"/>
        <v>20410</v>
      </c>
      <c r="AC22" s="109">
        <f t="shared" si="10"/>
        <v>1836.8999999999999</v>
      </c>
      <c r="AD22" s="109">
        <f t="shared" si="11"/>
        <v>489.84000000000003</v>
      </c>
      <c r="AE22" s="109">
        <f t="shared" si="12"/>
        <v>4524.74</v>
      </c>
      <c r="AF22" s="73">
        <f t="shared" si="13"/>
        <v>28.279624999999999</v>
      </c>
    </row>
    <row r="23" spans="1:32" x14ac:dyDescent="0.25">
      <c r="A23" s="102"/>
      <c r="B23" s="68" t="str">
        <f t="shared" si="0"/>
        <v>0.222, Bed/Lister -Roll-Fo 12R-30</v>
      </c>
      <c r="C23" s="103">
        <v>0.222</v>
      </c>
      <c r="D23" s="68" t="s">
        <v>151</v>
      </c>
      <c r="E23" s="68" t="s">
        <v>165</v>
      </c>
      <c r="F23" s="68" t="s">
        <v>156</v>
      </c>
      <c r="G23" s="68" t="str">
        <f t="shared" si="1"/>
        <v>Bed/Lister -Roll-Fo 12R-30</v>
      </c>
      <c r="H23" s="220">
        <v>65100</v>
      </c>
      <c r="I23" s="221">
        <v>30</v>
      </c>
      <c r="J23" s="221">
        <v>4.25</v>
      </c>
      <c r="K23" s="221">
        <v>80</v>
      </c>
      <c r="L23" s="86">
        <f t="shared" si="2"/>
        <v>8.0882352941176475E-2</v>
      </c>
      <c r="M23" s="221">
        <v>30</v>
      </c>
      <c r="N23" s="221">
        <v>40</v>
      </c>
      <c r="O23" s="221">
        <v>10</v>
      </c>
      <c r="P23" s="221">
        <v>160</v>
      </c>
      <c r="Q23" s="221">
        <v>0</v>
      </c>
      <c r="R23" s="104">
        <f t="shared" si="3"/>
        <v>1600</v>
      </c>
      <c r="S23" s="104">
        <v>1</v>
      </c>
      <c r="T23" s="104">
        <v>0.27</v>
      </c>
      <c r="U23" s="104">
        <v>1.4</v>
      </c>
      <c r="V23" s="219">
        <f t="shared" si="4"/>
        <v>1351.1785072698635</v>
      </c>
      <c r="W23" s="106">
        <f t="shared" si="5"/>
        <v>8.4448656704366467</v>
      </c>
      <c r="X23" s="107">
        <f t="shared" si="6"/>
        <v>2604</v>
      </c>
      <c r="Y23" s="108">
        <f t="shared" si="7"/>
        <v>16.274999999999999</v>
      </c>
      <c r="Z23" s="88">
        <f t="shared" si="8"/>
        <v>19530</v>
      </c>
      <c r="AA23" s="88">
        <f t="shared" si="14"/>
        <v>4557</v>
      </c>
      <c r="AB23" s="88">
        <f t="shared" si="9"/>
        <v>42315</v>
      </c>
      <c r="AC23" s="109">
        <f t="shared" si="10"/>
        <v>3808.35</v>
      </c>
      <c r="AD23" s="109">
        <f t="shared" si="11"/>
        <v>1015.5600000000001</v>
      </c>
      <c r="AE23" s="109">
        <f t="shared" si="12"/>
        <v>9380.91</v>
      </c>
      <c r="AF23" s="73">
        <f t="shared" si="13"/>
        <v>58.630687500000001</v>
      </c>
    </row>
    <row r="24" spans="1:32" x14ac:dyDescent="0.25">
      <c r="A24" s="102"/>
      <c r="B24" s="68" t="str">
        <f t="shared" si="0"/>
        <v>0.223, Bed/Lister -Roll-Fo 12R-36</v>
      </c>
      <c r="C24" s="103">
        <v>0.223</v>
      </c>
      <c r="D24" s="68" t="s">
        <v>151</v>
      </c>
      <c r="E24" s="68" t="s">
        <v>165</v>
      </c>
      <c r="F24" s="68" t="s">
        <v>158</v>
      </c>
      <c r="G24" s="68" t="str">
        <f t="shared" si="1"/>
        <v>Bed/Lister -Roll-Fo 12R-36</v>
      </c>
      <c r="H24" s="220">
        <v>48700</v>
      </c>
      <c r="I24" s="221">
        <v>36</v>
      </c>
      <c r="J24" s="221">
        <v>4.25</v>
      </c>
      <c r="K24" s="221">
        <v>80</v>
      </c>
      <c r="L24" s="86">
        <f t="shared" si="2"/>
        <v>6.7401960784313722E-2</v>
      </c>
      <c r="M24" s="221">
        <v>30</v>
      </c>
      <c r="N24" s="221">
        <v>40</v>
      </c>
      <c r="O24" s="221">
        <v>10</v>
      </c>
      <c r="P24" s="221">
        <v>160</v>
      </c>
      <c r="Q24" s="221">
        <v>0</v>
      </c>
      <c r="R24" s="104">
        <f t="shared" si="3"/>
        <v>1600</v>
      </c>
      <c r="S24" s="104">
        <v>1</v>
      </c>
      <c r="T24" s="104">
        <v>0.27</v>
      </c>
      <c r="U24" s="104">
        <v>1.4</v>
      </c>
      <c r="V24" s="219">
        <f t="shared" si="4"/>
        <v>1010.7894516749978</v>
      </c>
      <c r="W24" s="106">
        <f t="shared" si="5"/>
        <v>6.3174340729687364</v>
      </c>
      <c r="X24" s="107">
        <f t="shared" si="6"/>
        <v>1948</v>
      </c>
      <c r="Y24" s="108">
        <f t="shared" si="7"/>
        <v>12.175000000000001</v>
      </c>
      <c r="Z24" s="88">
        <f t="shared" si="8"/>
        <v>14610</v>
      </c>
      <c r="AA24" s="88">
        <f t="shared" si="14"/>
        <v>3409</v>
      </c>
      <c r="AB24" s="88">
        <f t="shared" si="9"/>
        <v>31655</v>
      </c>
      <c r="AC24" s="109">
        <f t="shared" si="10"/>
        <v>2848.95</v>
      </c>
      <c r="AD24" s="109">
        <f t="shared" si="11"/>
        <v>759.72</v>
      </c>
      <c r="AE24" s="109">
        <f t="shared" si="12"/>
        <v>7017.67</v>
      </c>
      <c r="AF24" s="73">
        <f t="shared" si="13"/>
        <v>43.860437500000003</v>
      </c>
    </row>
    <row r="25" spans="1:32" x14ac:dyDescent="0.25">
      <c r="A25" s="102"/>
      <c r="B25" s="68" t="str">
        <f t="shared" si="0"/>
        <v>0.224, Bed/Lister -Roll-Fo 16R-30</v>
      </c>
      <c r="C25" s="103">
        <v>0.224</v>
      </c>
      <c r="D25" s="68" t="s">
        <v>151</v>
      </c>
      <c r="E25" s="68" t="s">
        <v>165</v>
      </c>
      <c r="F25" s="68" t="s">
        <v>167</v>
      </c>
      <c r="G25" s="68" t="str">
        <f t="shared" si="1"/>
        <v>Bed/Lister -Roll-Fo 16R-30</v>
      </c>
      <c r="H25" s="220">
        <v>61600</v>
      </c>
      <c r="I25" s="221">
        <v>40</v>
      </c>
      <c r="J25" s="221">
        <v>4.25</v>
      </c>
      <c r="K25" s="221">
        <v>80</v>
      </c>
      <c r="L25" s="86">
        <f t="shared" si="2"/>
        <v>6.0661764705882353E-2</v>
      </c>
      <c r="M25" s="221">
        <v>30</v>
      </c>
      <c r="N25" s="221">
        <v>40</v>
      </c>
      <c r="O25" s="221">
        <v>10</v>
      </c>
      <c r="P25" s="221">
        <v>160</v>
      </c>
      <c r="Q25" s="221">
        <v>0</v>
      </c>
      <c r="R25" s="104">
        <f t="shared" si="3"/>
        <v>1600</v>
      </c>
      <c r="S25" s="104">
        <v>1</v>
      </c>
      <c r="T25" s="104">
        <v>0.27</v>
      </c>
      <c r="U25" s="104">
        <v>1.4</v>
      </c>
      <c r="V25" s="219">
        <f t="shared" si="4"/>
        <v>1278.5345015026667</v>
      </c>
      <c r="W25" s="106">
        <f t="shared" si="5"/>
        <v>7.9908406343916667</v>
      </c>
      <c r="X25" s="107">
        <f t="shared" si="6"/>
        <v>2464</v>
      </c>
      <c r="Y25" s="108">
        <f t="shared" si="7"/>
        <v>15.4</v>
      </c>
      <c r="Z25" s="88">
        <f t="shared" si="8"/>
        <v>18480</v>
      </c>
      <c r="AA25" s="88">
        <f t="shared" si="14"/>
        <v>4312</v>
      </c>
      <c r="AB25" s="88">
        <f t="shared" si="9"/>
        <v>40040</v>
      </c>
      <c r="AC25" s="109">
        <f t="shared" si="10"/>
        <v>3603.6</v>
      </c>
      <c r="AD25" s="109">
        <f t="shared" si="11"/>
        <v>960.96</v>
      </c>
      <c r="AE25" s="109">
        <f t="shared" si="12"/>
        <v>8876.5600000000013</v>
      </c>
      <c r="AF25" s="73">
        <f t="shared" si="13"/>
        <v>55.478500000000011</v>
      </c>
    </row>
    <row r="26" spans="1:32" x14ac:dyDescent="0.25">
      <c r="A26" s="102"/>
      <c r="B26" s="68" t="str">
        <f t="shared" si="0"/>
        <v>0.225, Bed/Lister -Roll-Ri8R-36</v>
      </c>
      <c r="C26" s="103">
        <v>0.22500000000000001</v>
      </c>
      <c r="D26" s="68" t="s">
        <v>151</v>
      </c>
      <c r="E26" s="68" t="s">
        <v>168</v>
      </c>
      <c r="F26" s="68" t="s">
        <v>166</v>
      </c>
      <c r="G26" s="68" t="str">
        <f t="shared" si="1"/>
        <v>Bed/Lister -Roll-Ri8R-36</v>
      </c>
      <c r="H26" s="220">
        <v>25000</v>
      </c>
      <c r="I26" s="221">
        <v>24</v>
      </c>
      <c r="J26" s="221">
        <v>4.25</v>
      </c>
      <c r="K26" s="221">
        <v>80</v>
      </c>
      <c r="L26" s="86">
        <f t="shared" si="2"/>
        <v>0.1011029411764706</v>
      </c>
      <c r="M26" s="221">
        <v>30</v>
      </c>
      <c r="N26" s="221">
        <v>40</v>
      </c>
      <c r="O26" s="221">
        <v>10</v>
      </c>
      <c r="P26" s="221">
        <v>160</v>
      </c>
      <c r="Q26" s="221">
        <v>0</v>
      </c>
      <c r="R26" s="104">
        <f t="shared" si="3"/>
        <v>1600</v>
      </c>
      <c r="S26" s="104">
        <v>1</v>
      </c>
      <c r="T26" s="104">
        <v>0.27</v>
      </c>
      <c r="U26" s="104">
        <v>1.4</v>
      </c>
      <c r="V26" s="219">
        <f t="shared" si="4"/>
        <v>518.88575547997834</v>
      </c>
      <c r="W26" s="106">
        <f t="shared" si="5"/>
        <v>3.2430359717498645</v>
      </c>
      <c r="X26" s="107">
        <f t="shared" si="6"/>
        <v>1000</v>
      </c>
      <c r="Y26" s="108">
        <f t="shared" si="7"/>
        <v>6.25</v>
      </c>
      <c r="Z26" s="88">
        <f t="shared" si="8"/>
        <v>7500</v>
      </c>
      <c r="AA26" s="88">
        <f t="shared" si="14"/>
        <v>1750</v>
      </c>
      <c r="AB26" s="88">
        <f t="shared" si="9"/>
        <v>16250</v>
      </c>
      <c r="AC26" s="109">
        <f t="shared" si="10"/>
        <v>1462.5</v>
      </c>
      <c r="AD26" s="109">
        <f t="shared" si="11"/>
        <v>390</v>
      </c>
      <c r="AE26" s="109">
        <f t="shared" si="12"/>
        <v>3602.5</v>
      </c>
      <c r="AF26" s="73">
        <f t="shared" si="13"/>
        <v>22.515625</v>
      </c>
    </row>
    <row r="27" spans="1:32" x14ac:dyDescent="0.25">
      <c r="A27" s="102">
        <v>416</v>
      </c>
      <c r="B27" s="68" t="str">
        <f t="shared" si="0"/>
        <v>0.23, Bed-Paratill   Fold 8R-36</v>
      </c>
      <c r="C27" s="103">
        <v>0.23</v>
      </c>
      <c r="D27" s="68" t="s">
        <v>151</v>
      </c>
      <c r="E27" s="68" t="s">
        <v>169</v>
      </c>
      <c r="F27" s="68" t="s">
        <v>160</v>
      </c>
      <c r="G27" s="68" t="str">
        <f t="shared" si="1"/>
        <v>Bed-Paratill   Fold 8R-36</v>
      </c>
      <c r="H27" s="220">
        <v>54400</v>
      </c>
      <c r="I27" s="221">
        <v>24</v>
      </c>
      <c r="J27" s="221">
        <v>4.75</v>
      </c>
      <c r="K27" s="221">
        <v>85</v>
      </c>
      <c r="L27" s="86">
        <f t="shared" si="2"/>
        <v>8.5139318885448914E-2</v>
      </c>
      <c r="M27" s="221">
        <v>30</v>
      </c>
      <c r="N27" s="221">
        <v>65</v>
      </c>
      <c r="O27" s="221">
        <v>12</v>
      </c>
      <c r="P27" s="221">
        <v>150</v>
      </c>
      <c r="Q27" s="221">
        <v>0</v>
      </c>
      <c r="R27" s="104">
        <f t="shared" si="3"/>
        <v>1800</v>
      </c>
      <c r="S27" s="104">
        <v>1</v>
      </c>
      <c r="T27" s="104">
        <v>0.27</v>
      </c>
      <c r="U27" s="104">
        <v>1.4</v>
      </c>
      <c r="V27" s="219">
        <f t="shared" si="4"/>
        <v>1031.5503399845802</v>
      </c>
      <c r="W27" s="106">
        <f t="shared" si="5"/>
        <v>6.8770022665638679</v>
      </c>
      <c r="X27" s="107">
        <f t="shared" si="6"/>
        <v>2946.6666666666665</v>
      </c>
      <c r="Y27" s="108">
        <f t="shared" si="7"/>
        <v>19.644444444444442</v>
      </c>
      <c r="Z27" s="88">
        <f t="shared" si="8"/>
        <v>16320</v>
      </c>
      <c r="AA27" s="88">
        <f t="shared" si="14"/>
        <v>3173.3333333333335</v>
      </c>
      <c r="AB27" s="88">
        <f t="shared" si="9"/>
        <v>35360</v>
      </c>
      <c r="AC27" s="109">
        <f t="shared" si="10"/>
        <v>3182.4</v>
      </c>
      <c r="AD27" s="109">
        <f t="shared" si="11"/>
        <v>848.64</v>
      </c>
      <c r="AE27" s="109">
        <f t="shared" si="12"/>
        <v>7204.3733333333339</v>
      </c>
      <c r="AF27" s="73">
        <f t="shared" si="13"/>
        <v>48.029155555555562</v>
      </c>
    </row>
    <row r="28" spans="1:32" x14ac:dyDescent="0.25">
      <c r="A28" s="102">
        <v>610</v>
      </c>
      <c r="B28" s="68" t="str">
        <f t="shared" si="0"/>
        <v>0.24, Bed-Paratill   Fold10R-30</v>
      </c>
      <c r="C28" s="103">
        <v>0.24</v>
      </c>
      <c r="D28" s="68" t="s">
        <v>151</v>
      </c>
      <c r="E28" s="68" t="s">
        <v>169</v>
      </c>
      <c r="F28" s="68" t="s">
        <v>170</v>
      </c>
      <c r="G28" s="68" t="str">
        <f t="shared" si="1"/>
        <v>Bed-Paratill   Fold10R-30</v>
      </c>
      <c r="H28" s="85">
        <v>63930</v>
      </c>
      <c r="I28" s="221">
        <v>25</v>
      </c>
      <c r="J28" s="221">
        <v>4.75</v>
      </c>
      <c r="K28" s="221">
        <v>85</v>
      </c>
      <c r="L28" s="86">
        <f t="shared" si="2"/>
        <v>8.1733746130030968E-2</v>
      </c>
      <c r="M28" s="221">
        <v>30</v>
      </c>
      <c r="N28" s="221">
        <v>65</v>
      </c>
      <c r="O28" s="221">
        <v>12</v>
      </c>
      <c r="P28" s="221">
        <v>150</v>
      </c>
      <c r="Q28" s="221">
        <v>0</v>
      </c>
      <c r="R28" s="104">
        <f t="shared" si="3"/>
        <v>1800</v>
      </c>
      <c r="S28" s="104">
        <v>1</v>
      </c>
      <c r="T28" s="104">
        <v>0.27</v>
      </c>
      <c r="U28" s="104">
        <v>1.4</v>
      </c>
      <c r="V28" s="219">
        <f t="shared" si="4"/>
        <v>1212.2612727061437</v>
      </c>
      <c r="W28" s="106">
        <f t="shared" si="5"/>
        <v>8.0817418180409586</v>
      </c>
      <c r="X28" s="107">
        <f t="shared" si="6"/>
        <v>3462.875</v>
      </c>
      <c r="Y28" s="108">
        <f t="shared" si="7"/>
        <v>23.085833333333333</v>
      </c>
      <c r="Z28" s="88">
        <f t="shared" si="8"/>
        <v>19179</v>
      </c>
      <c r="AA28" s="88">
        <f t="shared" si="14"/>
        <v>3729.25</v>
      </c>
      <c r="AB28" s="88">
        <f t="shared" si="9"/>
        <v>41554.5</v>
      </c>
      <c r="AC28" s="109">
        <f t="shared" si="10"/>
        <v>3739.9049999999997</v>
      </c>
      <c r="AD28" s="109">
        <f t="shared" si="11"/>
        <v>997.30799999999999</v>
      </c>
      <c r="AE28" s="109">
        <f t="shared" si="12"/>
        <v>8466.4629999999997</v>
      </c>
      <c r="AF28" s="73">
        <f t="shared" si="13"/>
        <v>56.443086666666666</v>
      </c>
    </row>
    <row r="29" spans="1:32" x14ac:dyDescent="0.25">
      <c r="A29" s="102">
        <v>486</v>
      </c>
      <c r="B29" s="68" t="str">
        <f t="shared" si="0"/>
        <v>0.25, Bed-Paratill   Fold 8R-36 2x1</v>
      </c>
      <c r="C29" s="103">
        <v>0.25</v>
      </c>
      <c r="D29" s="68" t="s">
        <v>151</v>
      </c>
      <c r="E29" s="68" t="s">
        <v>169</v>
      </c>
      <c r="F29" s="68" t="s">
        <v>157</v>
      </c>
      <c r="G29" s="68" t="str">
        <f t="shared" si="1"/>
        <v>Bed-Paratill   Fold 8R-36 2x1</v>
      </c>
      <c r="H29" s="220">
        <v>69100</v>
      </c>
      <c r="I29" s="221">
        <v>36</v>
      </c>
      <c r="J29" s="221">
        <v>4.75</v>
      </c>
      <c r="K29" s="221">
        <v>85</v>
      </c>
      <c r="L29" s="86">
        <f t="shared" si="2"/>
        <v>5.6759545923632616E-2</v>
      </c>
      <c r="M29" s="221">
        <v>30</v>
      </c>
      <c r="N29" s="221">
        <v>65</v>
      </c>
      <c r="O29" s="221">
        <v>12</v>
      </c>
      <c r="P29" s="221">
        <v>150</v>
      </c>
      <c r="Q29" s="221">
        <v>0</v>
      </c>
      <c r="R29" s="104">
        <f t="shared" si="3"/>
        <v>1800</v>
      </c>
      <c r="S29" s="104">
        <v>1</v>
      </c>
      <c r="T29" s="104">
        <v>0.27</v>
      </c>
      <c r="U29" s="104">
        <v>1.4</v>
      </c>
      <c r="V29" s="219">
        <f t="shared" si="4"/>
        <v>1310.296479649531</v>
      </c>
      <c r="W29" s="106">
        <f t="shared" si="5"/>
        <v>8.7353098643302065</v>
      </c>
      <c r="X29" s="107">
        <f t="shared" si="6"/>
        <v>3742.9166666666665</v>
      </c>
      <c r="Y29" s="108">
        <f t="shared" si="7"/>
        <v>24.952777777777776</v>
      </c>
      <c r="Z29" s="88">
        <f t="shared" si="8"/>
        <v>20730</v>
      </c>
      <c r="AA29" s="88">
        <f t="shared" si="14"/>
        <v>4030.8333333333335</v>
      </c>
      <c r="AB29" s="88">
        <f t="shared" si="9"/>
        <v>44915</v>
      </c>
      <c r="AC29" s="109">
        <f t="shared" si="10"/>
        <v>4042.35</v>
      </c>
      <c r="AD29" s="109">
        <f t="shared" si="11"/>
        <v>1077.96</v>
      </c>
      <c r="AE29" s="109">
        <f t="shared" si="12"/>
        <v>9151.1433333333334</v>
      </c>
      <c r="AF29" s="73">
        <f t="shared" si="13"/>
        <v>61.007622222222224</v>
      </c>
    </row>
    <row r="30" spans="1:32" x14ac:dyDescent="0.25">
      <c r="A30" s="102">
        <v>417</v>
      </c>
      <c r="B30" s="68" t="str">
        <f t="shared" si="0"/>
        <v>0.26, Bed-Paratill   Fold12R-36</v>
      </c>
      <c r="C30" s="103">
        <v>0.26</v>
      </c>
      <c r="D30" s="68" t="s">
        <v>151</v>
      </c>
      <c r="E30" s="68" t="s">
        <v>169</v>
      </c>
      <c r="F30" s="68" t="s">
        <v>158</v>
      </c>
      <c r="G30" s="68" t="str">
        <f t="shared" si="1"/>
        <v>Bed-Paratill   Fold12R-36</v>
      </c>
      <c r="H30" s="220">
        <v>69100</v>
      </c>
      <c r="I30" s="221">
        <v>36</v>
      </c>
      <c r="J30" s="221">
        <v>4.75</v>
      </c>
      <c r="K30" s="221">
        <v>85</v>
      </c>
      <c r="L30" s="86">
        <f t="shared" si="2"/>
        <v>5.6759545923632616E-2</v>
      </c>
      <c r="M30" s="221">
        <v>30</v>
      </c>
      <c r="N30" s="221">
        <v>65</v>
      </c>
      <c r="O30" s="221">
        <v>12</v>
      </c>
      <c r="P30" s="221">
        <v>150</v>
      </c>
      <c r="Q30" s="221">
        <v>0</v>
      </c>
      <c r="R30" s="104">
        <f t="shared" si="3"/>
        <v>1800</v>
      </c>
      <c r="S30" s="104">
        <v>1</v>
      </c>
      <c r="T30" s="104">
        <v>0.27</v>
      </c>
      <c r="U30" s="104">
        <v>1.4</v>
      </c>
      <c r="V30" s="219">
        <f t="shared" si="4"/>
        <v>1310.296479649531</v>
      </c>
      <c r="W30" s="106">
        <f t="shared" si="5"/>
        <v>8.7353098643302065</v>
      </c>
      <c r="X30" s="107">
        <f t="shared" si="6"/>
        <v>3742.9166666666665</v>
      </c>
      <c r="Y30" s="108">
        <f t="shared" si="7"/>
        <v>24.952777777777776</v>
      </c>
      <c r="Z30" s="88">
        <f t="shared" si="8"/>
        <v>20730</v>
      </c>
      <c r="AA30" s="88">
        <f t="shared" si="14"/>
        <v>4030.8333333333335</v>
      </c>
      <c r="AB30" s="88">
        <f t="shared" si="9"/>
        <v>44915</v>
      </c>
      <c r="AC30" s="109">
        <f t="shared" si="10"/>
        <v>4042.35</v>
      </c>
      <c r="AD30" s="109">
        <f t="shared" si="11"/>
        <v>1077.96</v>
      </c>
      <c r="AE30" s="109">
        <f t="shared" si="12"/>
        <v>9151.1433333333334</v>
      </c>
      <c r="AF30" s="73">
        <f t="shared" si="13"/>
        <v>61.007622222222224</v>
      </c>
    </row>
    <row r="31" spans="1:32" x14ac:dyDescent="0.25">
      <c r="A31" s="102">
        <v>409</v>
      </c>
      <c r="B31" s="68" t="str">
        <f t="shared" si="0"/>
        <v>0.27, Bed-Paratill   Rigid 4R-30</v>
      </c>
      <c r="C31" s="103">
        <v>0.27</v>
      </c>
      <c r="D31" s="68" t="s">
        <v>151</v>
      </c>
      <c r="E31" s="68" t="s">
        <v>171</v>
      </c>
      <c r="F31" s="68" t="s">
        <v>172</v>
      </c>
      <c r="G31" s="68" t="str">
        <f t="shared" si="1"/>
        <v>Bed-Paratill   Rigid 4R-30</v>
      </c>
      <c r="H31" s="220">
        <v>18100</v>
      </c>
      <c r="I31" s="221">
        <v>10</v>
      </c>
      <c r="J31" s="221">
        <v>4.75</v>
      </c>
      <c r="K31" s="221">
        <v>85</v>
      </c>
      <c r="L31" s="86">
        <f t="shared" si="2"/>
        <v>0.20433436532507743</v>
      </c>
      <c r="M31" s="221">
        <v>30</v>
      </c>
      <c r="N31" s="221">
        <v>65</v>
      </c>
      <c r="O31" s="221">
        <v>12</v>
      </c>
      <c r="P31" s="221">
        <v>150</v>
      </c>
      <c r="Q31" s="221">
        <v>0</v>
      </c>
      <c r="R31" s="104">
        <f t="shared" si="3"/>
        <v>1800</v>
      </c>
      <c r="S31" s="104">
        <v>1</v>
      </c>
      <c r="T31" s="104">
        <v>0.27</v>
      </c>
      <c r="U31" s="104">
        <v>1.4</v>
      </c>
      <c r="V31" s="219">
        <f t="shared" si="4"/>
        <v>343.21803591398714</v>
      </c>
      <c r="W31" s="106">
        <f t="shared" si="5"/>
        <v>2.2881202394265809</v>
      </c>
      <c r="X31" s="107">
        <f t="shared" si="6"/>
        <v>980.41666666666663</v>
      </c>
      <c r="Y31" s="108">
        <f t="shared" si="7"/>
        <v>6.5361111111111105</v>
      </c>
      <c r="Z31" s="88">
        <f t="shared" si="8"/>
        <v>5430</v>
      </c>
      <c r="AA31" s="88">
        <f t="shared" si="14"/>
        <v>1055.8333333333333</v>
      </c>
      <c r="AB31" s="88">
        <f t="shared" si="9"/>
        <v>11765</v>
      </c>
      <c r="AC31" s="109">
        <f t="shared" si="10"/>
        <v>1058.8499999999999</v>
      </c>
      <c r="AD31" s="109">
        <f t="shared" si="11"/>
        <v>282.36</v>
      </c>
      <c r="AE31" s="109">
        <f t="shared" si="12"/>
        <v>2397.0433333333335</v>
      </c>
      <c r="AF31" s="73">
        <f t="shared" si="13"/>
        <v>15.980288888888889</v>
      </c>
    </row>
    <row r="32" spans="1:32" x14ac:dyDescent="0.25">
      <c r="A32" s="102">
        <v>142</v>
      </c>
      <c r="B32" s="68" t="str">
        <f t="shared" si="0"/>
        <v>0.28, Bed-Paratill   Rigid 4R-36</v>
      </c>
      <c r="C32" s="103">
        <v>0.28000000000000003</v>
      </c>
      <c r="D32" s="68" t="s">
        <v>151</v>
      </c>
      <c r="E32" s="68" t="s">
        <v>171</v>
      </c>
      <c r="F32" s="68" t="s">
        <v>153</v>
      </c>
      <c r="G32" s="68" t="str">
        <f t="shared" si="1"/>
        <v>Bed-Paratill   Rigid 4R-36</v>
      </c>
      <c r="H32" s="220">
        <v>19000</v>
      </c>
      <c r="I32" s="221">
        <v>12</v>
      </c>
      <c r="J32" s="221">
        <v>4.75</v>
      </c>
      <c r="K32" s="221">
        <v>85</v>
      </c>
      <c r="L32" s="86">
        <f t="shared" si="2"/>
        <v>0.17027863777089783</v>
      </c>
      <c r="M32" s="221">
        <v>30</v>
      </c>
      <c r="N32" s="221">
        <v>65</v>
      </c>
      <c r="O32" s="221">
        <v>12</v>
      </c>
      <c r="P32" s="221">
        <v>150</v>
      </c>
      <c r="Q32" s="221">
        <v>0</v>
      </c>
      <c r="R32" s="104">
        <f t="shared" si="3"/>
        <v>1800</v>
      </c>
      <c r="S32" s="104">
        <v>1</v>
      </c>
      <c r="T32" s="104">
        <v>0.27</v>
      </c>
      <c r="U32" s="104">
        <v>1.4</v>
      </c>
      <c r="V32" s="219">
        <f t="shared" si="4"/>
        <v>360.28412609755554</v>
      </c>
      <c r="W32" s="106">
        <f t="shared" si="5"/>
        <v>2.4018941739837034</v>
      </c>
      <c r="X32" s="107">
        <f t="shared" si="6"/>
        <v>1029.1666666666667</v>
      </c>
      <c r="Y32" s="108">
        <f t="shared" si="7"/>
        <v>6.8611111111111116</v>
      </c>
      <c r="Z32" s="88">
        <f t="shared" si="8"/>
        <v>5700</v>
      </c>
      <c r="AA32" s="88">
        <f t="shared" si="14"/>
        <v>1108.3333333333333</v>
      </c>
      <c r="AB32" s="88">
        <f t="shared" si="9"/>
        <v>12350</v>
      </c>
      <c r="AC32" s="109">
        <f t="shared" si="10"/>
        <v>1111.5</v>
      </c>
      <c r="AD32" s="109">
        <f t="shared" si="11"/>
        <v>296.40000000000003</v>
      </c>
      <c r="AE32" s="109">
        <f t="shared" si="12"/>
        <v>2516.2333333333331</v>
      </c>
      <c r="AF32" s="73">
        <f t="shared" si="13"/>
        <v>16.774888888888889</v>
      </c>
    </row>
    <row r="33" spans="1:32" x14ac:dyDescent="0.25">
      <c r="A33" s="102">
        <v>258</v>
      </c>
      <c r="B33" s="68" t="str">
        <f t="shared" si="0"/>
        <v>0.3, Bed-Paratill   Rigid 6R-36</v>
      </c>
      <c r="C33" s="103">
        <v>0.3</v>
      </c>
      <c r="D33" s="68" t="s">
        <v>151</v>
      </c>
      <c r="E33" s="68" t="s">
        <v>171</v>
      </c>
      <c r="F33" s="68" t="s">
        <v>154</v>
      </c>
      <c r="G33" s="68" t="str">
        <f t="shared" si="1"/>
        <v>Bed-Paratill   Rigid 6R-36</v>
      </c>
      <c r="H33" s="220">
        <v>20400</v>
      </c>
      <c r="I33" s="221">
        <v>18</v>
      </c>
      <c r="J33" s="221">
        <v>4.75</v>
      </c>
      <c r="K33" s="221">
        <v>85</v>
      </c>
      <c r="L33" s="86">
        <f t="shared" si="2"/>
        <v>0.11351909184726523</v>
      </c>
      <c r="M33" s="221">
        <v>30</v>
      </c>
      <c r="N33" s="221">
        <v>65</v>
      </c>
      <c r="O33" s="221">
        <v>12</v>
      </c>
      <c r="P33" s="221">
        <v>150</v>
      </c>
      <c r="Q33" s="221">
        <v>0</v>
      </c>
      <c r="R33" s="104">
        <f t="shared" si="3"/>
        <v>1800</v>
      </c>
      <c r="S33" s="104">
        <v>1</v>
      </c>
      <c r="T33" s="104">
        <v>0.27</v>
      </c>
      <c r="U33" s="104">
        <v>1.4</v>
      </c>
      <c r="V33" s="219">
        <f t="shared" si="4"/>
        <v>386.83137749421758</v>
      </c>
      <c r="W33" s="106">
        <f t="shared" si="5"/>
        <v>2.5788758499614506</v>
      </c>
      <c r="X33" s="107">
        <f t="shared" si="6"/>
        <v>1105</v>
      </c>
      <c r="Y33" s="108">
        <f t="shared" si="7"/>
        <v>7.3666666666666663</v>
      </c>
      <c r="Z33" s="88">
        <f t="shared" si="8"/>
        <v>6120</v>
      </c>
      <c r="AA33" s="88">
        <f t="shared" si="14"/>
        <v>1190</v>
      </c>
      <c r="AB33" s="88">
        <f t="shared" si="9"/>
        <v>13260</v>
      </c>
      <c r="AC33" s="109">
        <f t="shared" si="10"/>
        <v>1193.3999999999999</v>
      </c>
      <c r="AD33" s="109">
        <f t="shared" si="11"/>
        <v>318.24</v>
      </c>
      <c r="AE33" s="109">
        <f t="shared" si="12"/>
        <v>2701.6399999999994</v>
      </c>
      <c r="AF33" s="73">
        <f t="shared" si="13"/>
        <v>18.01093333333333</v>
      </c>
    </row>
    <row r="34" spans="1:32" x14ac:dyDescent="0.25">
      <c r="A34" s="102">
        <v>414</v>
      </c>
      <c r="B34" s="68" t="str">
        <f t="shared" si="0"/>
        <v>0.31, Bed-Paratill   Rigid 8R-30</v>
      </c>
      <c r="C34" s="103">
        <v>0.31</v>
      </c>
      <c r="D34" s="68" t="s">
        <v>151</v>
      </c>
      <c r="E34" s="68" t="s">
        <v>171</v>
      </c>
      <c r="F34" s="68" t="s">
        <v>155</v>
      </c>
      <c r="G34" s="68" t="str">
        <f t="shared" si="1"/>
        <v>Bed-Paratill   Rigid 8R-30</v>
      </c>
      <c r="H34" s="220">
        <v>24900</v>
      </c>
      <c r="I34" s="221">
        <v>20</v>
      </c>
      <c r="J34" s="221">
        <v>4.75</v>
      </c>
      <c r="K34" s="221">
        <v>85</v>
      </c>
      <c r="L34" s="86">
        <f t="shared" si="2"/>
        <v>0.10216718266253871</v>
      </c>
      <c r="M34" s="221">
        <v>30</v>
      </c>
      <c r="N34" s="221">
        <v>65</v>
      </c>
      <c r="O34" s="221">
        <v>12</v>
      </c>
      <c r="P34" s="221">
        <v>150</v>
      </c>
      <c r="Q34" s="221">
        <v>0</v>
      </c>
      <c r="R34" s="104">
        <f t="shared" si="3"/>
        <v>1800</v>
      </c>
      <c r="S34" s="104">
        <v>1</v>
      </c>
      <c r="T34" s="104">
        <v>0.27</v>
      </c>
      <c r="U34" s="104">
        <v>1.4</v>
      </c>
      <c r="V34" s="219">
        <f t="shared" si="4"/>
        <v>472.16182841205966</v>
      </c>
      <c r="W34" s="106">
        <f t="shared" si="5"/>
        <v>3.1477455227470643</v>
      </c>
      <c r="X34" s="107">
        <f t="shared" si="6"/>
        <v>1348.75</v>
      </c>
      <c r="Y34" s="108">
        <f t="shared" si="7"/>
        <v>8.9916666666666671</v>
      </c>
      <c r="Z34" s="88">
        <f t="shared" si="8"/>
        <v>7470</v>
      </c>
      <c r="AA34" s="88">
        <f t="shared" si="14"/>
        <v>1452.5</v>
      </c>
      <c r="AB34" s="88">
        <f t="shared" si="9"/>
        <v>16185</v>
      </c>
      <c r="AC34" s="109">
        <f t="shared" si="10"/>
        <v>1456.6499999999999</v>
      </c>
      <c r="AD34" s="109">
        <f t="shared" si="11"/>
        <v>388.44</v>
      </c>
      <c r="AE34" s="109">
        <f t="shared" si="12"/>
        <v>3297.5899999999997</v>
      </c>
      <c r="AF34" s="73">
        <f t="shared" si="13"/>
        <v>21.983933333333333</v>
      </c>
    </row>
    <row r="35" spans="1:32" x14ac:dyDescent="0.25">
      <c r="A35" s="102">
        <v>415</v>
      </c>
      <c r="B35" s="68" t="str">
        <f t="shared" si="0"/>
        <v>0.32, Bed-Paratill   Rigid 8R-36</v>
      </c>
      <c r="C35" s="103">
        <v>0.32</v>
      </c>
      <c r="D35" s="68" t="s">
        <v>151</v>
      </c>
      <c r="E35" s="68" t="s">
        <v>171</v>
      </c>
      <c r="F35" s="68" t="s">
        <v>160</v>
      </c>
      <c r="G35" s="68" t="str">
        <f t="shared" si="1"/>
        <v>Bed-Paratill   Rigid 8R-36</v>
      </c>
      <c r="H35" s="220">
        <v>25000</v>
      </c>
      <c r="I35" s="221">
        <v>24</v>
      </c>
      <c r="J35" s="221">
        <v>4.75</v>
      </c>
      <c r="K35" s="221">
        <v>85</v>
      </c>
      <c r="L35" s="86">
        <f t="shared" si="2"/>
        <v>8.5139318885448914E-2</v>
      </c>
      <c r="M35" s="221">
        <v>30</v>
      </c>
      <c r="N35" s="221">
        <v>65</v>
      </c>
      <c r="O35" s="221">
        <v>12</v>
      </c>
      <c r="P35" s="221">
        <v>150</v>
      </c>
      <c r="Q35" s="221">
        <v>0</v>
      </c>
      <c r="R35" s="104">
        <f t="shared" si="3"/>
        <v>1800</v>
      </c>
      <c r="S35" s="104">
        <v>1</v>
      </c>
      <c r="T35" s="104">
        <v>0.27</v>
      </c>
      <c r="U35" s="104">
        <v>1.4</v>
      </c>
      <c r="V35" s="219">
        <f t="shared" si="4"/>
        <v>474.0580606546784</v>
      </c>
      <c r="W35" s="106">
        <f t="shared" si="5"/>
        <v>3.1603870710311894</v>
      </c>
      <c r="X35" s="107">
        <f t="shared" si="6"/>
        <v>1354.1666666666667</v>
      </c>
      <c r="Y35" s="108">
        <f t="shared" si="7"/>
        <v>9.0277777777777786</v>
      </c>
      <c r="Z35" s="88">
        <f t="shared" si="8"/>
        <v>7500</v>
      </c>
      <c r="AA35" s="88">
        <f t="shared" si="14"/>
        <v>1458.3333333333333</v>
      </c>
      <c r="AB35" s="88">
        <f t="shared" si="9"/>
        <v>16250</v>
      </c>
      <c r="AC35" s="109">
        <f t="shared" si="10"/>
        <v>1462.5</v>
      </c>
      <c r="AD35" s="109">
        <f t="shared" si="11"/>
        <v>390</v>
      </c>
      <c r="AE35" s="109">
        <f t="shared" si="12"/>
        <v>3310.833333333333</v>
      </c>
      <c r="AF35" s="73">
        <f t="shared" si="13"/>
        <v>22.072222222222219</v>
      </c>
    </row>
    <row r="36" spans="1:32" x14ac:dyDescent="0.25">
      <c r="A36" s="102">
        <v>401</v>
      </c>
      <c r="B36" s="68" t="str">
        <f t="shared" si="0"/>
        <v>0.34, Bed-Paratill  w/roll 4R-30</v>
      </c>
      <c r="C36" s="103">
        <v>0.34</v>
      </c>
      <c r="D36" s="68" t="s">
        <v>151</v>
      </c>
      <c r="E36" s="68" t="s">
        <v>173</v>
      </c>
      <c r="F36" s="68" t="s">
        <v>174</v>
      </c>
      <c r="G36" s="68" t="str">
        <f t="shared" si="1"/>
        <v>Bed-Paratill  w/roll 4R-30</v>
      </c>
      <c r="H36" s="220">
        <v>27800</v>
      </c>
      <c r="I36" s="221">
        <v>10</v>
      </c>
      <c r="J36" s="221">
        <v>4.75</v>
      </c>
      <c r="K36" s="221">
        <v>85</v>
      </c>
      <c r="L36" s="86">
        <f t="shared" si="2"/>
        <v>0.20433436532507743</v>
      </c>
      <c r="M36" s="221">
        <v>30</v>
      </c>
      <c r="N36" s="221">
        <v>65</v>
      </c>
      <c r="O36" s="221">
        <v>12</v>
      </c>
      <c r="P36" s="221">
        <v>150</v>
      </c>
      <c r="Q36" s="221">
        <v>0</v>
      </c>
      <c r="R36" s="104">
        <f t="shared" si="3"/>
        <v>1800</v>
      </c>
      <c r="S36" s="104">
        <v>1</v>
      </c>
      <c r="T36" s="104">
        <v>0.27</v>
      </c>
      <c r="U36" s="104">
        <v>1.4</v>
      </c>
      <c r="V36" s="219">
        <f t="shared" si="4"/>
        <v>527.15256344800241</v>
      </c>
      <c r="W36" s="106">
        <f t="shared" si="5"/>
        <v>3.5143504229866829</v>
      </c>
      <c r="X36" s="107">
        <f t="shared" si="6"/>
        <v>1505.8333333333333</v>
      </c>
      <c r="Y36" s="108">
        <f t="shared" si="7"/>
        <v>10.038888888888888</v>
      </c>
      <c r="Z36" s="88">
        <f t="shared" si="8"/>
        <v>8340</v>
      </c>
      <c r="AA36" s="88">
        <f t="shared" si="14"/>
        <v>1621.6666666666667</v>
      </c>
      <c r="AB36" s="88">
        <f t="shared" si="9"/>
        <v>18070</v>
      </c>
      <c r="AC36" s="109">
        <f t="shared" si="10"/>
        <v>1626.3</v>
      </c>
      <c r="AD36" s="109">
        <f t="shared" si="11"/>
        <v>433.68</v>
      </c>
      <c r="AE36" s="109">
        <f t="shared" si="12"/>
        <v>3681.6466666666665</v>
      </c>
      <c r="AF36" s="73">
        <f t="shared" si="13"/>
        <v>24.54431111111111</v>
      </c>
    </row>
    <row r="37" spans="1:32" x14ac:dyDescent="0.25">
      <c r="A37" s="102">
        <v>290</v>
      </c>
      <c r="B37" s="68" t="str">
        <f t="shared" si="0"/>
        <v>0.35, Bed-Paratill  w/roll 4R-36</v>
      </c>
      <c r="C37" s="103">
        <v>0.35</v>
      </c>
      <c r="D37" s="68" t="s">
        <v>151</v>
      </c>
      <c r="E37" s="68" t="s">
        <v>173</v>
      </c>
      <c r="F37" s="68" t="s">
        <v>175</v>
      </c>
      <c r="G37" s="68" t="str">
        <f t="shared" si="1"/>
        <v>Bed-Paratill  w/roll 4R-36</v>
      </c>
      <c r="H37" s="220">
        <v>27800</v>
      </c>
      <c r="I37" s="221">
        <v>12</v>
      </c>
      <c r="J37" s="221">
        <v>4.75</v>
      </c>
      <c r="K37" s="221">
        <v>85</v>
      </c>
      <c r="L37" s="86">
        <f t="shared" si="2"/>
        <v>0.17027863777089783</v>
      </c>
      <c r="M37" s="221">
        <v>30</v>
      </c>
      <c r="N37" s="221">
        <v>65</v>
      </c>
      <c r="O37" s="221">
        <v>12</v>
      </c>
      <c r="P37" s="221">
        <v>150</v>
      </c>
      <c r="Q37" s="221">
        <v>0</v>
      </c>
      <c r="R37" s="104">
        <f t="shared" si="3"/>
        <v>1800</v>
      </c>
      <c r="S37" s="104">
        <v>1</v>
      </c>
      <c r="T37" s="104">
        <v>0.27</v>
      </c>
      <c r="U37" s="104">
        <v>1.4</v>
      </c>
      <c r="V37" s="219">
        <f t="shared" si="4"/>
        <v>527.15256344800241</v>
      </c>
      <c r="W37" s="106">
        <f t="shared" si="5"/>
        <v>3.5143504229866829</v>
      </c>
      <c r="X37" s="107">
        <f t="shared" si="6"/>
        <v>1505.8333333333333</v>
      </c>
      <c r="Y37" s="108">
        <f t="shared" si="7"/>
        <v>10.038888888888888</v>
      </c>
      <c r="Z37" s="88">
        <f t="shared" si="8"/>
        <v>8340</v>
      </c>
      <c r="AA37" s="88">
        <f t="shared" si="14"/>
        <v>1621.6666666666667</v>
      </c>
      <c r="AB37" s="88">
        <f t="shared" si="9"/>
        <v>18070</v>
      </c>
      <c r="AC37" s="109">
        <f t="shared" si="10"/>
        <v>1626.3</v>
      </c>
      <c r="AD37" s="109">
        <f t="shared" si="11"/>
        <v>433.68</v>
      </c>
      <c r="AE37" s="109">
        <f t="shared" si="12"/>
        <v>3681.6466666666665</v>
      </c>
      <c r="AF37" s="73">
        <f t="shared" si="13"/>
        <v>24.54431111111111</v>
      </c>
    </row>
    <row r="38" spans="1:32" x14ac:dyDescent="0.25">
      <c r="A38" s="102">
        <v>289</v>
      </c>
      <c r="B38" s="68" t="str">
        <f t="shared" si="0"/>
        <v>0.36, Bed-Paratill  w/roll 6R-36</v>
      </c>
      <c r="C38" s="103">
        <v>0.36</v>
      </c>
      <c r="D38" s="68" t="s">
        <v>151</v>
      </c>
      <c r="E38" s="68" t="s">
        <v>173</v>
      </c>
      <c r="F38" s="68" t="s">
        <v>176</v>
      </c>
      <c r="G38" s="68" t="str">
        <f t="shared" si="1"/>
        <v>Bed-Paratill  w/roll 6R-36</v>
      </c>
      <c r="H38" s="220">
        <v>38000</v>
      </c>
      <c r="I38" s="221">
        <v>18</v>
      </c>
      <c r="J38" s="221">
        <v>4.75</v>
      </c>
      <c r="K38" s="221">
        <v>85</v>
      </c>
      <c r="L38" s="86">
        <f t="shared" si="2"/>
        <v>0.11351909184726523</v>
      </c>
      <c r="M38" s="221">
        <v>30</v>
      </c>
      <c r="N38" s="221">
        <v>65</v>
      </c>
      <c r="O38" s="221">
        <v>12</v>
      </c>
      <c r="P38" s="221">
        <v>150</v>
      </c>
      <c r="Q38" s="221">
        <v>0</v>
      </c>
      <c r="R38" s="104">
        <f t="shared" si="3"/>
        <v>1800</v>
      </c>
      <c r="S38" s="104">
        <v>1</v>
      </c>
      <c r="T38" s="104">
        <v>0.27</v>
      </c>
      <c r="U38" s="104">
        <v>1.4</v>
      </c>
      <c r="V38" s="219">
        <f t="shared" si="4"/>
        <v>720.56825219511109</v>
      </c>
      <c r="W38" s="106">
        <f t="shared" si="5"/>
        <v>4.8037883479674068</v>
      </c>
      <c r="X38" s="107">
        <f t="shared" si="6"/>
        <v>2058.3333333333335</v>
      </c>
      <c r="Y38" s="108">
        <f t="shared" si="7"/>
        <v>13.722222222222223</v>
      </c>
      <c r="Z38" s="88">
        <f t="shared" si="8"/>
        <v>11400</v>
      </c>
      <c r="AA38" s="88">
        <f t="shared" si="14"/>
        <v>2216.6666666666665</v>
      </c>
      <c r="AB38" s="88">
        <f t="shared" si="9"/>
        <v>24700</v>
      </c>
      <c r="AC38" s="109">
        <f t="shared" si="10"/>
        <v>2223</v>
      </c>
      <c r="AD38" s="109">
        <f t="shared" si="11"/>
        <v>592.80000000000007</v>
      </c>
      <c r="AE38" s="109">
        <f t="shared" si="12"/>
        <v>5032.4666666666662</v>
      </c>
      <c r="AF38" s="73">
        <f t="shared" si="13"/>
        <v>33.549777777777777</v>
      </c>
    </row>
    <row r="39" spans="1:32" x14ac:dyDescent="0.25">
      <c r="A39" s="102">
        <v>574</v>
      </c>
      <c r="B39" s="68" t="str">
        <f t="shared" si="0"/>
        <v>0.37, Bed-Rip/Disk Fold. 8R-36</v>
      </c>
      <c r="C39" s="103">
        <v>0.37</v>
      </c>
      <c r="D39" s="68" t="s">
        <v>151</v>
      </c>
      <c r="E39" s="68" t="s">
        <v>177</v>
      </c>
      <c r="F39" s="68" t="s">
        <v>160</v>
      </c>
      <c r="G39" s="68" t="str">
        <f t="shared" si="1"/>
        <v>Bed-Rip/Disk Fold. 8R-36</v>
      </c>
      <c r="H39" s="220">
        <v>71000</v>
      </c>
      <c r="I39" s="221">
        <v>24</v>
      </c>
      <c r="J39" s="221">
        <v>5.25</v>
      </c>
      <c r="K39" s="221">
        <v>85</v>
      </c>
      <c r="L39" s="86">
        <f t="shared" si="2"/>
        <v>7.7030812324929962E-2</v>
      </c>
      <c r="M39" s="221">
        <v>30</v>
      </c>
      <c r="N39" s="221">
        <v>30</v>
      </c>
      <c r="O39" s="221">
        <v>20</v>
      </c>
      <c r="P39" s="221">
        <v>300</v>
      </c>
      <c r="Q39" s="221">
        <v>0</v>
      </c>
      <c r="R39" s="104">
        <f t="shared" si="3"/>
        <v>6000</v>
      </c>
      <c r="S39" s="104">
        <v>1</v>
      </c>
      <c r="T39" s="104">
        <v>0.27</v>
      </c>
      <c r="U39" s="104">
        <v>1.4</v>
      </c>
      <c r="V39" s="219">
        <f t="shared" si="4"/>
        <v>3552.9726916131858</v>
      </c>
      <c r="W39" s="106">
        <f t="shared" si="5"/>
        <v>11.843242305377286</v>
      </c>
      <c r="X39" s="107">
        <f t="shared" si="6"/>
        <v>1065</v>
      </c>
      <c r="Y39" s="108">
        <f t="shared" si="7"/>
        <v>3.55</v>
      </c>
      <c r="Z39" s="88">
        <f t="shared" si="8"/>
        <v>21300</v>
      </c>
      <c r="AA39" s="88">
        <f t="shared" si="14"/>
        <v>2485</v>
      </c>
      <c r="AB39" s="88">
        <f t="shared" si="9"/>
        <v>46150</v>
      </c>
      <c r="AC39" s="109">
        <f t="shared" si="10"/>
        <v>4153.5</v>
      </c>
      <c r="AD39" s="109">
        <f t="shared" si="11"/>
        <v>1107.6000000000001</v>
      </c>
      <c r="AE39" s="109">
        <f t="shared" si="12"/>
        <v>7746.1</v>
      </c>
      <c r="AF39" s="73">
        <f t="shared" si="13"/>
        <v>25.820333333333334</v>
      </c>
    </row>
    <row r="40" spans="1:32" x14ac:dyDescent="0.25">
      <c r="A40" s="102">
        <v>622</v>
      </c>
      <c r="B40" s="68" t="str">
        <f t="shared" si="0"/>
        <v>0.38, Bed-Rip/Disk Fold.12R-30</v>
      </c>
      <c r="C40" s="103">
        <v>0.38</v>
      </c>
      <c r="D40" s="68" t="s">
        <v>151</v>
      </c>
      <c r="E40" s="68" t="s">
        <v>177</v>
      </c>
      <c r="F40" s="68" t="s">
        <v>156</v>
      </c>
      <c r="G40" s="68" t="str">
        <f t="shared" si="1"/>
        <v>Bed-Rip/Disk Fold.12R-30</v>
      </c>
      <c r="H40" s="220">
        <v>100200</v>
      </c>
      <c r="I40" s="221">
        <v>30</v>
      </c>
      <c r="J40" s="221">
        <v>5.25</v>
      </c>
      <c r="K40" s="221">
        <v>85</v>
      </c>
      <c r="L40" s="86">
        <f t="shared" si="2"/>
        <v>6.1624649859943981E-2</v>
      </c>
      <c r="M40" s="221">
        <v>30</v>
      </c>
      <c r="N40" s="221">
        <v>30</v>
      </c>
      <c r="O40" s="221">
        <v>20</v>
      </c>
      <c r="P40" s="221">
        <v>300</v>
      </c>
      <c r="Q40" s="221">
        <v>0</v>
      </c>
      <c r="R40" s="104">
        <f t="shared" si="3"/>
        <v>6000</v>
      </c>
      <c r="S40" s="104">
        <v>1</v>
      </c>
      <c r="T40" s="104">
        <v>0.27</v>
      </c>
      <c r="U40" s="104">
        <v>1.4</v>
      </c>
      <c r="V40" s="219">
        <f t="shared" si="4"/>
        <v>5014.195263375228</v>
      </c>
      <c r="W40" s="106">
        <f t="shared" si="5"/>
        <v>16.713984211250761</v>
      </c>
      <c r="X40" s="107">
        <f t="shared" si="6"/>
        <v>1503</v>
      </c>
      <c r="Y40" s="108">
        <f t="shared" si="7"/>
        <v>5.01</v>
      </c>
      <c r="Z40" s="88">
        <f t="shared" si="8"/>
        <v>30060</v>
      </c>
      <c r="AA40" s="88">
        <f t="shared" si="14"/>
        <v>3507</v>
      </c>
      <c r="AB40" s="88">
        <f t="shared" si="9"/>
        <v>65130</v>
      </c>
      <c r="AC40" s="109">
        <f t="shared" si="10"/>
        <v>5861.7</v>
      </c>
      <c r="AD40" s="109">
        <f t="shared" si="11"/>
        <v>1563.1200000000001</v>
      </c>
      <c r="AE40" s="109">
        <f t="shared" si="12"/>
        <v>10931.820000000002</v>
      </c>
      <c r="AF40" s="73">
        <f t="shared" si="13"/>
        <v>36.439400000000006</v>
      </c>
    </row>
    <row r="41" spans="1:32" x14ac:dyDescent="0.25">
      <c r="A41" s="102">
        <v>571</v>
      </c>
      <c r="B41" s="68" t="str">
        <f t="shared" si="0"/>
        <v>0.39, Bed-Rip/Disk Fold.12R-36</v>
      </c>
      <c r="C41" s="103">
        <v>0.39</v>
      </c>
      <c r="D41" s="68" t="s">
        <v>151</v>
      </c>
      <c r="E41" s="68" t="s">
        <v>177</v>
      </c>
      <c r="F41" s="68" t="s">
        <v>158</v>
      </c>
      <c r="G41" s="68" t="str">
        <f t="shared" si="1"/>
        <v>Bed-Rip/Disk Fold.12R-36</v>
      </c>
      <c r="H41" s="220">
        <v>100200</v>
      </c>
      <c r="I41" s="221">
        <v>40</v>
      </c>
      <c r="J41" s="221">
        <v>5.25</v>
      </c>
      <c r="K41" s="221">
        <v>85</v>
      </c>
      <c r="L41" s="86">
        <f t="shared" si="2"/>
        <v>4.6218487394957986E-2</v>
      </c>
      <c r="M41" s="221">
        <v>30</v>
      </c>
      <c r="N41" s="221">
        <v>30</v>
      </c>
      <c r="O41" s="221">
        <v>20</v>
      </c>
      <c r="P41" s="221">
        <v>300</v>
      </c>
      <c r="Q41" s="221">
        <v>0</v>
      </c>
      <c r="R41" s="104">
        <f t="shared" si="3"/>
        <v>6000</v>
      </c>
      <c r="S41" s="104">
        <v>1</v>
      </c>
      <c r="T41" s="104">
        <v>0.27</v>
      </c>
      <c r="U41" s="104">
        <v>1.4</v>
      </c>
      <c r="V41" s="219">
        <f t="shared" si="4"/>
        <v>5014.195263375228</v>
      </c>
      <c r="W41" s="106">
        <f t="shared" si="5"/>
        <v>16.713984211250761</v>
      </c>
      <c r="X41" s="107">
        <f t="shared" si="6"/>
        <v>1503</v>
      </c>
      <c r="Y41" s="108">
        <f t="shared" si="7"/>
        <v>5.01</v>
      </c>
      <c r="Z41" s="88">
        <f t="shared" si="8"/>
        <v>30060</v>
      </c>
      <c r="AA41" s="88">
        <f t="shared" si="14"/>
        <v>3507</v>
      </c>
      <c r="AB41" s="88">
        <f t="shared" si="9"/>
        <v>65130</v>
      </c>
      <c r="AC41" s="109">
        <f t="shared" si="10"/>
        <v>5861.7</v>
      </c>
      <c r="AD41" s="109">
        <f t="shared" si="11"/>
        <v>1563.1200000000001</v>
      </c>
      <c r="AE41" s="109">
        <f t="shared" si="12"/>
        <v>10931.820000000002</v>
      </c>
      <c r="AF41" s="73">
        <f t="shared" si="13"/>
        <v>36.439400000000006</v>
      </c>
    </row>
    <row r="42" spans="1:32" x14ac:dyDescent="0.25">
      <c r="A42" s="102">
        <v>607</v>
      </c>
      <c r="B42" s="68" t="str">
        <f t="shared" si="0"/>
        <v>0.4, Bed-Rip/Disk Rigid 4R-30</v>
      </c>
      <c r="C42" s="103">
        <v>0.4</v>
      </c>
      <c r="D42" s="68" t="s">
        <v>151</v>
      </c>
      <c r="E42" s="68" t="s">
        <v>178</v>
      </c>
      <c r="F42" s="68" t="s">
        <v>172</v>
      </c>
      <c r="G42" s="68" t="str">
        <f t="shared" si="1"/>
        <v>Bed-Rip/Disk Rigid 4R-30</v>
      </c>
      <c r="H42" s="220">
        <v>31500</v>
      </c>
      <c r="I42" s="221">
        <v>10</v>
      </c>
      <c r="J42" s="221">
        <v>5.25</v>
      </c>
      <c r="K42" s="221">
        <v>85</v>
      </c>
      <c r="L42" s="86">
        <f t="shared" si="2"/>
        <v>0.18487394957983194</v>
      </c>
      <c r="M42" s="221">
        <v>30</v>
      </c>
      <c r="N42" s="221">
        <v>30</v>
      </c>
      <c r="O42" s="221">
        <v>20</v>
      </c>
      <c r="P42" s="221">
        <v>300</v>
      </c>
      <c r="Q42" s="221">
        <v>0</v>
      </c>
      <c r="R42" s="104">
        <f t="shared" si="3"/>
        <v>6000</v>
      </c>
      <c r="S42" s="104">
        <v>1</v>
      </c>
      <c r="T42" s="104">
        <v>0.27</v>
      </c>
      <c r="U42" s="104">
        <v>1.4</v>
      </c>
      <c r="V42" s="219">
        <f t="shared" si="4"/>
        <v>1576.3188702227515</v>
      </c>
      <c r="W42" s="106">
        <f t="shared" si="5"/>
        <v>5.2543962340758386</v>
      </c>
      <c r="X42" s="107">
        <f t="shared" si="6"/>
        <v>472.5</v>
      </c>
      <c r="Y42" s="108">
        <f t="shared" si="7"/>
        <v>1.575</v>
      </c>
      <c r="Z42" s="88">
        <f t="shared" si="8"/>
        <v>9450</v>
      </c>
      <c r="AA42" s="88">
        <f t="shared" si="14"/>
        <v>1102.5</v>
      </c>
      <c r="AB42" s="88">
        <f t="shared" si="9"/>
        <v>20475</v>
      </c>
      <c r="AC42" s="109">
        <f t="shared" si="10"/>
        <v>1842.75</v>
      </c>
      <c r="AD42" s="109">
        <f t="shared" si="11"/>
        <v>491.40000000000003</v>
      </c>
      <c r="AE42" s="109">
        <f t="shared" si="12"/>
        <v>3436.65</v>
      </c>
      <c r="AF42" s="73">
        <f t="shared" si="13"/>
        <v>11.455500000000001</v>
      </c>
    </row>
    <row r="43" spans="1:32" x14ac:dyDescent="0.25">
      <c r="A43" s="102">
        <v>608</v>
      </c>
      <c r="B43" s="68" t="str">
        <f t="shared" si="0"/>
        <v>0.41, Bed-Rip/Disk Rigid 4R-36</v>
      </c>
      <c r="C43" s="103">
        <v>0.41</v>
      </c>
      <c r="D43" s="68" t="s">
        <v>151</v>
      </c>
      <c r="E43" s="68" t="s">
        <v>178</v>
      </c>
      <c r="F43" s="68" t="s">
        <v>153</v>
      </c>
      <c r="G43" s="68" t="str">
        <f t="shared" si="1"/>
        <v>Bed-Rip/Disk Rigid 4R-36</v>
      </c>
      <c r="H43" s="220">
        <v>31500</v>
      </c>
      <c r="I43" s="221">
        <v>12.6</v>
      </c>
      <c r="J43" s="221">
        <v>5.25</v>
      </c>
      <c r="K43" s="221">
        <v>85</v>
      </c>
      <c r="L43" s="86">
        <f t="shared" si="2"/>
        <v>0.14672535680939044</v>
      </c>
      <c r="M43" s="221">
        <v>30</v>
      </c>
      <c r="N43" s="221">
        <v>30</v>
      </c>
      <c r="O43" s="221">
        <v>20</v>
      </c>
      <c r="P43" s="221">
        <v>300</v>
      </c>
      <c r="Q43" s="221">
        <v>0</v>
      </c>
      <c r="R43" s="104">
        <f t="shared" si="3"/>
        <v>6000</v>
      </c>
      <c r="S43" s="104">
        <v>1</v>
      </c>
      <c r="T43" s="104">
        <v>0.27</v>
      </c>
      <c r="U43" s="104">
        <v>1.4</v>
      </c>
      <c r="V43" s="219">
        <f t="shared" si="4"/>
        <v>1576.3188702227515</v>
      </c>
      <c r="W43" s="106">
        <f t="shared" si="5"/>
        <v>5.2543962340758386</v>
      </c>
      <c r="X43" s="107">
        <f t="shared" si="6"/>
        <v>472.5</v>
      </c>
      <c r="Y43" s="108">
        <f t="shared" si="7"/>
        <v>1.575</v>
      </c>
      <c r="Z43" s="88">
        <f t="shared" si="8"/>
        <v>9450</v>
      </c>
      <c r="AA43" s="88">
        <f t="shared" si="14"/>
        <v>1102.5</v>
      </c>
      <c r="AB43" s="88">
        <f t="shared" si="9"/>
        <v>20475</v>
      </c>
      <c r="AC43" s="109">
        <f t="shared" si="10"/>
        <v>1842.75</v>
      </c>
      <c r="AD43" s="109">
        <f t="shared" si="11"/>
        <v>491.40000000000003</v>
      </c>
      <c r="AE43" s="109">
        <f t="shared" si="12"/>
        <v>3436.65</v>
      </c>
      <c r="AF43" s="73">
        <f t="shared" si="13"/>
        <v>11.455500000000001</v>
      </c>
    </row>
    <row r="44" spans="1:32" x14ac:dyDescent="0.25">
      <c r="A44" s="102">
        <v>573</v>
      </c>
      <c r="B44" s="68" t="str">
        <f t="shared" si="0"/>
        <v>0.42, Bed-Rip/Disk Rigid 8R-30</v>
      </c>
      <c r="C44" s="103">
        <v>0.42</v>
      </c>
      <c r="D44" s="68" t="s">
        <v>151</v>
      </c>
      <c r="E44" s="68" t="s">
        <v>178</v>
      </c>
      <c r="F44" s="68" t="s">
        <v>155</v>
      </c>
      <c r="G44" s="68" t="str">
        <f t="shared" si="1"/>
        <v>Bed-Rip/Disk Rigid 8R-30</v>
      </c>
      <c r="H44" s="220">
        <v>57800</v>
      </c>
      <c r="I44" s="221">
        <v>13.3</v>
      </c>
      <c r="J44" s="221">
        <v>5.25</v>
      </c>
      <c r="K44" s="221">
        <v>85</v>
      </c>
      <c r="L44" s="86">
        <f t="shared" si="2"/>
        <v>0.13900296960889622</v>
      </c>
      <c r="M44" s="221">
        <v>30</v>
      </c>
      <c r="N44" s="221">
        <v>30</v>
      </c>
      <c r="O44" s="221">
        <v>20</v>
      </c>
      <c r="P44" s="221">
        <v>300</v>
      </c>
      <c r="Q44" s="221">
        <v>0</v>
      </c>
      <c r="R44" s="104">
        <f t="shared" si="3"/>
        <v>6000</v>
      </c>
      <c r="S44" s="104">
        <v>1</v>
      </c>
      <c r="T44" s="104">
        <v>0.27</v>
      </c>
      <c r="U44" s="104">
        <v>1.4</v>
      </c>
      <c r="V44" s="219">
        <f t="shared" si="4"/>
        <v>2892.4200221865094</v>
      </c>
      <c r="W44" s="106">
        <f t="shared" si="5"/>
        <v>9.6414000739550314</v>
      </c>
      <c r="X44" s="107">
        <f t="shared" si="6"/>
        <v>867</v>
      </c>
      <c r="Y44" s="108">
        <f t="shared" si="7"/>
        <v>2.89</v>
      </c>
      <c r="Z44" s="88">
        <f t="shared" si="8"/>
        <v>17340</v>
      </c>
      <c r="AA44" s="88">
        <f t="shared" si="14"/>
        <v>2023</v>
      </c>
      <c r="AB44" s="88">
        <f t="shared" si="9"/>
        <v>37570</v>
      </c>
      <c r="AC44" s="109">
        <f t="shared" si="10"/>
        <v>3381.2999999999997</v>
      </c>
      <c r="AD44" s="109">
        <f t="shared" si="11"/>
        <v>901.68000000000006</v>
      </c>
      <c r="AE44" s="109">
        <f t="shared" si="12"/>
        <v>6305.98</v>
      </c>
      <c r="AF44" s="73">
        <f t="shared" si="13"/>
        <v>21.019933333333331</v>
      </c>
    </row>
    <row r="45" spans="1:32" x14ac:dyDescent="0.25">
      <c r="A45" s="102">
        <v>572</v>
      </c>
      <c r="B45" s="68" t="str">
        <f t="shared" si="0"/>
        <v>0.43, Bed-Rip/Disk Rigid 6R-36</v>
      </c>
      <c r="C45" s="103">
        <v>0.43</v>
      </c>
      <c r="D45" s="68" t="s">
        <v>151</v>
      </c>
      <c r="E45" s="68" t="s">
        <v>178</v>
      </c>
      <c r="F45" s="68" t="s">
        <v>154</v>
      </c>
      <c r="G45" s="68" t="str">
        <f t="shared" si="1"/>
        <v>Bed-Rip/Disk Rigid 6R-36</v>
      </c>
      <c r="H45" s="220">
        <v>43600</v>
      </c>
      <c r="I45" s="221">
        <v>18</v>
      </c>
      <c r="J45" s="221">
        <v>5.25</v>
      </c>
      <c r="K45" s="221">
        <v>85</v>
      </c>
      <c r="L45" s="86">
        <f t="shared" si="2"/>
        <v>0.10270774976657329</v>
      </c>
      <c r="M45" s="221">
        <v>30</v>
      </c>
      <c r="N45" s="221">
        <v>30</v>
      </c>
      <c r="O45" s="221">
        <v>20</v>
      </c>
      <c r="P45" s="221">
        <v>300</v>
      </c>
      <c r="Q45" s="221">
        <v>0</v>
      </c>
      <c r="R45" s="104">
        <f t="shared" si="3"/>
        <v>6000</v>
      </c>
      <c r="S45" s="104">
        <v>1</v>
      </c>
      <c r="T45" s="104">
        <v>0.27</v>
      </c>
      <c r="U45" s="104">
        <v>1.4</v>
      </c>
      <c r="V45" s="219">
        <f t="shared" si="4"/>
        <v>2181.8254838638718</v>
      </c>
      <c r="W45" s="106">
        <f t="shared" si="5"/>
        <v>7.2727516128795724</v>
      </c>
      <c r="X45" s="107">
        <f t="shared" si="6"/>
        <v>654</v>
      </c>
      <c r="Y45" s="108">
        <f t="shared" si="7"/>
        <v>2.1800000000000002</v>
      </c>
      <c r="Z45" s="88">
        <f t="shared" si="8"/>
        <v>13080</v>
      </c>
      <c r="AA45" s="88">
        <f t="shared" si="14"/>
        <v>1526</v>
      </c>
      <c r="AB45" s="88">
        <f t="shared" si="9"/>
        <v>28340</v>
      </c>
      <c r="AC45" s="109">
        <f t="shared" si="10"/>
        <v>2550.6</v>
      </c>
      <c r="AD45" s="109">
        <f t="shared" si="11"/>
        <v>680.16</v>
      </c>
      <c r="AE45" s="109">
        <f t="shared" si="12"/>
        <v>4756.76</v>
      </c>
      <c r="AF45" s="73">
        <f t="shared" si="13"/>
        <v>15.855866666666667</v>
      </c>
    </row>
    <row r="46" spans="1:32" x14ac:dyDescent="0.25">
      <c r="A46" s="102">
        <v>623</v>
      </c>
      <c r="B46" s="68" t="str">
        <f t="shared" si="0"/>
        <v>0.44, Bed-Rip/Disk Rigid 8R-36</v>
      </c>
      <c r="C46" s="103">
        <v>0.44</v>
      </c>
      <c r="D46" s="68" t="s">
        <v>151</v>
      </c>
      <c r="E46" s="68" t="s">
        <v>178</v>
      </c>
      <c r="F46" s="68" t="s">
        <v>160</v>
      </c>
      <c r="G46" s="68" t="str">
        <f t="shared" si="1"/>
        <v>Bed-Rip/Disk Rigid 8R-36</v>
      </c>
      <c r="H46" s="220">
        <v>57800</v>
      </c>
      <c r="I46" s="221">
        <v>24</v>
      </c>
      <c r="J46" s="221">
        <v>5.25</v>
      </c>
      <c r="K46" s="221">
        <v>85</v>
      </c>
      <c r="L46" s="86">
        <f t="shared" si="2"/>
        <v>7.7030812324929962E-2</v>
      </c>
      <c r="M46" s="221">
        <v>30</v>
      </c>
      <c r="N46" s="221">
        <v>30</v>
      </c>
      <c r="O46" s="221">
        <v>20</v>
      </c>
      <c r="P46" s="221">
        <v>300</v>
      </c>
      <c r="Q46" s="221">
        <v>0</v>
      </c>
      <c r="R46" s="104">
        <f t="shared" si="3"/>
        <v>6000</v>
      </c>
      <c r="S46" s="104">
        <v>1</v>
      </c>
      <c r="T46" s="104">
        <v>0.27</v>
      </c>
      <c r="U46" s="104">
        <v>1.4</v>
      </c>
      <c r="V46" s="219">
        <f t="shared" si="4"/>
        <v>2892.4200221865094</v>
      </c>
      <c r="W46" s="106">
        <f t="shared" si="5"/>
        <v>9.6414000739550314</v>
      </c>
      <c r="X46" s="107">
        <f t="shared" si="6"/>
        <v>867</v>
      </c>
      <c r="Y46" s="108">
        <f t="shared" si="7"/>
        <v>2.89</v>
      </c>
      <c r="Z46" s="88">
        <f t="shared" si="8"/>
        <v>17340</v>
      </c>
      <c r="AA46" s="88">
        <f t="shared" si="14"/>
        <v>2023</v>
      </c>
      <c r="AB46" s="88">
        <f t="shared" si="9"/>
        <v>37570</v>
      </c>
      <c r="AC46" s="109">
        <f t="shared" si="10"/>
        <v>3381.2999999999997</v>
      </c>
      <c r="AD46" s="109">
        <f t="shared" si="11"/>
        <v>901.68000000000006</v>
      </c>
      <c r="AE46" s="109">
        <f t="shared" si="12"/>
        <v>6305.98</v>
      </c>
      <c r="AF46" s="73">
        <f t="shared" si="13"/>
        <v>21.019933333333331</v>
      </c>
    </row>
    <row r="47" spans="1:32" x14ac:dyDescent="0.25">
      <c r="A47" s="102">
        <v>624</v>
      </c>
      <c r="B47" s="68" t="str">
        <f t="shared" si="0"/>
        <v>0.45, Bed-Rip/Disk Rigid 6R-30</v>
      </c>
      <c r="C47" s="103">
        <v>0.45</v>
      </c>
      <c r="D47" s="68" t="s">
        <v>151</v>
      </c>
      <c r="E47" s="68" t="s">
        <v>179</v>
      </c>
      <c r="F47" s="68" t="s">
        <v>180</v>
      </c>
      <c r="G47" s="68" t="str">
        <f t="shared" si="1"/>
        <v>Bed-Rip/Disk Rigid 6R-30</v>
      </c>
      <c r="H47" s="220">
        <v>43600</v>
      </c>
      <c r="I47" s="221">
        <v>15</v>
      </c>
      <c r="J47" s="221">
        <v>5.25</v>
      </c>
      <c r="K47" s="221">
        <v>85</v>
      </c>
      <c r="L47" s="86">
        <f t="shared" si="2"/>
        <v>0.12324929971988796</v>
      </c>
      <c r="M47" s="221">
        <v>30</v>
      </c>
      <c r="N47" s="221">
        <v>30</v>
      </c>
      <c r="O47" s="221">
        <v>20</v>
      </c>
      <c r="P47" s="221">
        <v>300</v>
      </c>
      <c r="Q47" s="221">
        <v>0</v>
      </c>
      <c r="R47" s="104">
        <f t="shared" si="3"/>
        <v>6000</v>
      </c>
      <c r="S47" s="104">
        <v>1</v>
      </c>
      <c r="T47" s="104">
        <v>0.27</v>
      </c>
      <c r="U47" s="104">
        <v>1.4</v>
      </c>
      <c r="V47" s="219">
        <f t="shared" si="4"/>
        <v>2181.8254838638718</v>
      </c>
      <c r="W47" s="106">
        <f t="shared" si="5"/>
        <v>7.2727516128795724</v>
      </c>
      <c r="X47" s="107">
        <f t="shared" si="6"/>
        <v>654</v>
      </c>
      <c r="Y47" s="108">
        <f t="shared" si="7"/>
        <v>2.1800000000000002</v>
      </c>
      <c r="Z47" s="88">
        <f t="shared" si="8"/>
        <v>13080</v>
      </c>
      <c r="AA47" s="88">
        <f t="shared" si="14"/>
        <v>1526</v>
      </c>
      <c r="AB47" s="88">
        <f t="shared" si="9"/>
        <v>28340</v>
      </c>
      <c r="AC47" s="109">
        <f t="shared" si="10"/>
        <v>2550.6</v>
      </c>
      <c r="AD47" s="109">
        <f t="shared" si="11"/>
        <v>680.16</v>
      </c>
      <c r="AE47" s="109">
        <f t="shared" si="12"/>
        <v>4756.76</v>
      </c>
      <c r="AF47" s="73">
        <f t="shared" si="13"/>
        <v>15.855866666666667</v>
      </c>
    </row>
    <row r="48" spans="1:32" x14ac:dyDescent="0.25">
      <c r="A48" s="102">
        <v>516</v>
      </c>
      <c r="B48" s="68" t="str">
        <f t="shared" si="0"/>
        <v>0.46, Bed-Rip/Disk/Cond. 6-Row</v>
      </c>
      <c r="C48" s="103">
        <v>0.46</v>
      </c>
      <c r="D48" s="68" t="s">
        <v>151</v>
      </c>
      <c r="E48" s="68" t="s">
        <v>181</v>
      </c>
      <c r="F48" s="68" t="s">
        <v>182</v>
      </c>
      <c r="G48" s="68" t="str">
        <f t="shared" si="1"/>
        <v>Bed-Rip/Disk/Cond. 6-Row</v>
      </c>
      <c r="H48" s="220">
        <v>43600</v>
      </c>
      <c r="I48" s="221">
        <v>18</v>
      </c>
      <c r="J48" s="221">
        <v>4.75</v>
      </c>
      <c r="K48" s="221">
        <v>85</v>
      </c>
      <c r="L48" s="86">
        <f t="shared" si="2"/>
        <v>0.11351909184726523</v>
      </c>
      <c r="M48" s="221">
        <v>30</v>
      </c>
      <c r="N48" s="221">
        <v>65</v>
      </c>
      <c r="O48" s="221">
        <v>12</v>
      </c>
      <c r="P48" s="221">
        <v>150</v>
      </c>
      <c r="Q48" s="221">
        <v>0</v>
      </c>
      <c r="R48" s="104">
        <f t="shared" si="3"/>
        <v>1800</v>
      </c>
      <c r="S48" s="104">
        <v>1</v>
      </c>
      <c r="T48" s="104">
        <v>0.27</v>
      </c>
      <c r="U48" s="104">
        <v>1.4</v>
      </c>
      <c r="V48" s="219">
        <f t="shared" si="4"/>
        <v>826.75725778175911</v>
      </c>
      <c r="W48" s="106">
        <f t="shared" si="5"/>
        <v>5.5117150518783937</v>
      </c>
      <c r="X48" s="107">
        <f t="shared" si="6"/>
        <v>2361.6666666666665</v>
      </c>
      <c r="Y48" s="108">
        <f t="shared" si="7"/>
        <v>15.744444444444444</v>
      </c>
      <c r="Z48" s="88">
        <f t="shared" si="8"/>
        <v>13080</v>
      </c>
      <c r="AA48" s="88">
        <f t="shared" si="14"/>
        <v>2543.3333333333335</v>
      </c>
      <c r="AB48" s="88">
        <f t="shared" si="9"/>
        <v>28340</v>
      </c>
      <c r="AC48" s="109">
        <f t="shared" si="10"/>
        <v>2550.6</v>
      </c>
      <c r="AD48" s="109">
        <f t="shared" si="11"/>
        <v>680.16</v>
      </c>
      <c r="AE48" s="109">
        <f t="shared" si="12"/>
        <v>5774.0933333333332</v>
      </c>
      <c r="AF48" s="73">
        <f t="shared" si="13"/>
        <v>38.493955555555551</v>
      </c>
    </row>
    <row r="49" spans="1:32" x14ac:dyDescent="0.25">
      <c r="A49" s="102">
        <v>517</v>
      </c>
      <c r="B49" s="68" t="str">
        <f t="shared" si="0"/>
        <v>0.47, Bed-Rip/Disk/Cond. 8-Row</v>
      </c>
      <c r="C49" s="103">
        <v>0.47</v>
      </c>
      <c r="D49" s="68" t="s">
        <v>151</v>
      </c>
      <c r="E49" s="68" t="s">
        <v>181</v>
      </c>
      <c r="F49" s="68" t="s">
        <v>183</v>
      </c>
      <c r="G49" s="68" t="str">
        <f t="shared" si="1"/>
        <v>Bed-Rip/Disk/Cond. 8-Row</v>
      </c>
      <c r="H49" s="220">
        <v>57800</v>
      </c>
      <c r="I49" s="221">
        <v>24</v>
      </c>
      <c r="J49" s="221">
        <v>4.75</v>
      </c>
      <c r="K49" s="221">
        <v>85</v>
      </c>
      <c r="L49" s="86">
        <f t="shared" si="2"/>
        <v>8.5139318885448914E-2</v>
      </c>
      <c r="M49" s="221">
        <v>30</v>
      </c>
      <c r="N49" s="221">
        <v>65</v>
      </c>
      <c r="O49" s="221">
        <v>12</v>
      </c>
      <c r="P49" s="221">
        <v>150</v>
      </c>
      <c r="Q49" s="221">
        <v>0</v>
      </c>
      <c r="R49" s="104">
        <f t="shared" si="3"/>
        <v>1800</v>
      </c>
      <c r="S49" s="104">
        <v>1</v>
      </c>
      <c r="T49" s="104">
        <v>0.27</v>
      </c>
      <c r="U49" s="104">
        <v>1.4</v>
      </c>
      <c r="V49" s="219">
        <f t="shared" si="4"/>
        <v>1096.0222362336165</v>
      </c>
      <c r="W49" s="106">
        <f t="shared" si="5"/>
        <v>7.3068149082241094</v>
      </c>
      <c r="X49" s="107">
        <f t="shared" si="6"/>
        <v>3130.8333333333335</v>
      </c>
      <c r="Y49" s="108">
        <f t="shared" si="7"/>
        <v>20.872222222222224</v>
      </c>
      <c r="Z49" s="88">
        <f t="shared" si="8"/>
        <v>17340</v>
      </c>
      <c r="AA49" s="88">
        <f t="shared" si="14"/>
        <v>3371.6666666666665</v>
      </c>
      <c r="AB49" s="88">
        <f t="shared" si="9"/>
        <v>37570</v>
      </c>
      <c r="AC49" s="109">
        <f t="shared" si="10"/>
        <v>3381.2999999999997</v>
      </c>
      <c r="AD49" s="109">
        <f t="shared" si="11"/>
        <v>901.68000000000006</v>
      </c>
      <c r="AE49" s="109">
        <f t="shared" si="12"/>
        <v>7654.6466666666665</v>
      </c>
      <c r="AF49" s="73">
        <f t="shared" si="13"/>
        <v>51.030977777777778</v>
      </c>
    </row>
    <row r="50" spans="1:32" x14ac:dyDescent="0.25">
      <c r="A50" s="102">
        <v>510</v>
      </c>
      <c r="B50" s="68" t="str">
        <f t="shared" si="0"/>
        <v>0.48, Bed-Roll-Fold. 8R-36</v>
      </c>
      <c r="C50" s="103">
        <v>0.48</v>
      </c>
      <c r="D50" s="68" t="s">
        <v>151</v>
      </c>
      <c r="E50" s="68" t="s">
        <v>184</v>
      </c>
      <c r="F50" s="68" t="s">
        <v>160</v>
      </c>
      <c r="G50" s="68" t="str">
        <f t="shared" si="1"/>
        <v>Bed-Roll-Fold. 8R-36</v>
      </c>
      <c r="H50" s="85">
        <v>71000</v>
      </c>
      <c r="I50" s="221">
        <v>24</v>
      </c>
      <c r="J50" s="221">
        <v>5.5</v>
      </c>
      <c r="K50" s="221">
        <v>80</v>
      </c>
      <c r="L50" s="86">
        <f t="shared" si="2"/>
        <v>7.8125E-2</v>
      </c>
      <c r="M50" s="221">
        <v>30</v>
      </c>
      <c r="N50" s="221">
        <v>40</v>
      </c>
      <c r="O50" s="221">
        <v>10</v>
      </c>
      <c r="P50" s="221">
        <v>160</v>
      </c>
      <c r="Q50" s="221">
        <v>0</v>
      </c>
      <c r="R50" s="104">
        <f t="shared" si="3"/>
        <v>1600</v>
      </c>
      <c r="S50" s="104">
        <v>1</v>
      </c>
      <c r="T50" s="104">
        <v>0.27</v>
      </c>
      <c r="U50" s="104">
        <v>1.4</v>
      </c>
      <c r="V50" s="219">
        <f t="shared" si="4"/>
        <v>1473.6355455631385</v>
      </c>
      <c r="W50" s="106">
        <f t="shared" si="5"/>
        <v>9.2102221597696161</v>
      </c>
      <c r="X50" s="107">
        <f t="shared" si="6"/>
        <v>2840</v>
      </c>
      <c r="Y50" s="108">
        <f t="shared" si="7"/>
        <v>17.75</v>
      </c>
      <c r="Z50" s="88">
        <f t="shared" si="8"/>
        <v>21300</v>
      </c>
      <c r="AA50" s="88">
        <f t="shared" si="14"/>
        <v>4970</v>
      </c>
      <c r="AB50" s="88">
        <f t="shared" si="9"/>
        <v>46150</v>
      </c>
      <c r="AC50" s="109">
        <f t="shared" si="10"/>
        <v>4153.5</v>
      </c>
      <c r="AD50" s="109">
        <f t="shared" si="11"/>
        <v>1107.6000000000001</v>
      </c>
      <c r="AE50" s="109">
        <f t="shared" si="12"/>
        <v>10231.1</v>
      </c>
      <c r="AF50" s="73">
        <f t="shared" si="13"/>
        <v>63.944375000000001</v>
      </c>
    </row>
    <row r="51" spans="1:32" x14ac:dyDescent="0.25">
      <c r="A51" s="102">
        <v>512</v>
      </c>
      <c r="B51" s="68" t="str">
        <f t="shared" si="0"/>
        <v>0.49, Bed-Roll-Fold. 12R-30</v>
      </c>
      <c r="C51" s="103">
        <v>0.49</v>
      </c>
      <c r="D51" s="68" t="s">
        <v>151</v>
      </c>
      <c r="E51" s="68" t="s">
        <v>185</v>
      </c>
      <c r="F51" s="68" t="s">
        <v>156</v>
      </c>
      <c r="G51" s="68" t="str">
        <f t="shared" si="1"/>
        <v>Bed-Roll-Fold. 12R-30</v>
      </c>
      <c r="H51" s="85">
        <v>100200</v>
      </c>
      <c r="I51" s="221">
        <v>30</v>
      </c>
      <c r="J51" s="221">
        <v>5.5</v>
      </c>
      <c r="K51" s="221">
        <v>80</v>
      </c>
      <c r="L51" s="86">
        <f t="shared" si="2"/>
        <v>6.25E-2</v>
      </c>
      <c r="M51" s="221">
        <v>30</v>
      </c>
      <c r="N51" s="221">
        <v>40</v>
      </c>
      <c r="O51" s="221">
        <v>10</v>
      </c>
      <c r="P51" s="221">
        <v>160</v>
      </c>
      <c r="Q51" s="221">
        <v>0</v>
      </c>
      <c r="R51" s="104">
        <f t="shared" si="3"/>
        <v>1600</v>
      </c>
      <c r="S51" s="104">
        <v>1</v>
      </c>
      <c r="T51" s="104">
        <v>0.27</v>
      </c>
      <c r="U51" s="104">
        <v>1.4</v>
      </c>
      <c r="V51" s="219">
        <f t="shared" si="4"/>
        <v>2079.6941079637531</v>
      </c>
      <c r="W51" s="106">
        <f t="shared" si="5"/>
        <v>12.998088174773457</v>
      </c>
      <c r="X51" s="107">
        <f t="shared" si="6"/>
        <v>4008</v>
      </c>
      <c r="Y51" s="108">
        <f t="shared" si="7"/>
        <v>25.05</v>
      </c>
      <c r="Z51" s="88">
        <f t="shared" si="8"/>
        <v>30060</v>
      </c>
      <c r="AA51" s="88">
        <f t="shared" si="14"/>
        <v>7014</v>
      </c>
      <c r="AB51" s="88">
        <f t="shared" si="9"/>
        <v>65130</v>
      </c>
      <c r="AC51" s="109">
        <f t="shared" si="10"/>
        <v>5861.7</v>
      </c>
      <c r="AD51" s="109">
        <f t="shared" si="11"/>
        <v>1563.1200000000001</v>
      </c>
      <c r="AE51" s="109">
        <f t="shared" si="12"/>
        <v>14438.820000000002</v>
      </c>
      <c r="AF51" s="73">
        <f t="shared" si="13"/>
        <v>90.242625000000004</v>
      </c>
    </row>
    <row r="52" spans="1:32" x14ac:dyDescent="0.25">
      <c r="A52" s="102">
        <v>513</v>
      </c>
      <c r="B52" s="68" t="str">
        <f t="shared" si="0"/>
        <v>0.5, Bed-Roll-Fold. 12R-36</v>
      </c>
      <c r="C52" s="103">
        <v>0.5</v>
      </c>
      <c r="D52" s="68" t="s">
        <v>151</v>
      </c>
      <c r="E52" s="68" t="s">
        <v>185</v>
      </c>
      <c r="F52" s="68" t="s">
        <v>158</v>
      </c>
      <c r="G52" s="68" t="str">
        <f t="shared" si="1"/>
        <v>Bed-Roll-Fold. 12R-36</v>
      </c>
      <c r="H52" s="85">
        <v>100200</v>
      </c>
      <c r="I52" s="221">
        <v>36</v>
      </c>
      <c r="J52" s="221">
        <v>5.5</v>
      </c>
      <c r="K52" s="221">
        <v>80</v>
      </c>
      <c r="L52" s="86">
        <f t="shared" si="2"/>
        <v>5.2083333333333336E-2</v>
      </c>
      <c r="M52" s="221">
        <v>30</v>
      </c>
      <c r="N52" s="221">
        <v>40</v>
      </c>
      <c r="O52" s="221">
        <v>10</v>
      </c>
      <c r="P52" s="221">
        <v>160</v>
      </c>
      <c r="Q52" s="221">
        <v>0</v>
      </c>
      <c r="R52" s="104">
        <f t="shared" si="3"/>
        <v>1600</v>
      </c>
      <c r="S52" s="104">
        <v>1</v>
      </c>
      <c r="T52" s="104">
        <v>0.27</v>
      </c>
      <c r="U52" s="104">
        <v>1.4</v>
      </c>
      <c r="V52" s="219">
        <f t="shared" si="4"/>
        <v>2079.6941079637531</v>
      </c>
      <c r="W52" s="106">
        <f t="shared" si="5"/>
        <v>12.998088174773457</v>
      </c>
      <c r="X52" s="107">
        <f t="shared" si="6"/>
        <v>4008</v>
      </c>
      <c r="Y52" s="108">
        <f t="shared" si="7"/>
        <v>25.05</v>
      </c>
      <c r="Z52" s="88">
        <f t="shared" si="8"/>
        <v>30060</v>
      </c>
      <c r="AA52" s="88">
        <f t="shared" si="14"/>
        <v>7014</v>
      </c>
      <c r="AB52" s="88">
        <f t="shared" si="9"/>
        <v>65130</v>
      </c>
      <c r="AC52" s="109">
        <f t="shared" si="10"/>
        <v>5861.7</v>
      </c>
      <c r="AD52" s="109">
        <f t="shared" si="11"/>
        <v>1563.1200000000001</v>
      </c>
      <c r="AE52" s="109">
        <f t="shared" si="12"/>
        <v>14438.820000000002</v>
      </c>
      <c r="AF52" s="73">
        <f t="shared" si="13"/>
        <v>90.242625000000004</v>
      </c>
    </row>
    <row r="53" spans="1:32" x14ac:dyDescent="0.25">
      <c r="A53" s="102">
        <v>514</v>
      </c>
      <c r="B53" s="68" t="str">
        <f t="shared" si="0"/>
        <v>0.51, Bed-Roll-Fold. 16R-30</v>
      </c>
      <c r="C53" s="103">
        <v>0.51</v>
      </c>
      <c r="D53" s="68" t="s">
        <v>151</v>
      </c>
      <c r="E53" s="68" t="s">
        <v>185</v>
      </c>
      <c r="F53" s="68" t="s">
        <v>167</v>
      </c>
      <c r="G53" s="68" t="str">
        <f t="shared" si="1"/>
        <v>Bed-Roll-Fold. 16R-30</v>
      </c>
      <c r="H53" s="85">
        <v>94300</v>
      </c>
      <c r="I53" s="221">
        <v>40</v>
      </c>
      <c r="J53" s="221">
        <v>5.5</v>
      </c>
      <c r="K53" s="221">
        <v>80</v>
      </c>
      <c r="L53" s="86">
        <f t="shared" si="2"/>
        <v>4.6875E-2</v>
      </c>
      <c r="M53" s="221">
        <v>30</v>
      </c>
      <c r="N53" s="221">
        <v>40</v>
      </c>
      <c r="O53" s="221">
        <v>10</v>
      </c>
      <c r="P53" s="221">
        <v>160</v>
      </c>
      <c r="Q53" s="221">
        <v>0</v>
      </c>
      <c r="R53" s="104">
        <f t="shared" si="3"/>
        <v>1600</v>
      </c>
      <c r="S53" s="104">
        <v>1</v>
      </c>
      <c r="T53" s="104">
        <v>0.27</v>
      </c>
      <c r="U53" s="104">
        <v>1.4</v>
      </c>
      <c r="V53" s="219">
        <f t="shared" si="4"/>
        <v>1957.2370696704784</v>
      </c>
      <c r="W53" s="106">
        <f t="shared" si="5"/>
        <v>12.232731685440489</v>
      </c>
      <c r="X53" s="107">
        <f t="shared" si="6"/>
        <v>3772</v>
      </c>
      <c r="Y53" s="108">
        <f t="shared" si="7"/>
        <v>23.574999999999999</v>
      </c>
      <c r="Z53" s="88">
        <f t="shared" si="8"/>
        <v>28290</v>
      </c>
      <c r="AA53" s="88">
        <f t="shared" si="14"/>
        <v>6601</v>
      </c>
      <c r="AB53" s="88">
        <f t="shared" si="9"/>
        <v>61295</v>
      </c>
      <c r="AC53" s="109">
        <f t="shared" si="10"/>
        <v>5516.55</v>
      </c>
      <c r="AD53" s="109">
        <f t="shared" si="11"/>
        <v>1471.08</v>
      </c>
      <c r="AE53" s="109">
        <f t="shared" si="12"/>
        <v>13588.63</v>
      </c>
      <c r="AF53" s="73">
        <f t="shared" si="13"/>
        <v>84.928937499999989</v>
      </c>
    </row>
    <row r="54" spans="1:32" x14ac:dyDescent="0.25">
      <c r="A54" s="102">
        <v>511</v>
      </c>
      <c r="B54" s="68" t="str">
        <f t="shared" si="0"/>
        <v>0.52, Bed-Roll-Rigid  8R-36</v>
      </c>
      <c r="C54" s="103">
        <v>0.52</v>
      </c>
      <c r="D54" s="68" t="s">
        <v>151</v>
      </c>
      <c r="E54" s="68" t="s">
        <v>186</v>
      </c>
      <c r="F54" s="68" t="s">
        <v>160</v>
      </c>
      <c r="G54" s="68" t="str">
        <f t="shared" si="1"/>
        <v>Bed-Roll-Rigid  8R-36</v>
      </c>
      <c r="H54" s="85">
        <v>51000</v>
      </c>
      <c r="I54" s="221">
        <v>24</v>
      </c>
      <c r="J54" s="221">
        <v>5.5</v>
      </c>
      <c r="K54" s="221">
        <v>80</v>
      </c>
      <c r="L54" s="86">
        <f t="shared" si="2"/>
        <v>7.8125E-2</v>
      </c>
      <c r="M54" s="221">
        <v>30</v>
      </c>
      <c r="N54" s="221">
        <v>40</v>
      </c>
      <c r="O54" s="221">
        <v>10</v>
      </c>
      <c r="P54" s="221">
        <v>160</v>
      </c>
      <c r="Q54" s="221">
        <v>0</v>
      </c>
      <c r="R54" s="104">
        <f t="shared" si="3"/>
        <v>1600</v>
      </c>
      <c r="S54" s="104">
        <v>1</v>
      </c>
      <c r="T54" s="104">
        <v>0.27</v>
      </c>
      <c r="U54" s="104">
        <v>1.4</v>
      </c>
      <c r="V54" s="219">
        <f t="shared" si="4"/>
        <v>1058.5269411791558</v>
      </c>
      <c r="W54" s="106">
        <f t="shared" si="5"/>
        <v>6.6157933823697235</v>
      </c>
      <c r="X54" s="107">
        <f t="shared" si="6"/>
        <v>2040</v>
      </c>
      <c r="Y54" s="108">
        <f t="shared" si="7"/>
        <v>12.75</v>
      </c>
      <c r="Z54" s="88">
        <f t="shared" si="8"/>
        <v>15300</v>
      </c>
      <c r="AA54" s="88">
        <f t="shared" si="14"/>
        <v>3570</v>
      </c>
      <c r="AB54" s="88">
        <f t="shared" si="9"/>
        <v>33150</v>
      </c>
      <c r="AC54" s="109">
        <f t="shared" si="10"/>
        <v>2983.5</v>
      </c>
      <c r="AD54" s="109">
        <f t="shared" si="11"/>
        <v>795.6</v>
      </c>
      <c r="AE54" s="109">
        <f t="shared" si="12"/>
        <v>7349.1</v>
      </c>
      <c r="AF54" s="73">
        <f t="shared" si="13"/>
        <v>45.931875000000005</v>
      </c>
    </row>
    <row r="55" spans="1:32" x14ac:dyDescent="0.25">
      <c r="A55" s="102"/>
      <c r="B55" s="68" t="str">
        <f t="shared" si="0"/>
        <v>0.521, Bed-Subsoil   Fold 8R-36</v>
      </c>
      <c r="C55" s="103">
        <v>0.52100000000000002</v>
      </c>
      <c r="D55" s="68" t="s">
        <v>151</v>
      </c>
      <c r="E55" s="68" t="s">
        <v>187</v>
      </c>
      <c r="F55" s="68" t="s">
        <v>166</v>
      </c>
      <c r="G55" s="68" t="str">
        <f t="shared" si="1"/>
        <v>Bed-Subsoil   Fold 8R-36</v>
      </c>
      <c r="H55" s="85">
        <v>71000</v>
      </c>
      <c r="I55" s="221">
        <v>24</v>
      </c>
      <c r="J55" s="221">
        <v>4.75</v>
      </c>
      <c r="K55" s="221">
        <v>85</v>
      </c>
      <c r="L55" s="86">
        <f t="shared" si="2"/>
        <v>8.5139318885448914E-2</v>
      </c>
      <c r="M55" s="221">
        <v>30</v>
      </c>
      <c r="N55" s="221">
        <v>65</v>
      </c>
      <c r="O55" s="221">
        <v>12</v>
      </c>
      <c r="P55" s="221">
        <v>150</v>
      </c>
      <c r="Q55" s="221">
        <v>0</v>
      </c>
      <c r="R55" s="104">
        <f t="shared" si="3"/>
        <v>1800</v>
      </c>
      <c r="S55" s="104">
        <v>1</v>
      </c>
      <c r="T55" s="104">
        <v>0.27</v>
      </c>
      <c r="U55" s="104">
        <v>1.4</v>
      </c>
      <c r="V55" s="219">
        <f t="shared" si="4"/>
        <v>1346.3248922592866</v>
      </c>
      <c r="W55" s="106">
        <f t="shared" si="5"/>
        <v>8.9754992817285775</v>
      </c>
      <c r="X55" s="107">
        <f t="shared" si="6"/>
        <v>3845.8333333333335</v>
      </c>
      <c r="Y55" s="108">
        <f t="shared" si="7"/>
        <v>25.638888888888889</v>
      </c>
      <c r="Z55" s="88">
        <f t="shared" si="8"/>
        <v>21300</v>
      </c>
      <c r="AA55" s="88">
        <f t="shared" si="14"/>
        <v>4141.666666666667</v>
      </c>
      <c r="AB55" s="88">
        <f t="shared" si="9"/>
        <v>46150</v>
      </c>
      <c r="AC55" s="109">
        <f t="shared" si="10"/>
        <v>4153.5</v>
      </c>
      <c r="AD55" s="109">
        <f t="shared" si="11"/>
        <v>1107.6000000000001</v>
      </c>
      <c r="AE55" s="109">
        <f t="shared" si="12"/>
        <v>9402.7666666666682</v>
      </c>
      <c r="AF55" s="73">
        <f t="shared" si="13"/>
        <v>62.685111111111119</v>
      </c>
    </row>
    <row r="56" spans="1:32" x14ac:dyDescent="0.25">
      <c r="A56" s="102"/>
      <c r="B56" s="68" t="str">
        <f t="shared" si="0"/>
        <v>0.522, Bed-Subsoil   Fold 12R-36</v>
      </c>
      <c r="C56" s="103">
        <v>0.52200000000000002</v>
      </c>
      <c r="D56" s="68" t="s">
        <v>151</v>
      </c>
      <c r="E56" s="68" t="s">
        <v>187</v>
      </c>
      <c r="F56" s="68" t="s">
        <v>158</v>
      </c>
      <c r="G56" s="68" t="str">
        <f t="shared" si="1"/>
        <v>Bed-Subsoil   Fold 12R-36</v>
      </c>
      <c r="H56" s="85">
        <v>100200</v>
      </c>
      <c r="I56" s="221">
        <v>36</v>
      </c>
      <c r="J56" s="221">
        <v>4.75</v>
      </c>
      <c r="K56" s="221">
        <v>85</v>
      </c>
      <c r="L56" s="86">
        <f t="shared" si="2"/>
        <v>5.6759545923632616E-2</v>
      </c>
      <c r="M56" s="221">
        <v>30</v>
      </c>
      <c r="N56" s="221">
        <v>65</v>
      </c>
      <c r="O56" s="221">
        <v>12</v>
      </c>
      <c r="P56" s="221">
        <v>150</v>
      </c>
      <c r="Q56" s="221">
        <v>0</v>
      </c>
      <c r="R56" s="104">
        <f t="shared" si="3"/>
        <v>1800</v>
      </c>
      <c r="S56" s="104">
        <v>1</v>
      </c>
      <c r="T56" s="104">
        <v>0.27</v>
      </c>
      <c r="U56" s="104">
        <v>1.4</v>
      </c>
      <c r="V56" s="219">
        <f t="shared" si="4"/>
        <v>1900.024707103951</v>
      </c>
      <c r="W56" s="106">
        <f t="shared" si="5"/>
        <v>12.666831380693006</v>
      </c>
      <c r="X56" s="107">
        <f t="shared" si="6"/>
        <v>5427.5</v>
      </c>
      <c r="Y56" s="108">
        <f t="shared" si="7"/>
        <v>36.18333333333333</v>
      </c>
      <c r="Z56" s="88">
        <f t="shared" si="8"/>
        <v>30060</v>
      </c>
      <c r="AA56" s="88">
        <f t="shared" si="14"/>
        <v>5845</v>
      </c>
      <c r="AB56" s="88">
        <f t="shared" si="9"/>
        <v>65130</v>
      </c>
      <c r="AC56" s="109">
        <f t="shared" si="10"/>
        <v>5861.7</v>
      </c>
      <c r="AD56" s="109">
        <f t="shared" si="11"/>
        <v>1563.1200000000001</v>
      </c>
      <c r="AE56" s="109">
        <f t="shared" si="12"/>
        <v>13269.820000000002</v>
      </c>
      <c r="AF56" s="73">
        <f t="shared" si="13"/>
        <v>88.465466666666671</v>
      </c>
    </row>
    <row r="57" spans="1:32" x14ac:dyDescent="0.25">
      <c r="A57" s="102"/>
      <c r="B57" s="68" t="str">
        <f t="shared" si="0"/>
        <v>0.523, Bed-Subsoil   Fold 8R-36 2x1</v>
      </c>
      <c r="C57" s="103">
        <v>0.52300000000000002</v>
      </c>
      <c r="D57" s="68" t="s">
        <v>151</v>
      </c>
      <c r="E57" s="68" t="s">
        <v>187</v>
      </c>
      <c r="F57" s="68" t="s">
        <v>188</v>
      </c>
      <c r="G57" s="68" t="str">
        <f t="shared" si="1"/>
        <v>Bed-Subsoil   Fold 8R-36 2x1</v>
      </c>
      <c r="H57" s="85">
        <v>100200</v>
      </c>
      <c r="I57" s="221">
        <v>36</v>
      </c>
      <c r="J57" s="221">
        <v>4.75</v>
      </c>
      <c r="K57" s="221">
        <v>85</v>
      </c>
      <c r="L57" s="86">
        <f t="shared" si="2"/>
        <v>5.6759545923632616E-2</v>
      </c>
      <c r="M57" s="221">
        <v>30</v>
      </c>
      <c r="N57" s="221">
        <v>65</v>
      </c>
      <c r="O57" s="221">
        <v>12</v>
      </c>
      <c r="P57" s="221">
        <v>150</v>
      </c>
      <c r="Q57" s="221">
        <v>0</v>
      </c>
      <c r="R57" s="104">
        <f t="shared" si="3"/>
        <v>1800</v>
      </c>
      <c r="S57" s="104">
        <v>1</v>
      </c>
      <c r="T57" s="104">
        <v>0.27</v>
      </c>
      <c r="U57" s="104">
        <v>1.4</v>
      </c>
      <c r="V57" s="219">
        <f t="shared" si="4"/>
        <v>1900.024707103951</v>
      </c>
      <c r="W57" s="106">
        <f t="shared" si="5"/>
        <v>12.666831380693006</v>
      </c>
      <c r="X57" s="107">
        <f t="shared" si="6"/>
        <v>5427.5</v>
      </c>
      <c r="Y57" s="108">
        <f t="shared" si="7"/>
        <v>36.18333333333333</v>
      </c>
      <c r="Z57" s="88">
        <f t="shared" si="8"/>
        <v>30060</v>
      </c>
      <c r="AA57" s="88">
        <f t="shared" si="14"/>
        <v>5845</v>
      </c>
      <c r="AB57" s="88">
        <f t="shared" si="9"/>
        <v>65130</v>
      </c>
      <c r="AC57" s="109">
        <f t="shared" si="10"/>
        <v>5861.7</v>
      </c>
      <c r="AD57" s="109">
        <f t="shared" si="11"/>
        <v>1563.1200000000001</v>
      </c>
      <c r="AE57" s="109">
        <f t="shared" si="12"/>
        <v>13269.820000000002</v>
      </c>
      <c r="AF57" s="73">
        <f t="shared" si="13"/>
        <v>88.465466666666671</v>
      </c>
    </row>
    <row r="58" spans="1:32" x14ac:dyDescent="0.25">
      <c r="A58" s="102"/>
      <c r="B58" s="68" t="str">
        <f t="shared" si="0"/>
        <v>0.524, Bed-Subsoil   Rigid 4R-36</v>
      </c>
      <c r="C58" s="103">
        <v>0.52400000000000002</v>
      </c>
      <c r="D58" s="68" t="s">
        <v>151</v>
      </c>
      <c r="E58" s="68" t="s">
        <v>189</v>
      </c>
      <c r="F58" s="68" t="s">
        <v>175</v>
      </c>
      <c r="G58" s="68" t="str">
        <f t="shared" si="1"/>
        <v>Bed-Subsoil   Rigid 4R-36</v>
      </c>
      <c r="H58" s="85">
        <v>27800</v>
      </c>
      <c r="I58" s="221">
        <v>12</v>
      </c>
      <c r="J58" s="221">
        <v>4.75</v>
      </c>
      <c r="K58" s="221">
        <v>85</v>
      </c>
      <c r="L58" s="86">
        <f t="shared" si="2"/>
        <v>0.17027863777089783</v>
      </c>
      <c r="M58" s="221">
        <v>30</v>
      </c>
      <c r="N58" s="221">
        <v>65</v>
      </c>
      <c r="O58" s="221">
        <v>12</v>
      </c>
      <c r="P58" s="221">
        <v>150</v>
      </c>
      <c r="Q58" s="221">
        <v>0</v>
      </c>
      <c r="R58" s="104">
        <f t="shared" si="3"/>
        <v>1800</v>
      </c>
      <c r="S58" s="104">
        <v>1</v>
      </c>
      <c r="T58" s="104">
        <v>0.27</v>
      </c>
      <c r="U58" s="104">
        <v>1.4</v>
      </c>
      <c r="V58" s="219">
        <f t="shared" si="4"/>
        <v>527.15256344800241</v>
      </c>
      <c r="W58" s="106">
        <f t="shared" si="5"/>
        <v>3.5143504229866829</v>
      </c>
      <c r="X58" s="107">
        <f t="shared" si="6"/>
        <v>1505.8333333333333</v>
      </c>
      <c r="Y58" s="108">
        <f t="shared" si="7"/>
        <v>10.038888888888888</v>
      </c>
      <c r="Z58" s="88">
        <f t="shared" si="8"/>
        <v>8340</v>
      </c>
      <c r="AA58" s="88">
        <f t="shared" si="14"/>
        <v>1621.6666666666667</v>
      </c>
      <c r="AB58" s="88">
        <f t="shared" si="9"/>
        <v>18070</v>
      </c>
      <c r="AC58" s="109">
        <f t="shared" si="10"/>
        <v>1626.3</v>
      </c>
      <c r="AD58" s="109">
        <f t="shared" si="11"/>
        <v>433.68</v>
      </c>
      <c r="AE58" s="109">
        <f t="shared" si="12"/>
        <v>3681.6466666666665</v>
      </c>
      <c r="AF58" s="73">
        <f t="shared" si="13"/>
        <v>24.54431111111111</v>
      </c>
    </row>
    <row r="59" spans="1:32" x14ac:dyDescent="0.25">
      <c r="A59" s="102"/>
      <c r="B59" s="68" t="str">
        <f t="shared" si="0"/>
        <v>0.525, Bed-Subsoil   Rigid 6R-36</v>
      </c>
      <c r="C59" s="103">
        <v>0.52500000000000002</v>
      </c>
      <c r="D59" s="68" t="s">
        <v>151</v>
      </c>
      <c r="E59" s="68" t="s">
        <v>189</v>
      </c>
      <c r="F59" s="68" t="s">
        <v>176</v>
      </c>
      <c r="G59" s="68" t="str">
        <f t="shared" si="1"/>
        <v>Bed-Subsoil   Rigid 6R-36</v>
      </c>
      <c r="H59" s="85">
        <v>37700</v>
      </c>
      <c r="I59" s="221">
        <v>18</v>
      </c>
      <c r="J59" s="221">
        <v>4.75</v>
      </c>
      <c r="K59" s="221">
        <v>85</v>
      </c>
      <c r="L59" s="86">
        <f t="shared" si="2"/>
        <v>0.11351909184726523</v>
      </c>
      <c r="M59" s="221">
        <v>30</v>
      </c>
      <c r="N59" s="221">
        <v>65</v>
      </c>
      <c r="O59" s="221">
        <v>12</v>
      </c>
      <c r="P59" s="221">
        <v>150</v>
      </c>
      <c r="Q59" s="221">
        <v>0</v>
      </c>
      <c r="R59" s="104">
        <f t="shared" si="3"/>
        <v>1800</v>
      </c>
      <c r="S59" s="104">
        <v>1</v>
      </c>
      <c r="T59" s="104">
        <v>0.27</v>
      </c>
      <c r="U59" s="104">
        <v>1.4</v>
      </c>
      <c r="V59" s="219">
        <f t="shared" si="4"/>
        <v>714.87955546725505</v>
      </c>
      <c r="W59" s="106">
        <f t="shared" si="5"/>
        <v>4.7658637031150333</v>
      </c>
      <c r="X59" s="107">
        <f t="shared" si="6"/>
        <v>2042.0833333333333</v>
      </c>
      <c r="Y59" s="108">
        <f t="shared" si="7"/>
        <v>13.613888888888889</v>
      </c>
      <c r="Z59" s="88">
        <f t="shared" si="8"/>
        <v>11310</v>
      </c>
      <c r="AA59" s="88">
        <f t="shared" si="14"/>
        <v>2199.1666666666665</v>
      </c>
      <c r="AB59" s="88">
        <f t="shared" si="9"/>
        <v>24505</v>
      </c>
      <c r="AC59" s="109">
        <f t="shared" si="10"/>
        <v>2205.4499999999998</v>
      </c>
      <c r="AD59" s="109">
        <f t="shared" si="11"/>
        <v>588.12</v>
      </c>
      <c r="AE59" s="109">
        <f t="shared" si="12"/>
        <v>4992.7366666666667</v>
      </c>
      <c r="AF59" s="73">
        <f t="shared" si="13"/>
        <v>33.284911111111114</v>
      </c>
    </row>
    <row r="60" spans="1:32" x14ac:dyDescent="0.25">
      <c r="A60" s="102"/>
      <c r="B60" s="68" t="str">
        <f t="shared" si="0"/>
        <v>0.526, Bed-Subsoil   Rigid 8R-36</v>
      </c>
      <c r="C60" s="103">
        <v>0.52600000000000002</v>
      </c>
      <c r="D60" s="68" t="s">
        <v>151</v>
      </c>
      <c r="E60" s="68" t="s">
        <v>189</v>
      </c>
      <c r="F60" s="68" t="s">
        <v>166</v>
      </c>
      <c r="G60" s="68" t="str">
        <f t="shared" si="1"/>
        <v>Bed-Subsoil   Rigid 8R-36</v>
      </c>
      <c r="H60" s="85">
        <v>50100</v>
      </c>
      <c r="I60" s="221">
        <v>24</v>
      </c>
      <c r="J60" s="221">
        <v>4.75</v>
      </c>
      <c r="K60" s="221">
        <v>85</v>
      </c>
      <c r="L60" s="86">
        <f t="shared" si="2"/>
        <v>8.5139318885448914E-2</v>
      </c>
      <c r="M60" s="221">
        <v>30</v>
      </c>
      <c r="N60" s="221">
        <v>65</v>
      </c>
      <c r="O60" s="221">
        <v>12</v>
      </c>
      <c r="P60" s="221">
        <v>150</v>
      </c>
      <c r="Q60" s="221">
        <v>0</v>
      </c>
      <c r="R60" s="104">
        <f t="shared" si="3"/>
        <v>1800</v>
      </c>
      <c r="S60" s="104">
        <v>1</v>
      </c>
      <c r="T60" s="104">
        <v>0.27</v>
      </c>
      <c r="U60" s="104">
        <v>1.4</v>
      </c>
      <c r="V60" s="219">
        <f t="shared" si="4"/>
        <v>950.01235355197548</v>
      </c>
      <c r="W60" s="106">
        <f t="shared" si="5"/>
        <v>6.3334156903465031</v>
      </c>
      <c r="X60" s="107">
        <f t="shared" si="6"/>
        <v>2713.75</v>
      </c>
      <c r="Y60" s="108">
        <f t="shared" si="7"/>
        <v>18.091666666666665</v>
      </c>
      <c r="Z60" s="88">
        <f t="shared" si="8"/>
        <v>15030</v>
      </c>
      <c r="AA60" s="88">
        <f t="shared" si="14"/>
        <v>2922.5</v>
      </c>
      <c r="AB60" s="88">
        <f t="shared" si="9"/>
        <v>32565</v>
      </c>
      <c r="AC60" s="109">
        <f t="shared" si="10"/>
        <v>2930.85</v>
      </c>
      <c r="AD60" s="109">
        <f t="shared" si="11"/>
        <v>781.56000000000006</v>
      </c>
      <c r="AE60" s="109">
        <f t="shared" si="12"/>
        <v>6634.9100000000008</v>
      </c>
      <c r="AF60" s="73">
        <f t="shared" si="13"/>
        <v>44.232733333333336</v>
      </c>
    </row>
    <row r="61" spans="1:32" x14ac:dyDescent="0.25">
      <c r="A61" s="102">
        <v>418</v>
      </c>
      <c r="B61" s="68" t="str">
        <f t="shared" si="0"/>
        <v>0.53, Blade-Box  6'-7'</v>
      </c>
      <c r="C61" s="103">
        <v>0.53</v>
      </c>
      <c r="D61" s="68" t="s">
        <v>151</v>
      </c>
      <c r="E61" s="68" t="s">
        <v>190</v>
      </c>
      <c r="F61" s="68" t="s">
        <v>191</v>
      </c>
      <c r="G61" s="68" t="str">
        <f t="shared" si="1"/>
        <v>Blade-Box  6'-7'</v>
      </c>
      <c r="H61" s="85">
        <v>2080</v>
      </c>
      <c r="I61" s="221">
        <v>6</v>
      </c>
      <c r="J61" s="221">
        <v>5.25</v>
      </c>
      <c r="K61" s="221">
        <v>85</v>
      </c>
      <c r="L61" s="86">
        <f t="shared" si="2"/>
        <v>0.30812324929971985</v>
      </c>
      <c r="M61" s="221">
        <v>15</v>
      </c>
      <c r="N61" s="221">
        <v>190</v>
      </c>
      <c r="O61" s="221">
        <v>20</v>
      </c>
      <c r="P61" s="221">
        <v>200</v>
      </c>
      <c r="Q61" s="221">
        <v>0</v>
      </c>
      <c r="R61" s="104">
        <f t="shared" si="3"/>
        <v>4000</v>
      </c>
      <c r="S61" s="104">
        <v>1</v>
      </c>
      <c r="T61" s="104">
        <v>0.27</v>
      </c>
      <c r="U61" s="104">
        <v>1.4</v>
      </c>
      <c r="V61" s="219">
        <f t="shared" si="4"/>
        <v>59.002320598126239</v>
      </c>
      <c r="W61" s="106">
        <f t="shared" si="5"/>
        <v>0.29501160299063117</v>
      </c>
      <c r="X61" s="107">
        <f t="shared" si="6"/>
        <v>197.6</v>
      </c>
      <c r="Y61" s="108">
        <f t="shared" si="7"/>
        <v>0.98799999999999999</v>
      </c>
      <c r="Z61" s="88">
        <f t="shared" si="8"/>
        <v>312</v>
      </c>
      <c r="AA61" s="88">
        <f t="shared" si="14"/>
        <v>88.4</v>
      </c>
      <c r="AB61" s="88">
        <f t="shared" si="9"/>
        <v>1196</v>
      </c>
      <c r="AC61" s="109">
        <f t="shared" si="10"/>
        <v>107.64</v>
      </c>
      <c r="AD61" s="109">
        <f t="shared" si="11"/>
        <v>28.704000000000001</v>
      </c>
      <c r="AE61" s="109">
        <f t="shared" si="12"/>
        <v>224.74400000000003</v>
      </c>
      <c r="AF61" s="73">
        <f t="shared" si="13"/>
        <v>1.1237200000000001</v>
      </c>
    </row>
    <row r="62" spans="1:32" x14ac:dyDescent="0.25">
      <c r="A62" s="102">
        <v>473</v>
      </c>
      <c r="B62" s="68" t="str">
        <f t="shared" si="0"/>
        <v>0.54, Blade-Box  8'-10'</v>
      </c>
      <c r="C62" s="103">
        <v>0.54</v>
      </c>
      <c r="D62" s="68" t="s">
        <v>151</v>
      </c>
      <c r="E62" s="68" t="s">
        <v>190</v>
      </c>
      <c r="F62" s="68" t="s">
        <v>192</v>
      </c>
      <c r="G62" s="68" t="str">
        <f t="shared" si="1"/>
        <v>Blade-Box  8'-10'</v>
      </c>
      <c r="H62" s="85">
        <v>3790</v>
      </c>
      <c r="I62" s="221">
        <v>8</v>
      </c>
      <c r="J62" s="221">
        <v>5.25</v>
      </c>
      <c r="K62" s="221">
        <v>85</v>
      </c>
      <c r="L62" s="86">
        <f t="shared" si="2"/>
        <v>0.23109243697478987</v>
      </c>
      <c r="M62" s="221">
        <v>15</v>
      </c>
      <c r="N62" s="221">
        <v>190</v>
      </c>
      <c r="O62" s="221">
        <v>20</v>
      </c>
      <c r="P62" s="221">
        <v>200</v>
      </c>
      <c r="Q62" s="221">
        <v>0</v>
      </c>
      <c r="R62" s="104">
        <f t="shared" si="3"/>
        <v>4000</v>
      </c>
      <c r="S62" s="104">
        <v>1</v>
      </c>
      <c r="T62" s="104">
        <v>0.27</v>
      </c>
      <c r="U62" s="104">
        <v>1.4</v>
      </c>
      <c r="V62" s="219">
        <f t="shared" si="4"/>
        <v>107.50903608985502</v>
      </c>
      <c r="W62" s="106">
        <f t="shared" si="5"/>
        <v>0.53754518044927513</v>
      </c>
      <c r="X62" s="107">
        <f t="shared" si="6"/>
        <v>360.05</v>
      </c>
      <c r="Y62" s="108">
        <f t="shared" si="7"/>
        <v>1.8002500000000001</v>
      </c>
      <c r="Z62" s="88">
        <f t="shared" si="8"/>
        <v>568.5</v>
      </c>
      <c r="AA62" s="88">
        <f t="shared" si="14"/>
        <v>161.07499999999999</v>
      </c>
      <c r="AB62" s="88">
        <f t="shared" si="9"/>
        <v>2179.25</v>
      </c>
      <c r="AC62" s="109">
        <f t="shared" si="10"/>
        <v>196.13249999999999</v>
      </c>
      <c r="AD62" s="109">
        <f t="shared" si="11"/>
        <v>52.302</v>
      </c>
      <c r="AE62" s="109">
        <f t="shared" si="12"/>
        <v>409.5095</v>
      </c>
      <c r="AF62" s="73">
        <f t="shared" si="13"/>
        <v>2.0475474999999999</v>
      </c>
    </row>
    <row r="63" spans="1:32" x14ac:dyDescent="0.25">
      <c r="A63" s="102">
        <v>506</v>
      </c>
      <c r="B63" s="68" t="str">
        <f t="shared" si="0"/>
        <v>0.55, Blade-Box 12'-16'</v>
      </c>
      <c r="C63" s="103">
        <v>0.55000000000000004</v>
      </c>
      <c r="D63" s="68" t="s">
        <v>151</v>
      </c>
      <c r="E63" s="68" t="s">
        <v>190</v>
      </c>
      <c r="F63" s="68" t="s">
        <v>193</v>
      </c>
      <c r="G63" s="68" t="str">
        <f t="shared" si="1"/>
        <v>Blade-Box 12'-16'</v>
      </c>
      <c r="H63" s="85">
        <v>7580</v>
      </c>
      <c r="I63" s="221">
        <v>12</v>
      </c>
      <c r="J63" s="221">
        <v>5.25</v>
      </c>
      <c r="K63" s="221">
        <v>85</v>
      </c>
      <c r="L63" s="86">
        <f t="shared" si="2"/>
        <v>0.15406162464985992</v>
      </c>
      <c r="M63" s="221">
        <v>15</v>
      </c>
      <c r="N63" s="221">
        <v>190</v>
      </c>
      <c r="O63" s="221">
        <v>20</v>
      </c>
      <c r="P63" s="221">
        <v>200</v>
      </c>
      <c r="Q63" s="221">
        <v>0</v>
      </c>
      <c r="R63" s="104">
        <f t="shared" si="3"/>
        <v>4000</v>
      </c>
      <c r="S63" s="104">
        <v>1</v>
      </c>
      <c r="T63" s="104">
        <v>0.27</v>
      </c>
      <c r="U63" s="104">
        <v>1.4</v>
      </c>
      <c r="V63" s="219">
        <f t="shared" si="4"/>
        <v>215.01807217971003</v>
      </c>
      <c r="W63" s="106">
        <f t="shared" si="5"/>
        <v>1.0750903608985503</v>
      </c>
      <c r="X63" s="107">
        <f t="shared" si="6"/>
        <v>720.1</v>
      </c>
      <c r="Y63" s="108">
        <f t="shared" si="7"/>
        <v>3.6005000000000003</v>
      </c>
      <c r="Z63" s="88">
        <f t="shared" si="8"/>
        <v>1137</v>
      </c>
      <c r="AA63" s="88">
        <f t="shared" si="14"/>
        <v>322.14999999999998</v>
      </c>
      <c r="AB63" s="88">
        <f t="shared" si="9"/>
        <v>4358.5</v>
      </c>
      <c r="AC63" s="109">
        <f t="shared" si="10"/>
        <v>392.26499999999999</v>
      </c>
      <c r="AD63" s="109">
        <f t="shared" si="11"/>
        <v>104.604</v>
      </c>
      <c r="AE63" s="109">
        <f t="shared" si="12"/>
        <v>819.01900000000001</v>
      </c>
      <c r="AF63" s="73">
        <f t="shared" si="13"/>
        <v>4.0950949999999997</v>
      </c>
    </row>
    <row r="64" spans="1:32" x14ac:dyDescent="0.25">
      <c r="A64" s="102">
        <v>475</v>
      </c>
      <c r="B64" s="68" t="str">
        <f t="shared" si="0"/>
        <v>0.56, Blade-Scraper  6'-7'</v>
      </c>
      <c r="C64" s="103">
        <v>0.56000000000000005</v>
      </c>
      <c r="D64" s="68" t="s">
        <v>151</v>
      </c>
      <c r="E64" s="68" t="s">
        <v>194</v>
      </c>
      <c r="F64" s="68" t="s">
        <v>191</v>
      </c>
      <c r="G64" s="68" t="str">
        <f t="shared" si="1"/>
        <v>Blade-Scraper  6'-7'</v>
      </c>
      <c r="H64" s="85">
        <v>1760</v>
      </c>
      <c r="I64" s="221">
        <v>6</v>
      </c>
      <c r="J64" s="221">
        <v>5.25</v>
      </c>
      <c r="K64" s="221">
        <v>85</v>
      </c>
      <c r="L64" s="86">
        <f t="shared" si="2"/>
        <v>0.30812324929971985</v>
      </c>
      <c r="M64" s="221">
        <v>15</v>
      </c>
      <c r="N64" s="221">
        <v>190</v>
      </c>
      <c r="O64" s="221">
        <v>20</v>
      </c>
      <c r="P64" s="221">
        <v>200</v>
      </c>
      <c r="Q64" s="221">
        <v>0</v>
      </c>
      <c r="R64" s="104">
        <f t="shared" si="3"/>
        <v>4000</v>
      </c>
      <c r="S64" s="104">
        <v>1</v>
      </c>
      <c r="T64" s="104">
        <v>0.27</v>
      </c>
      <c r="U64" s="104">
        <v>1.4</v>
      </c>
      <c r="V64" s="219">
        <f t="shared" si="4"/>
        <v>49.925040506106818</v>
      </c>
      <c r="W64" s="106">
        <f t="shared" si="5"/>
        <v>0.24962520253053408</v>
      </c>
      <c r="X64" s="107">
        <f t="shared" si="6"/>
        <v>167.2</v>
      </c>
      <c r="Y64" s="108">
        <f t="shared" si="7"/>
        <v>0.83599999999999997</v>
      </c>
      <c r="Z64" s="88">
        <f t="shared" si="8"/>
        <v>264</v>
      </c>
      <c r="AA64" s="88">
        <f t="shared" si="14"/>
        <v>74.8</v>
      </c>
      <c r="AB64" s="88">
        <f t="shared" si="9"/>
        <v>1012</v>
      </c>
      <c r="AC64" s="109">
        <f t="shared" si="10"/>
        <v>91.08</v>
      </c>
      <c r="AD64" s="109">
        <f t="shared" si="11"/>
        <v>24.288</v>
      </c>
      <c r="AE64" s="109">
        <f t="shared" si="12"/>
        <v>190.16800000000001</v>
      </c>
      <c r="AF64" s="73">
        <f t="shared" si="13"/>
        <v>0.95084000000000002</v>
      </c>
    </row>
    <row r="65" spans="1:32" x14ac:dyDescent="0.25">
      <c r="A65" s="102">
        <v>476</v>
      </c>
      <c r="B65" s="68" t="str">
        <f t="shared" si="0"/>
        <v>0.57, Blade-Scraper  8'-10'</v>
      </c>
      <c r="C65" s="103">
        <v>0.56999999999999995</v>
      </c>
      <c r="D65" s="68" t="s">
        <v>151</v>
      </c>
      <c r="E65" s="68" t="s">
        <v>194</v>
      </c>
      <c r="F65" s="68" t="s">
        <v>192</v>
      </c>
      <c r="G65" s="68" t="str">
        <f t="shared" si="1"/>
        <v>Blade-Scraper  8'-10'</v>
      </c>
      <c r="H65" s="85">
        <v>5840</v>
      </c>
      <c r="I65" s="221">
        <v>8</v>
      </c>
      <c r="J65" s="221">
        <v>5.25</v>
      </c>
      <c r="K65" s="221">
        <v>85</v>
      </c>
      <c r="L65" s="86">
        <f t="shared" si="2"/>
        <v>0.23109243697478987</v>
      </c>
      <c r="M65" s="221">
        <v>15</v>
      </c>
      <c r="N65" s="221">
        <v>190</v>
      </c>
      <c r="O65" s="221">
        <v>20</v>
      </c>
      <c r="P65" s="221">
        <v>200</v>
      </c>
      <c r="Q65" s="221">
        <v>0</v>
      </c>
      <c r="R65" s="104">
        <f t="shared" si="3"/>
        <v>4000</v>
      </c>
      <c r="S65" s="104">
        <v>1</v>
      </c>
      <c r="T65" s="104">
        <v>0.27</v>
      </c>
      <c r="U65" s="104">
        <v>1.4</v>
      </c>
      <c r="V65" s="219">
        <f t="shared" si="4"/>
        <v>165.66036167935445</v>
      </c>
      <c r="W65" s="106">
        <f t="shared" si="5"/>
        <v>0.82830180839677225</v>
      </c>
      <c r="X65" s="107">
        <f t="shared" si="6"/>
        <v>554.79999999999995</v>
      </c>
      <c r="Y65" s="108">
        <f t="shared" si="7"/>
        <v>2.7739999999999996</v>
      </c>
      <c r="Z65" s="88">
        <f t="shared" si="8"/>
        <v>876</v>
      </c>
      <c r="AA65" s="88">
        <f t="shared" si="14"/>
        <v>248.2</v>
      </c>
      <c r="AB65" s="88">
        <f t="shared" si="9"/>
        <v>3358</v>
      </c>
      <c r="AC65" s="109">
        <f t="shared" si="10"/>
        <v>302.21999999999997</v>
      </c>
      <c r="AD65" s="109">
        <f t="shared" si="11"/>
        <v>80.591999999999999</v>
      </c>
      <c r="AE65" s="109">
        <f t="shared" si="12"/>
        <v>631.01199999999994</v>
      </c>
      <c r="AF65" s="73">
        <f t="shared" si="13"/>
        <v>3.1550599999999998</v>
      </c>
    </row>
    <row r="66" spans="1:32" x14ac:dyDescent="0.25">
      <c r="A66" s="102">
        <v>477</v>
      </c>
      <c r="B66" s="68" t="str">
        <f t="shared" si="0"/>
        <v>0.58, Blade-Scraper 12'-16'</v>
      </c>
      <c r="C66" s="103">
        <v>0.57999999999999996</v>
      </c>
      <c r="D66" s="68" t="s">
        <v>151</v>
      </c>
      <c r="E66" s="68" t="s">
        <v>194</v>
      </c>
      <c r="F66" s="68" t="s">
        <v>193</v>
      </c>
      <c r="G66" s="68" t="str">
        <f t="shared" si="1"/>
        <v>Blade-Scraper 12'-16'</v>
      </c>
      <c r="H66" s="110">
        <v>12200</v>
      </c>
      <c r="I66" s="221">
        <v>12</v>
      </c>
      <c r="J66" s="221">
        <v>5.25</v>
      </c>
      <c r="K66" s="221">
        <v>85</v>
      </c>
      <c r="L66" s="86">
        <f t="shared" si="2"/>
        <v>0.15406162464985992</v>
      </c>
      <c r="M66" s="221">
        <v>15</v>
      </c>
      <c r="N66" s="221">
        <v>190</v>
      </c>
      <c r="O66" s="221">
        <v>20</v>
      </c>
      <c r="P66" s="221">
        <v>200</v>
      </c>
      <c r="Q66" s="221">
        <v>0</v>
      </c>
      <c r="R66" s="104">
        <f t="shared" si="3"/>
        <v>4000</v>
      </c>
      <c r="S66" s="104">
        <v>1</v>
      </c>
      <c r="T66" s="104">
        <v>0.27</v>
      </c>
      <c r="U66" s="104">
        <v>1.4</v>
      </c>
      <c r="V66" s="219">
        <f t="shared" si="4"/>
        <v>346.07130350824042</v>
      </c>
      <c r="W66" s="106">
        <f t="shared" si="5"/>
        <v>1.7303565175412021</v>
      </c>
      <c r="X66" s="107">
        <f t="shared" si="6"/>
        <v>1159</v>
      </c>
      <c r="Y66" s="108">
        <f t="shared" si="7"/>
        <v>5.7949999999999999</v>
      </c>
      <c r="Z66" s="88">
        <f t="shared" si="8"/>
        <v>1830</v>
      </c>
      <c r="AA66" s="88">
        <f t="shared" si="14"/>
        <v>518.5</v>
      </c>
      <c r="AB66" s="88">
        <f t="shared" si="9"/>
        <v>7015</v>
      </c>
      <c r="AC66" s="109">
        <f t="shared" si="10"/>
        <v>631.35</v>
      </c>
      <c r="AD66" s="109">
        <f t="shared" si="11"/>
        <v>168.36</v>
      </c>
      <c r="AE66" s="109">
        <f t="shared" si="12"/>
        <v>1318.21</v>
      </c>
      <c r="AF66" s="73">
        <f t="shared" si="13"/>
        <v>6.5910500000000001</v>
      </c>
    </row>
    <row r="67" spans="1:32" x14ac:dyDescent="0.25">
      <c r="A67" s="102">
        <v>5</v>
      </c>
      <c r="B67" s="68" t="str">
        <f t="shared" si="0"/>
        <v>0.59, Chisel Plow-Folding 16'</v>
      </c>
      <c r="C67" s="103">
        <v>0.59</v>
      </c>
      <c r="D67" s="68" t="s">
        <v>151</v>
      </c>
      <c r="E67" s="68" t="s">
        <v>195</v>
      </c>
      <c r="F67" s="68" t="s">
        <v>196</v>
      </c>
      <c r="G67" s="68" t="str">
        <f t="shared" si="1"/>
        <v>Chisel Plow-Folding 16'</v>
      </c>
      <c r="H67" s="85">
        <v>30000</v>
      </c>
      <c r="I67" s="221">
        <v>16</v>
      </c>
      <c r="J67" s="221">
        <v>5.25</v>
      </c>
      <c r="K67" s="221">
        <v>85</v>
      </c>
      <c r="L67" s="86">
        <f t="shared" si="2"/>
        <v>0.11554621848739494</v>
      </c>
      <c r="M67" s="221">
        <v>30</v>
      </c>
      <c r="N67" s="221">
        <v>65</v>
      </c>
      <c r="O67" s="221">
        <v>12</v>
      </c>
      <c r="P67" s="221">
        <v>150</v>
      </c>
      <c r="Q67" s="221">
        <v>0</v>
      </c>
      <c r="R67" s="104">
        <f t="shared" si="3"/>
        <v>1800</v>
      </c>
      <c r="S67" s="104">
        <v>1</v>
      </c>
      <c r="T67" s="104">
        <v>0.27</v>
      </c>
      <c r="U67" s="104">
        <v>1.4</v>
      </c>
      <c r="V67" s="219">
        <f t="shared" si="4"/>
        <v>568.86967278561417</v>
      </c>
      <c r="W67" s="106">
        <f t="shared" si="5"/>
        <v>3.7924644852374279</v>
      </c>
      <c r="X67" s="107">
        <f t="shared" si="6"/>
        <v>1625</v>
      </c>
      <c r="Y67" s="108">
        <f t="shared" si="7"/>
        <v>10.833333333333334</v>
      </c>
      <c r="Z67" s="88">
        <f t="shared" si="8"/>
        <v>9000</v>
      </c>
      <c r="AA67" s="88">
        <f t="shared" si="14"/>
        <v>1750</v>
      </c>
      <c r="AB67" s="88">
        <f t="shared" si="9"/>
        <v>19500</v>
      </c>
      <c r="AC67" s="109">
        <f t="shared" si="10"/>
        <v>1755</v>
      </c>
      <c r="AD67" s="109">
        <f t="shared" si="11"/>
        <v>468</v>
      </c>
      <c r="AE67" s="109">
        <f t="shared" si="12"/>
        <v>3973</v>
      </c>
      <c r="AF67" s="73">
        <f t="shared" si="13"/>
        <v>26.486666666666668</v>
      </c>
    </row>
    <row r="68" spans="1:32" x14ac:dyDescent="0.25">
      <c r="A68" s="102">
        <v>408</v>
      </c>
      <c r="B68" s="68" t="str">
        <f t="shared" si="0"/>
        <v>0.6, Chisel Plow-Folding 24'</v>
      </c>
      <c r="C68" s="103">
        <v>0.6</v>
      </c>
      <c r="D68" s="68" t="s">
        <v>151</v>
      </c>
      <c r="E68" s="68" t="s">
        <v>195</v>
      </c>
      <c r="F68" s="68" t="s">
        <v>197</v>
      </c>
      <c r="G68" s="68" t="str">
        <f t="shared" si="1"/>
        <v>Chisel Plow-Folding 24'</v>
      </c>
      <c r="H68" s="85">
        <v>59800</v>
      </c>
      <c r="I68" s="221">
        <v>24</v>
      </c>
      <c r="J68" s="221">
        <v>5.25</v>
      </c>
      <c r="K68" s="221">
        <v>85</v>
      </c>
      <c r="L68" s="86">
        <f t="shared" si="2"/>
        <v>7.7030812324929962E-2</v>
      </c>
      <c r="M68" s="221">
        <v>30</v>
      </c>
      <c r="N68" s="221">
        <v>65</v>
      </c>
      <c r="O68" s="221">
        <v>12</v>
      </c>
      <c r="P68" s="221">
        <v>150</v>
      </c>
      <c r="Q68" s="221">
        <v>0</v>
      </c>
      <c r="R68" s="104">
        <f t="shared" si="3"/>
        <v>1800</v>
      </c>
      <c r="S68" s="104">
        <v>1</v>
      </c>
      <c r="T68" s="104">
        <v>0.27</v>
      </c>
      <c r="U68" s="104">
        <v>1.4</v>
      </c>
      <c r="V68" s="219">
        <f t="shared" si="4"/>
        <v>1133.9468810859908</v>
      </c>
      <c r="W68" s="106">
        <f t="shared" si="5"/>
        <v>7.5596458739066046</v>
      </c>
      <c r="X68" s="107">
        <f t="shared" si="6"/>
        <v>3239.1666666666665</v>
      </c>
      <c r="Y68" s="108">
        <f t="shared" si="7"/>
        <v>21.594444444444445</v>
      </c>
      <c r="Z68" s="88">
        <f t="shared" si="8"/>
        <v>17940</v>
      </c>
      <c r="AA68" s="88">
        <f t="shared" si="14"/>
        <v>3488.3333333333335</v>
      </c>
      <c r="AB68" s="88">
        <f t="shared" si="9"/>
        <v>38870</v>
      </c>
      <c r="AC68" s="109">
        <f t="shared" si="10"/>
        <v>3498.2999999999997</v>
      </c>
      <c r="AD68" s="109">
        <f t="shared" si="11"/>
        <v>932.88</v>
      </c>
      <c r="AE68" s="109">
        <f t="shared" si="12"/>
        <v>7919.5133333333333</v>
      </c>
      <c r="AF68" s="73">
        <f t="shared" si="13"/>
        <v>52.796755555555556</v>
      </c>
    </row>
    <row r="69" spans="1:32" x14ac:dyDescent="0.25">
      <c r="A69" s="102">
        <v>7</v>
      </c>
      <c r="B69" s="68" t="str">
        <f t="shared" si="0"/>
        <v>0.61, Chisel Plow-Folding 32'</v>
      </c>
      <c r="C69" s="103">
        <v>0.61</v>
      </c>
      <c r="D69" s="68" t="s">
        <v>151</v>
      </c>
      <c r="E69" s="68" t="s">
        <v>195</v>
      </c>
      <c r="F69" s="68" t="s">
        <v>198</v>
      </c>
      <c r="G69" s="68" t="str">
        <f t="shared" si="1"/>
        <v>Chisel Plow-Folding 32'</v>
      </c>
      <c r="H69" s="85">
        <v>76500</v>
      </c>
      <c r="I69" s="221">
        <v>32</v>
      </c>
      <c r="J69" s="221">
        <v>5.25</v>
      </c>
      <c r="K69" s="221">
        <v>85</v>
      </c>
      <c r="L69" s="86">
        <f t="shared" si="2"/>
        <v>5.7773109243697468E-2</v>
      </c>
      <c r="M69" s="221">
        <v>30</v>
      </c>
      <c r="N69" s="221">
        <v>65</v>
      </c>
      <c r="O69" s="221">
        <v>12</v>
      </c>
      <c r="P69" s="221">
        <v>150</v>
      </c>
      <c r="Q69" s="221">
        <v>0</v>
      </c>
      <c r="R69" s="104">
        <f t="shared" si="3"/>
        <v>1800</v>
      </c>
      <c r="S69" s="104">
        <v>1</v>
      </c>
      <c r="T69" s="104">
        <v>0.27</v>
      </c>
      <c r="U69" s="104">
        <v>1.4</v>
      </c>
      <c r="V69" s="219">
        <f t="shared" si="4"/>
        <v>1450.6176656033158</v>
      </c>
      <c r="W69" s="106">
        <f t="shared" si="5"/>
        <v>9.6707844373554384</v>
      </c>
      <c r="X69" s="107">
        <f t="shared" si="6"/>
        <v>4143.75</v>
      </c>
      <c r="Y69" s="108">
        <f t="shared" si="7"/>
        <v>27.625</v>
      </c>
      <c r="Z69" s="88">
        <f t="shared" si="8"/>
        <v>22950</v>
      </c>
      <c r="AA69" s="88">
        <f t="shared" si="14"/>
        <v>4462.5</v>
      </c>
      <c r="AB69" s="88">
        <f t="shared" si="9"/>
        <v>49725</v>
      </c>
      <c r="AC69" s="109">
        <f t="shared" ref="AC69:AC132" si="15">AB69*intir</f>
        <v>4475.25</v>
      </c>
      <c r="AD69" s="109">
        <f t="shared" ref="AD69:AD132" si="16">AB69*itr</f>
        <v>1193.4000000000001</v>
      </c>
      <c r="AE69" s="109">
        <f t="shared" si="12"/>
        <v>10131.15</v>
      </c>
      <c r="AF69" s="73">
        <f t="shared" si="13"/>
        <v>67.540999999999997</v>
      </c>
    </row>
    <row r="70" spans="1:32" x14ac:dyDescent="0.25">
      <c r="A70" s="102">
        <v>230</v>
      </c>
      <c r="B70" s="68" t="str">
        <f t="shared" si="0"/>
        <v>0.62, Chisel Plow-Folding 42'</v>
      </c>
      <c r="C70" s="103">
        <v>0.62</v>
      </c>
      <c r="D70" s="68" t="s">
        <v>151</v>
      </c>
      <c r="E70" s="68" t="s">
        <v>195</v>
      </c>
      <c r="F70" s="68" t="s">
        <v>199</v>
      </c>
      <c r="G70" s="68" t="str">
        <f t="shared" si="1"/>
        <v>Chisel Plow-Folding 42'</v>
      </c>
      <c r="H70" s="85">
        <v>88600</v>
      </c>
      <c r="I70" s="221">
        <v>42</v>
      </c>
      <c r="J70" s="221">
        <v>5.25</v>
      </c>
      <c r="K70" s="221">
        <v>85</v>
      </c>
      <c r="L70" s="86">
        <f t="shared" si="2"/>
        <v>4.4017607042817118E-2</v>
      </c>
      <c r="M70" s="221">
        <v>30</v>
      </c>
      <c r="N70" s="221">
        <v>65</v>
      </c>
      <c r="O70" s="221">
        <v>12</v>
      </c>
      <c r="P70" s="221">
        <v>150</v>
      </c>
      <c r="Q70" s="221">
        <v>0</v>
      </c>
      <c r="R70" s="104">
        <f t="shared" si="3"/>
        <v>1800</v>
      </c>
      <c r="S70" s="104">
        <v>1</v>
      </c>
      <c r="T70" s="104">
        <v>0.27</v>
      </c>
      <c r="U70" s="104">
        <v>1.4</v>
      </c>
      <c r="V70" s="219">
        <f t="shared" si="4"/>
        <v>1680.0617669601802</v>
      </c>
      <c r="W70" s="106">
        <f t="shared" si="5"/>
        <v>11.200411779734536</v>
      </c>
      <c r="X70" s="107">
        <f t="shared" si="6"/>
        <v>4799.166666666667</v>
      </c>
      <c r="Y70" s="108">
        <f t="shared" si="7"/>
        <v>31.994444444444447</v>
      </c>
      <c r="Z70" s="88">
        <f t="shared" si="8"/>
        <v>26580</v>
      </c>
      <c r="AA70" s="88">
        <f t="shared" si="14"/>
        <v>5168.333333333333</v>
      </c>
      <c r="AB70" s="88">
        <f t="shared" si="9"/>
        <v>57590</v>
      </c>
      <c r="AC70" s="109">
        <f t="shared" si="15"/>
        <v>5183.0999999999995</v>
      </c>
      <c r="AD70" s="109">
        <f t="shared" si="16"/>
        <v>1382.16</v>
      </c>
      <c r="AE70" s="109">
        <f t="shared" si="12"/>
        <v>11733.593333333332</v>
      </c>
      <c r="AF70" s="73">
        <f t="shared" si="13"/>
        <v>78.223955555555548</v>
      </c>
    </row>
    <row r="71" spans="1:32" x14ac:dyDescent="0.25">
      <c r="A71" s="102">
        <v>651</v>
      </c>
      <c r="B71" s="68" t="str">
        <f t="shared" si="0"/>
        <v>0.63, Chisel Plow-Folding 50'</v>
      </c>
      <c r="C71" s="103">
        <v>0.63</v>
      </c>
      <c r="D71" s="68" t="s">
        <v>151</v>
      </c>
      <c r="E71" s="68" t="s">
        <v>195</v>
      </c>
      <c r="F71" s="68" t="s">
        <v>200</v>
      </c>
      <c r="G71" s="68" t="str">
        <f t="shared" si="1"/>
        <v>Chisel Plow-Folding 50'</v>
      </c>
      <c r="H71" s="85">
        <v>113000</v>
      </c>
      <c r="I71" s="221">
        <v>50</v>
      </c>
      <c r="J71" s="221">
        <v>5.25</v>
      </c>
      <c r="K71" s="221">
        <v>85</v>
      </c>
      <c r="L71" s="86">
        <f t="shared" si="2"/>
        <v>3.6974789915966387E-2</v>
      </c>
      <c r="M71" s="221">
        <v>30</v>
      </c>
      <c r="N71" s="221">
        <v>65</v>
      </c>
      <c r="O71" s="221">
        <v>10</v>
      </c>
      <c r="P71" s="221">
        <v>150</v>
      </c>
      <c r="Q71" s="221">
        <v>0</v>
      </c>
      <c r="R71" s="104">
        <f t="shared" si="3"/>
        <v>1500</v>
      </c>
      <c r="S71" s="104">
        <v>1</v>
      </c>
      <c r="T71" s="104">
        <v>0.27</v>
      </c>
      <c r="U71" s="104">
        <v>1.4</v>
      </c>
      <c r="V71" s="219">
        <f t="shared" si="4"/>
        <v>2142.7424341591463</v>
      </c>
      <c r="W71" s="106">
        <f t="shared" si="5"/>
        <v>14.284949561060976</v>
      </c>
      <c r="X71" s="107">
        <f t="shared" si="6"/>
        <v>7345</v>
      </c>
      <c r="Y71" s="108">
        <f t="shared" si="7"/>
        <v>48.966666666666669</v>
      </c>
      <c r="Z71" s="88">
        <f t="shared" si="8"/>
        <v>33900</v>
      </c>
      <c r="AA71" s="88">
        <f t="shared" si="14"/>
        <v>7910</v>
      </c>
      <c r="AB71" s="88">
        <f t="shared" si="9"/>
        <v>73450</v>
      </c>
      <c r="AC71" s="109">
        <f t="shared" si="15"/>
        <v>6610.5</v>
      </c>
      <c r="AD71" s="109">
        <f t="shared" si="16"/>
        <v>1762.8</v>
      </c>
      <c r="AE71" s="109">
        <f t="shared" si="12"/>
        <v>16283.3</v>
      </c>
      <c r="AF71" s="73">
        <f t="shared" si="13"/>
        <v>108.55533333333332</v>
      </c>
    </row>
    <row r="72" spans="1:32" x14ac:dyDescent="0.25">
      <c r="A72" s="102">
        <v>702</v>
      </c>
      <c r="B72" s="68" t="str">
        <f t="shared" si="0"/>
        <v>0.64, Chisel Plow-Folding 61'</v>
      </c>
      <c r="C72" s="103">
        <v>0.64</v>
      </c>
      <c r="D72" s="68" t="s">
        <v>151</v>
      </c>
      <c r="E72" s="68" t="s">
        <v>195</v>
      </c>
      <c r="F72" s="68" t="s">
        <v>201</v>
      </c>
      <c r="G72" s="68" t="str">
        <f t="shared" si="1"/>
        <v>Chisel Plow-Folding 61'</v>
      </c>
      <c r="H72" s="85">
        <v>141000</v>
      </c>
      <c r="I72" s="221">
        <v>61</v>
      </c>
      <c r="J72" s="221">
        <v>5.25</v>
      </c>
      <c r="K72" s="221">
        <v>85</v>
      </c>
      <c r="L72" s="86">
        <f t="shared" si="2"/>
        <v>3.030720484915278E-2</v>
      </c>
      <c r="M72" s="221">
        <v>30</v>
      </c>
      <c r="N72" s="221">
        <v>65</v>
      </c>
      <c r="O72" s="221">
        <v>12</v>
      </c>
      <c r="P72" s="221">
        <v>150</v>
      </c>
      <c r="Q72" s="221">
        <v>0</v>
      </c>
      <c r="R72" s="104">
        <f t="shared" si="3"/>
        <v>1800</v>
      </c>
      <c r="S72" s="104">
        <v>1</v>
      </c>
      <c r="T72" s="104">
        <v>0.27</v>
      </c>
      <c r="U72" s="104">
        <v>1.4</v>
      </c>
      <c r="V72" s="219">
        <f t="shared" si="4"/>
        <v>2673.6874620923859</v>
      </c>
      <c r="W72" s="106">
        <f t="shared" si="5"/>
        <v>17.824583080615906</v>
      </c>
      <c r="X72" s="107">
        <f t="shared" si="6"/>
        <v>7637.5</v>
      </c>
      <c r="Y72" s="108">
        <f t="shared" si="7"/>
        <v>50.916666666666664</v>
      </c>
      <c r="Z72" s="88">
        <f t="shared" si="8"/>
        <v>42300</v>
      </c>
      <c r="AA72" s="88">
        <f t="shared" si="14"/>
        <v>8225</v>
      </c>
      <c r="AB72" s="88">
        <f t="shared" si="9"/>
        <v>91650</v>
      </c>
      <c r="AC72" s="109">
        <f t="shared" si="15"/>
        <v>8248.5</v>
      </c>
      <c r="AD72" s="109">
        <f t="shared" si="16"/>
        <v>2199.6</v>
      </c>
      <c r="AE72" s="109">
        <f t="shared" si="12"/>
        <v>18673.099999999999</v>
      </c>
      <c r="AF72" s="73">
        <f t="shared" si="13"/>
        <v>124.48733333333332</v>
      </c>
    </row>
    <row r="73" spans="1:32" x14ac:dyDescent="0.25">
      <c r="A73" s="102">
        <v>698</v>
      </c>
      <c r="B73" s="68" t="str">
        <f t="shared" ref="B73:B136" si="17">CONCATENATE(C73,D73,E73,F73)</f>
        <v>0.65, Chisel Plow-Rigid 10'</v>
      </c>
      <c r="C73" s="103">
        <v>0.65</v>
      </c>
      <c r="D73" s="68" t="s">
        <v>151</v>
      </c>
      <c r="E73" s="68" t="s">
        <v>202</v>
      </c>
      <c r="F73" s="68" t="s">
        <v>203</v>
      </c>
      <c r="G73" s="68" t="str">
        <f t="shared" ref="G73:G136" si="18">CONCATENATE(E73,F73)</f>
        <v>Chisel Plow-Rigid 10'</v>
      </c>
      <c r="H73" s="85">
        <v>16100</v>
      </c>
      <c r="I73" s="221">
        <v>10</v>
      </c>
      <c r="J73" s="221">
        <v>5.25</v>
      </c>
      <c r="K73" s="221">
        <v>85</v>
      </c>
      <c r="L73" s="86">
        <f t="shared" ref="L73:L136" si="19">1/((I73*J73*K73/100*5280)/43560)</f>
        <v>0.18487394957983194</v>
      </c>
      <c r="M73" s="221">
        <v>30</v>
      </c>
      <c r="N73" s="221">
        <v>65</v>
      </c>
      <c r="O73" s="221">
        <v>12</v>
      </c>
      <c r="P73" s="221">
        <v>150</v>
      </c>
      <c r="Q73" s="221">
        <v>0</v>
      </c>
      <c r="R73" s="104">
        <f t="shared" ref="R73:R136" si="20">P73*O73</f>
        <v>1800</v>
      </c>
      <c r="S73" s="104">
        <v>1</v>
      </c>
      <c r="T73" s="104">
        <v>0.27</v>
      </c>
      <c r="U73" s="104">
        <v>1.4</v>
      </c>
      <c r="V73" s="219">
        <f t="shared" ref="V73:V136" si="21">(T73*H73)*((S73*P73/1000)^U73)</f>
        <v>305.29339106161285</v>
      </c>
      <c r="W73" s="106">
        <f t="shared" ref="W73:W136" si="22">V73/P73</f>
        <v>2.0352892737440857</v>
      </c>
      <c r="X73" s="107">
        <f t="shared" ref="X73:X136" si="23">(H73*N73/100)/O73</f>
        <v>872.08333333333337</v>
      </c>
      <c r="Y73" s="108">
        <f t="shared" ref="Y73:Y136" si="24">X73/P73</f>
        <v>5.8138888888888891</v>
      </c>
      <c r="Z73" s="88">
        <f t="shared" ref="Z73:Z136" si="25">H73*M73/100</f>
        <v>4830</v>
      </c>
      <c r="AA73" s="88">
        <f t="shared" ref="AA73:AA136" si="26">(H73-Z73)/O73</f>
        <v>939.16666666666663</v>
      </c>
      <c r="AB73" s="88">
        <f t="shared" ref="AB73:AB136" si="27">(Z73+H73)/2</f>
        <v>10465</v>
      </c>
      <c r="AC73" s="109">
        <f t="shared" si="15"/>
        <v>941.84999999999991</v>
      </c>
      <c r="AD73" s="109">
        <f t="shared" si="16"/>
        <v>251.16</v>
      </c>
      <c r="AE73" s="109">
        <f t="shared" ref="AE73:AE136" si="28">AA73+AC73+AD73</f>
        <v>2132.1766666666663</v>
      </c>
      <c r="AF73" s="73">
        <f t="shared" ref="AF73:AF136" si="29">AE73/P73</f>
        <v>14.214511111111108</v>
      </c>
    </row>
    <row r="74" spans="1:32" x14ac:dyDescent="0.25">
      <c r="A74" s="102">
        <v>4</v>
      </c>
      <c r="B74" s="68" t="str">
        <f t="shared" si="17"/>
        <v>0.66, Chisel Plow-Rigid 15'</v>
      </c>
      <c r="C74" s="103">
        <v>0.66</v>
      </c>
      <c r="D74" s="68" t="s">
        <v>151</v>
      </c>
      <c r="E74" s="68" t="s">
        <v>202</v>
      </c>
      <c r="F74" s="68" t="s">
        <v>204</v>
      </c>
      <c r="G74" s="68" t="str">
        <f t="shared" si="18"/>
        <v>Chisel Plow-Rigid 15'</v>
      </c>
      <c r="H74" s="85">
        <v>20100</v>
      </c>
      <c r="I74" s="221">
        <v>15</v>
      </c>
      <c r="J74" s="221">
        <v>5.25</v>
      </c>
      <c r="K74" s="221">
        <v>85</v>
      </c>
      <c r="L74" s="86">
        <f t="shared" si="19"/>
        <v>0.12324929971988796</v>
      </c>
      <c r="M74" s="221">
        <v>30</v>
      </c>
      <c r="N74" s="221">
        <v>65</v>
      </c>
      <c r="O74" s="221">
        <v>12</v>
      </c>
      <c r="P74" s="221">
        <v>150</v>
      </c>
      <c r="Q74" s="221">
        <v>0</v>
      </c>
      <c r="R74" s="104">
        <f t="shared" si="20"/>
        <v>1800</v>
      </c>
      <c r="S74" s="104">
        <v>1</v>
      </c>
      <c r="T74" s="104">
        <v>0.27</v>
      </c>
      <c r="U74" s="104">
        <v>1.4</v>
      </c>
      <c r="V74" s="219">
        <f t="shared" si="21"/>
        <v>381.14268076636142</v>
      </c>
      <c r="W74" s="106">
        <f t="shared" si="22"/>
        <v>2.5409512051090761</v>
      </c>
      <c r="X74" s="107">
        <f t="shared" si="23"/>
        <v>1088.75</v>
      </c>
      <c r="Y74" s="108">
        <f t="shared" si="24"/>
        <v>7.2583333333333337</v>
      </c>
      <c r="Z74" s="88">
        <f t="shared" si="25"/>
        <v>6030</v>
      </c>
      <c r="AA74" s="88">
        <f t="shared" si="26"/>
        <v>1172.5</v>
      </c>
      <c r="AB74" s="88">
        <f t="shared" si="27"/>
        <v>13065</v>
      </c>
      <c r="AC74" s="109">
        <f t="shared" si="15"/>
        <v>1175.8499999999999</v>
      </c>
      <c r="AD74" s="109">
        <f t="shared" si="16"/>
        <v>313.56</v>
      </c>
      <c r="AE74" s="109">
        <f t="shared" si="28"/>
        <v>2661.91</v>
      </c>
      <c r="AF74" s="73">
        <f t="shared" si="29"/>
        <v>17.746066666666664</v>
      </c>
    </row>
    <row r="75" spans="1:32" x14ac:dyDescent="0.25">
      <c r="A75" s="102">
        <v>701</v>
      </c>
      <c r="B75" s="68" t="str">
        <f t="shared" si="17"/>
        <v>0.67, Chisel Plow-Rigid 20'</v>
      </c>
      <c r="C75" s="103">
        <v>0.67</v>
      </c>
      <c r="D75" s="68" t="s">
        <v>151</v>
      </c>
      <c r="E75" s="68" t="s">
        <v>202</v>
      </c>
      <c r="F75" s="68" t="s">
        <v>205</v>
      </c>
      <c r="G75" s="68" t="str">
        <f t="shared" si="18"/>
        <v>Chisel Plow-Rigid 20'</v>
      </c>
      <c r="H75" s="85">
        <v>13400</v>
      </c>
      <c r="I75" s="221">
        <v>18</v>
      </c>
      <c r="J75" s="221">
        <v>5.25</v>
      </c>
      <c r="K75" s="221">
        <v>85</v>
      </c>
      <c r="L75" s="86">
        <f t="shared" si="19"/>
        <v>0.10270774976657329</v>
      </c>
      <c r="M75" s="221">
        <v>30</v>
      </c>
      <c r="N75" s="221">
        <v>65</v>
      </c>
      <c r="O75" s="221">
        <v>12</v>
      </c>
      <c r="P75" s="221">
        <v>150</v>
      </c>
      <c r="Q75" s="221">
        <v>0</v>
      </c>
      <c r="R75" s="104">
        <f t="shared" si="20"/>
        <v>1800</v>
      </c>
      <c r="S75" s="104">
        <v>1</v>
      </c>
      <c r="T75" s="104">
        <v>0.27</v>
      </c>
      <c r="U75" s="104">
        <v>1.4</v>
      </c>
      <c r="V75" s="219">
        <f t="shared" si="21"/>
        <v>254.09512051090763</v>
      </c>
      <c r="W75" s="106">
        <f t="shared" si="22"/>
        <v>1.6939674700727176</v>
      </c>
      <c r="X75" s="107">
        <f t="shared" si="23"/>
        <v>725.83333333333337</v>
      </c>
      <c r="Y75" s="108">
        <f t="shared" si="24"/>
        <v>4.8388888888888895</v>
      </c>
      <c r="Z75" s="88">
        <f t="shared" si="25"/>
        <v>4020</v>
      </c>
      <c r="AA75" s="88">
        <f t="shared" si="26"/>
        <v>781.66666666666663</v>
      </c>
      <c r="AB75" s="88">
        <f t="shared" si="27"/>
        <v>8710</v>
      </c>
      <c r="AC75" s="109">
        <f t="shared" si="15"/>
        <v>783.9</v>
      </c>
      <c r="AD75" s="109">
        <f t="shared" si="16"/>
        <v>209.04</v>
      </c>
      <c r="AE75" s="109">
        <f t="shared" si="28"/>
        <v>1774.6066666666666</v>
      </c>
      <c r="AF75" s="73">
        <f t="shared" si="29"/>
        <v>11.830711111111111</v>
      </c>
    </row>
    <row r="76" spans="1:32" x14ac:dyDescent="0.25">
      <c r="A76" s="102">
        <v>6</v>
      </c>
      <c r="B76" s="68" t="str">
        <f t="shared" si="17"/>
        <v>0.68, Chisel Plow-Rigid 24'</v>
      </c>
      <c r="C76" s="103">
        <v>0.68</v>
      </c>
      <c r="D76" s="68" t="s">
        <v>151</v>
      </c>
      <c r="E76" s="68" t="s">
        <v>202</v>
      </c>
      <c r="F76" s="68" t="s">
        <v>197</v>
      </c>
      <c r="G76" s="68" t="str">
        <f t="shared" si="18"/>
        <v>Chisel Plow-Rigid 24'</v>
      </c>
      <c r="H76" s="85">
        <v>15000</v>
      </c>
      <c r="I76" s="221">
        <v>24</v>
      </c>
      <c r="J76" s="221">
        <v>5.25</v>
      </c>
      <c r="K76" s="221">
        <v>85</v>
      </c>
      <c r="L76" s="86">
        <f t="shared" si="19"/>
        <v>7.7030812324929962E-2</v>
      </c>
      <c r="M76" s="221">
        <v>30</v>
      </c>
      <c r="N76" s="221">
        <v>65</v>
      </c>
      <c r="O76" s="221">
        <v>12</v>
      </c>
      <c r="P76" s="221">
        <v>150</v>
      </c>
      <c r="Q76" s="221">
        <v>0</v>
      </c>
      <c r="R76" s="104">
        <f t="shared" si="20"/>
        <v>1800</v>
      </c>
      <c r="S76" s="104">
        <v>1</v>
      </c>
      <c r="T76" s="104">
        <v>0.27</v>
      </c>
      <c r="U76" s="104">
        <v>1.4</v>
      </c>
      <c r="V76" s="219">
        <f t="shared" si="21"/>
        <v>284.43483639280709</v>
      </c>
      <c r="W76" s="106">
        <f t="shared" si="22"/>
        <v>1.8962322426187139</v>
      </c>
      <c r="X76" s="107">
        <f t="shared" si="23"/>
        <v>812.5</v>
      </c>
      <c r="Y76" s="108">
        <f t="shared" si="24"/>
        <v>5.416666666666667</v>
      </c>
      <c r="Z76" s="88">
        <f t="shared" si="25"/>
        <v>4500</v>
      </c>
      <c r="AA76" s="88">
        <f t="shared" si="26"/>
        <v>875</v>
      </c>
      <c r="AB76" s="88">
        <f t="shared" si="27"/>
        <v>9750</v>
      </c>
      <c r="AC76" s="109">
        <f t="shared" si="15"/>
        <v>877.5</v>
      </c>
      <c r="AD76" s="109">
        <f t="shared" si="16"/>
        <v>234</v>
      </c>
      <c r="AE76" s="109">
        <f t="shared" si="28"/>
        <v>1986.5</v>
      </c>
      <c r="AF76" s="73">
        <f t="shared" si="29"/>
        <v>13.243333333333334</v>
      </c>
    </row>
    <row r="77" spans="1:32" x14ac:dyDescent="0.25">
      <c r="A77" s="102">
        <v>294</v>
      </c>
      <c r="B77" s="68" t="str">
        <f t="shared" si="17"/>
        <v>0.69, Chisel-Harrow 21 shank</v>
      </c>
      <c r="C77" s="103">
        <v>0.69</v>
      </c>
      <c r="D77" s="68" t="s">
        <v>151</v>
      </c>
      <c r="E77" s="68" t="s">
        <v>206</v>
      </c>
      <c r="F77" s="68" t="s">
        <v>207</v>
      </c>
      <c r="G77" s="68" t="str">
        <f t="shared" si="18"/>
        <v>Chisel-Harrow 21 shank</v>
      </c>
      <c r="H77" s="85">
        <v>17500</v>
      </c>
      <c r="I77" s="221">
        <v>21</v>
      </c>
      <c r="J77" s="221">
        <v>5.25</v>
      </c>
      <c r="K77" s="221">
        <v>85</v>
      </c>
      <c r="L77" s="86">
        <f t="shared" si="19"/>
        <v>8.8035214085634236E-2</v>
      </c>
      <c r="M77" s="221">
        <v>30</v>
      </c>
      <c r="N77" s="221">
        <v>65</v>
      </c>
      <c r="O77" s="221">
        <v>12</v>
      </c>
      <c r="P77" s="221">
        <v>150</v>
      </c>
      <c r="Q77" s="221">
        <v>0</v>
      </c>
      <c r="R77" s="104">
        <f t="shared" si="20"/>
        <v>1800</v>
      </c>
      <c r="S77" s="104">
        <v>1</v>
      </c>
      <c r="T77" s="104">
        <v>0.27</v>
      </c>
      <c r="U77" s="104">
        <v>1.4</v>
      </c>
      <c r="V77" s="219">
        <f t="shared" si="21"/>
        <v>331.84064245827489</v>
      </c>
      <c r="W77" s="106">
        <f t="shared" si="22"/>
        <v>2.2122709497218325</v>
      </c>
      <c r="X77" s="107">
        <f t="shared" si="23"/>
        <v>947.91666666666663</v>
      </c>
      <c r="Y77" s="108">
        <f t="shared" si="24"/>
        <v>6.3194444444444438</v>
      </c>
      <c r="Z77" s="88">
        <f t="shared" si="25"/>
        <v>5250</v>
      </c>
      <c r="AA77" s="88">
        <f t="shared" si="26"/>
        <v>1020.8333333333334</v>
      </c>
      <c r="AB77" s="88">
        <f t="shared" si="27"/>
        <v>11375</v>
      </c>
      <c r="AC77" s="109">
        <f t="shared" si="15"/>
        <v>1023.75</v>
      </c>
      <c r="AD77" s="109">
        <f t="shared" si="16"/>
        <v>273</v>
      </c>
      <c r="AE77" s="109">
        <f t="shared" si="28"/>
        <v>2317.5833333333335</v>
      </c>
      <c r="AF77" s="73">
        <f t="shared" si="29"/>
        <v>15.450555555555557</v>
      </c>
    </row>
    <row r="78" spans="1:32" x14ac:dyDescent="0.25">
      <c r="A78" s="102">
        <v>293</v>
      </c>
      <c r="B78" s="68" t="str">
        <f t="shared" si="17"/>
        <v>0.7, Chisel-Harrow 27 shank</v>
      </c>
      <c r="C78" s="103">
        <v>0.7</v>
      </c>
      <c r="D78" s="68" t="s">
        <v>151</v>
      </c>
      <c r="E78" s="68" t="s">
        <v>206</v>
      </c>
      <c r="F78" s="68" t="s">
        <v>208</v>
      </c>
      <c r="G78" s="68" t="str">
        <f t="shared" si="18"/>
        <v>Chisel-Harrow 27 shank</v>
      </c>
      <c r="H78" s="85">
        <v>19500</v>
      </c>
      <c r="I78" s="221">
        <v>27</v>
      </c>
      <c r="J78" s="221">
        <v>5.25</v>
      </c>
      <c r="K78" s="221">
        <v>85</v>
      </c>
      <c r="L78" s="86">
        <f t="shared" si="19"/>
        <v>6.8471833177715533E-2</v>
      </c>
      <c r="M78" s="221">
        <v>30</v>
      </c>
      <c r="N78" s="221">
        <v>65</v>
      </c>
      <c r="O78" s="221">
        <v>12</v>
      </c>
      <c r="P78" s="221">
        <v>150</v>
      </c>
      <c r="Q78" s="221">
        <v>0</v>
      </c>
      <c r="R78" s="104">
        <f t="shared" si="20"/>
        <v>1800</v>
      </c>
      <c r="S78" s="104">
        <v>1</v>
      </c>
      <c r="T78" s="104">
        <v>0.27</v>
      </c>
      <c r="U78" s="104">
        <v>1.4</v>
      </c>
      <c r="V78" s="219">
        <f t="shared" si="21"/>
        <v>369.76528731064911</v>
      </c>
      <c r="W78" s="106">
        <f t="shared" si="22"/>
        <v>2.4651019154043272</v>
      </c>
      <c r="X78" s="107">
        <f t="shared" si="23"/>
        <v>1056.25</v>
      </c>
      <c r="Y78" s="108">
        <f t="shared" si="24"/>
        <v>7.041666666666667</v>
      </c>
      <c r="Z78" s="88">
        <f t="shared" si="25"/>
        <v>5850</v>
      </c>
      <c r="AA78" s="88">
        <f t="shared" si="26"/>
        <v>1137.5</v>
      </c>
      <c r="AB78" s="88">
        <f t="shared" si="27"/>
        <v>12675</v>
      </c>
      <c r="AC78" s="109">
        <f t="shared" si="15"/>
        <v>1140.75</v>
      </c>
      <c r="AD78" s="109">
        <f t="shared" si="16"/>
        <v>304.2</v>
      </c>
      <c r="AE78" s="109">
        <f t="shared" si="28"/>
        <v>2582.4499999999998</v>
      </c>
      <c r="AF78" s="73">
        <f t="shared" si="29"/>
        <v>17.216333333333331</v>
      </c>
    </row>
    <row r="79" spans="1:32" x14ac:dyDescent="0.25">
      <c r="A79" s="102">
        <v>296</v>
      </c>
      <c r="B79" s="68" t="str">
        <f t="shared" si="17"/>
        <v>0.71, Coulter-Chisel-Harrow 21 shank</v>
      </c>
      <c r="C79" s="103">
        <v>0.71</v>
      </c>
      <c r="D79" s="68" t="s">
        <v>151</v>
      </c>
      <c r="E79" s="68" t="s">
        <v>209</v>
      </c>
      <c r="F79" s="68" t="s">
        <v>207</v>
      </c>
      <c r="G79" s="68" t="str">
        <f t="shared" si="18"/>
        <v>Coulter-Chisel-Harrow 21 shank</v>
      </c>
      <c r="H79" s="85">
        <v>25000</v>
      </c>
      <c r="I79" s="221">
        <v>21</v>
      </c>
      <c r="J79" s="221">
        <v>5.25</v>
      </c>
      <c r="K79" s="221">
        <v>85</v>
      </c>
      <c r="L79" s="86">
        <f t="shared" si="19"/>
        <v>8.8035214085634236E-2</v>
      </c>
      <c r="M79" s="221">
        <v>30</v>
      </c>
      <c r="N79" s="221">
        <v>65</v>
      </c>
      <c r="O79" s="221">
        <v>12</v>
      </c>
      <c r="P79" s="221">
        <v>150</v>
      </c>
      <c r="Q79" s="221">
        <v>0</v>
      </c>
      <c r="R79" s="104">
        <f t="shared" si="20"/>
        <v>1800</v>
      </c>
      <c r="S79" s="104">
        <v>1</v>
      </c>
      <c r="T79" s="104">
        <v>0.27</v>
      </c>
      <c r="U79" s="104">
        <v>1.4</v>
      </c>
      <c r="V79" s="219">
        <f t="shared" si="21"/>
        <v>474.0580606546784</v>
      </c>
      <c r="W79" s="106">
        <f t="shared" si="22"/>
        <v>3.1603870710311894</v>
      </c>
      <c r="X79" s="107">
        <f t="shared" si="23"/>
        <v>1354.1666666666667</v>
      </c>
      <c r="Y79" s="108">
        <f t="shared" si="24"/>
        <v>9.0277777777777786</v>
      </c>
      <c r="Z79" s="88">
        <f t="shared" si="25"/>
        <v>7500</v>
      </c>
      <c r="AA79" s="88">
        <f t="shared" si="26"/>
        <v>1458.3333333333333</v>
      </c>
      <c r="AB79" s="88">
        <f t="shared" si="27"/>
        <v>16250</v>
      </c>
      <c r="AC79" s="109">
        <f t="shared" si="15"/>
        <v>1462.5</v>
      </c>
      <c r="AD79" s="109">
        <f t="shared" si="16"/>
        <v>390</v>
      </c>
      <c r="AE79" s="109">
        <f t="shared" si="28"/>
        <v>3310.833333333333</v>
      </c>
      <c r="AF79" s="73">
        <f t="shared" si="29"/>
        <v>22.072222222222219</v>
      </c>
    </row>
    <row r="80" spans="1:32" x14ac:dyDescent="0.25">
      <c r="A80" s="102">
        <v>295</v>
      </c>
      <c r="B80" s="68" t="str">
        <f t="shared" si="17"/>
        <v>0.72, Coulter-Chisel-Harrow 27 shank</v>
      </c>
      <c r="C80" s="103">
        <v>0.72</v>
      </c>
      <c r="D80" s="68" t="s">
        <v>151</v>
      </c>
      <c r="E80" s="68" t="s">
        <v>209</v>
      </c>
      <c r="F80" s="68" t="s">
        <v>208</v>
      </c>
      <c r="G80" s="68" t="str">
        <f t="shared" si="18"/>
        <v>Coulter-Chisel-Harrow 27 shank</v>
      </c>
      <c r="H80" s="85">
        <v>30000</v>
      </c>
      <c r="I80" s="221">
        <v>27</v>
      </c>
      <c r="J80" s="221">
        <v>5.25</v>
      </c>
      <c r="K80" s="221">
        <v>85</v>
      </c>
      <c r="L80" s="86">
        <f t="shared" si="19"/>
        <v>6.8471833177715533E-2</v>
      </c>
      <c r="M80" s="221">
        <v>30</v>
      </c>
      <c r="N80" s="221">
        <v>65</v>
      </c>
      <c r="O80" s="221">
        <v>12</v>
      </c>
      <c r="P80" s="221">
        <v>150</v>
      </c>
      <c r="Q80" s="221">
        <v>0</v>
      </c>
      <c r="R80" s="104">
        <f t="shared" si="20"/>
        <v>1800</v>
      </c>
      <c r="S80" s="104">
        <v>1</v>
      </c>
      <c r="T80" s="104">
        <v>0.27</v>
      </c>
      <c r="U80" s="104">
        <v>1.4</v>
      </c>
      <c r="V80" s="219">
        <f t="shared" si="21"/>
        <v>568.86967278561417</v>
      </c>
      <c r="W80" s="106">
        <f t="shared" si="22"/>
        <v>3.7924644852374279</v>
      </c>
      <c r="X80" s="107">
        <f t="shared" si="23"/>
        <v>1625</v>
      </c>
      <c r="Y80" s="108">
        <f t="shared" si="24"/>
        <v>10.833333333333334</v>
      </c>
      <c r="Z80" s="88">
        <f t="shared" si="25"/>
        <v>9000</v>
      </c>
      <c r="AA80" s="88">
        <f t="shared" si="26"/>
        <v>1750</v>
      </c>
      <c r="AB80" s="88">
        <f t="shared" si="27"/>
        <v>19500</v>
      </c>
      <c r="AC80" s="109">
        <f t="shared" si="15"/>
        <v>1755</v>
      </c>
      <c r="AD80" s="109">
        <f t="shared" si="16"/>
        <v>468</v>
      </c>
      <c r="AE80" s="109">
        <f t="shared" si="28"/>
        <v>3973</v>
      </c>
      <c r="AF80" s="73">
        <f t="shared" si="29"/>
        <v>26.486666666666668</v>
      </c>
    </row>
    <row r="81" spans="1:32" x14ac:dyDescent="0.25">
      <c r="A81" s="102">
        <v>315</v>
      </c>
      <c r="B81" s="68" t="str">
        <f t="shared" si="17"/>
        <v>0.73, Cult &amp; PD Ridge Till 8R-30</v>
      </c>
      <c r="C81" s="103">
        <v>0.73</v>
      </c>
      <c r="D81" s="68" t="s">
        <v>151</v>
      </c>
      <c r="E81" s="68" t="s">
        <v>210</v>
      </c>
      <c r="F81" s="68" t="s">
        <v>155</v>
      </c>
      <c r="G81" s="68" t="str">
        <f t="shared" si="18"/>
        <v>Cult &amp; PD Ridge Till 8R-30</v>
      </c>
      <c r="H81" s="85">
        <v>35500</v>
      </c>
      <c r="I81" s="221">
        <v>20</v>
      </c>
      <c r="J81" s="221">
        <v>5</v>
      </c>
      <c r="K81" s="221">
        <v>75</v>
      </c>
      <c r="L81" s="86">
        <f t="shared" si="19"/>
        <v>0.10999999999999999</v>
      </c>
      <c r="M81" s="221">
        <v>25</v>
      </c>
      <c r="N81" s="221">
        <v>115</v>
      </c>
      <c r="O81" s="221">
        <v>12</v>
      </c>
      <c r="P81" s="221">
        <v>200</v>
      </c>
      <c r="Q81" s="221">
        <v>0</v>
      </c>
      <c r="R81" s="104">
        <f t="shared" si="20"/>
        <v>2400</v>
      </c>
      <c r="S81" s="104">
        <v>1</v>
      </c>
      <c r="T81" s="104">
        <v>0.27</v>
      </c>
      <c r="U81" s="104">
        <v>1.4</v>
      </c>
      <c r="V81" s="219">
        <f t="shared" si="21"/>
        <v>1007.0107602084045</v>
      </c>
      <c r="W81" s="106">
        <f t="shared" si="22"/>
        <v>5.0350538010420225</v>
      </c>
      <c r="X81" s="107">
        <f t="shared" si="23"/>
        <v>3402.0833333333335</v>
      </c>
      <c r="Y81" s="108">
        <f t="shared" si="24"/>
        <v>17.010416666666668</v>
      </c>
      <c r="Z81" s="88">
        <f t="shared" si="25"/>
        <v>8875</v>
      </c>
      <c r="AA81" s="88">
        <f t="shared" si="26"/>
        <v>2218.75</v>
      </c>
      <c r="AB81" s="88">
        <f t="shared" si="27"/>
        <v>22187.5</v>
      </c>
      <c r="AC81" s="109">
        <f t="shared" si="15"/>
        <v>1996.875</v>
      </c>
      <c r="AD81" s="109">
        <f t="shared" si="16"/>
        <v>532.5</v>
      </c>
      <c r="AE81" s="109">
        <f t="shared" si="28"/>
        <v>4748.125</v>
      </c>
      <c r="AF81" s="73">
        <f t="shared" si="29"/>
        <v>23.740625000000001</v>
      </c>
    </row>
    <row r="82" spans="1:32" x14ac:dyDescent="0.25">
      <c r="A82" s="102">
        <v>314</v>
      </c>
      <c r="B82" s="68" t="str">
        <f t="shared" si="17"/>
        <v>0.74, Cult &amp; PD Ridge Till 12R-30</v>
      </c>
      <c r="C82" s="103">
        <v>0.74</v>
      </c>
      <c r="D82" s="68" t="s">
        <v>151</v>
      </c>
      <c r="E82" s="68" t="s">
        <v>211</v>
      </c>
      <c r="F82" s="68" t="s">
        <v>156</v>
      </c>
      <c r="G82" s="68" t="str">
        <f t="shared" si="18"/>
        <v>Cult &amp; PD Ridge Till 12R-30</v>
      </c>
      <c r="H82" s="85">
        <v>50000</v>
      </c>
      <c r="I82" s="221">
        <v>30</v>
      </c>
      <c r="J82" s="221">
        <v>5</v>
      </c>
      <c r="K82" s="221">
        <v>75</v>
      </c>
      <c r="L82" s="86">
        <f t="shared" si="19"/>
        <v>7.3333333333333334E-2</v>
      </c>
      <c r="M82" s="221">
        <v>25</v>
      </c>
      <c r="N82" s="221">
        <v>115</v>
      </c>
      <c r="O82" s="221">
        <v>12</v>
      </c>
      <c r="P82" s="221">
        <v>200</v>
      </c>
      <c r="Q82" s="221">
        <v>0</v>
      </c>
      <c r="R82" s="104">
        <f t="shared" si="20"/>
        <v>2400</v>
      </c>
      <c r="S82" s="104">
        <v>1</v>
      </c>
      <c r="T82" s="104">
        <v>0.27</v>
      </c>
      <c r="U82" s="104">
        <v>1.4</v>
      </c>
      <c r="V82" s="219">
        <f t="shared" si="21"/>
        <v>1418.3250143780344</v>
      </c>
      <c r="W82" s="106">
        <f t="shared" si="22"/>
        <v>7.0916250718901725</v>
      </c>
      <c r="X82" s="107">
        <f t="shared" si="23"/>
        <v>4791.666666666667</v>
      </c>
      <c r="Y82" s="108">
        <f t="shared" si="24"/>
        <v>23.958333333333336</v>
      </c>
      <c r="Z82" s="88">
        <f t="shared" si="25"/>
        <v>12500</v>
      </c>
      <c r="AA82" s="88">
        <f t="shared" si="26"/>
        <v>3125</v>
      </c>
      <c r="AB82" s="88">
        <f t="shared" si="27"/>
        <v>31250</v>
      </c>
      <c r="AC82" s="109">
        <f t="shared" si="15"/>
        <v>2812.5</v>
      </c>
      <c r="AD82" s="109">
        <f t="shared" si="16"/>
        <v>750</v>
      </c>
      <c r="AE82" s="109">
        <f t="shared" si="28"/>
        <v>6687.5</v>
      </c>
      <c r="AF82" s="73">
        <f t="shared" si="29"/>
        <v>33.4375</v>
      </c>
    </row>
    <row r="83" spans="1:32" x14ac:dyDescent="0.25">
      <c r="A83" s="102">
        <v>579</v>
      </c>
      <c r="B83" s="68" t="str">
        <f t="shared" si="17"/>
        <v>0.75, Cultivate  4R-30</v>
      </c>
      <c r="C83" s="103">
        <v>0.75</v>
      </c>
      <c r="D83" s="68" t="s">
        <v>151</v>
      </c>
      <c r="E83" s="68" t="s">
        <v>212</v>
      </c>
      <c r="F83" s="68" t="s">
        <v>172</v>
      </c>
      <c r="G83" s="68" t="str">
        <f t="shared" si="18"/>
        <v>Cultivate  4R-30</v>
      </c>
      <c r="H83" s="85">
        <v>21500</v>
      </c>
      <c r="I83" s="221">
        <v>10</v>
      </c>
      <c r="J83" s="221">
        <v>5</v>
      </c>
      <c r="K83" s="221">
        <v>80</v>
      </c>
      <c r="L83" s="86">
        <f t="shared" si="19"/>
        <v>0.20624999999999999</v>
      </c>
      <c r="M83" s="221">
        <v>30</v>
      </c>
      <c r="N83" s="221">
        <v>40</v>
      </c>
      <c r="O83" s="221">
        <v>10</v>
      </c>
      <c r="P83" s="221">
        <v>150</v>
      </c>
      <c r="Q83" s="221">
        <v>0</v>
      </c>
      <c r="R83" s="104">
        <f t="shared" si="20"/>
        <v>1500</v>
      </c>
      <c r="S83" s="104">
        <v>1</v>
      </c>
      <c r="T83" s="104">
        <v>0.27</v>
      </c>
      <c r="U83" s="104">
        <v>1.4</v>
      </c>
      <c r="V83" s="219">
        <f t="shared" si="21"/>
        <v>407.6899321630234</v>
      </c>
      <c r="W83" s="106">
        <f t="shared" si="22"/>
        <v>2.7179328810868228</v>
      </c>
      <c r="X83" s="107">
        <f t="shared" si="23"/>
        <v>860</v>
      </c>
      <c r="Y83" s="108">
        <f t="shared" si="24"/>
        <v>5.7333333333333334</v>
      </c>
      <c r="Z83" s="88">
        <f t="shared" si="25"/>
        <v>6450</v>
      </c>
      <c r="AA83" s="88">
        <f t="shared" si="26"/>
        <v>1505</v>
      </c>
      <c r="AB83" s="88">
        <f t="shared" si="27"/>
        <v>13975</v>
      </c>
      <c r="AC83" s="109">
        <f t="shared" si="15"/>
        <v>1257.75</v>
      </c>
      <c r="AD83" s="109">
        <f t="shared" si="16"/>
        <v>335.40000000000003</v>
      </c>
      <c r="AE83" s="109">
        <f t="shared" si="28"/>
        <v>3098.15</v>
      </c>
      <c r="AF83" s="73">
        <f t="shared" si="29"/>
        <v>20.654333333333334</v>
      </c>
    </row>
    <row r="84" spans="1:32" x14ac:dyDescent="0.25">
      <c r="A84" s="102">
        <v>31</v>
      </c>
      <c r="B84" s="68" t="str">
        <f t="shared" si="17"/>
        <v>0.76, Cultivate  4R-36</v>
      </c>
      <c r="C84" s="103">
        <v>0.76</v>
      </c>
      <c r="D84" s="68" t="s">
        <v>151</v>
      </c>
      <c r="E84" s="68" t="s">
        <v>212</v>
      </c>
      <c r="F84" s="68" t="s">
        <v>153</v>
      </c>
      <c r="G84" s="68" t="str">
        <f t="shared" si="18"/>
        <v>Cultivate  4R-36</v>
      </c>
      <c r="H84" s="85">
        <v>21500</v>
      </c>
      <c r="I84" s="221">
        <v>12</v>
      </c>
      <c r="J84" s="221">
        <v>5</v>
      </c>
      <c r="K84" s="221">
        <v>80</v>
      </c>
      <c r="L84" s="86">
        <f t="shared" si="19"/>
        <v>0.171875</v>
      </c>
      <c r="M84" s="221">
        <v>30</v>
      </c>
      <c r="N84" s="221">
        <v>40</v>
      </c>
      <c r="O84" s="221">
        <v>10</v>
      </c>
      <c r="P84" s="221">
        <v>150</v>
      </c>
      <c r="Q84" s="221">
        <v>0</v>
      </c>
      <c r="R84" s="104">
        <f t="shared" si="20"/>
        <v>1500</v>
      </c>
      <c r="S84" s="104">
        <v>1</v>
      </c>
      <c r="T84" s="104">
        <v>0.27</v>
      </c>
      <c r="U84" s="104">
        <v>1.4</v>
      </c>
      <c r="V84" s="219">
        <f t="shared" si="21"/>
        <v>407.6899321630234</v>
      </c>
      <c r="W84" s="106">
        <f t="shared" si="22"/>
        <v>2.7179328810868228</v>
      </c>
      <c r="X84" s="107">
        <f t="shared" si="23"/>
        <v>860</v>
      </c>
      <c r="Y84" s="108">
        <f t="shared" si="24"/>
        <v>5.7333333333333334</v>
      </c>
      <c r="Z84" s="88">
        <f t="shared" si="25"/>
        <v>6450</v>
      </c>
      <c r="AA84" s="88">
        <f t="shared" si="26"/>
        <v>1505</v>
      </c>
      <c r="AB84" s="88">
        <f t="shared" si="27"/>
        <v>13975</v>
      </c>
      <c r="AC84" s="109">
        <f t="shared" si="15"/>
        <v>1257.75</v>
      </c>
      <c r="AD84" s="109">
        <f t="shared" si="16"/>
        <v>335.40000000000003</v>
      </c>
      <c r="AE84" s="109">
        <f t="shared" si="28"/>
        <v>3098.15</v>
      </c>
      <c r="AF84" s="73">
        <f t="shared" si="29"/>
        <v>20.654333333333334</v>
      </c>
    </row>
    <row r="85" spans="1:32" x14ac:dyDescent="0.25">
      <c r="A85" s="102">
        <v>32</v>
      </c>
      <c r="B85" s="68" t="str">
        <f t="shared" si="17"/>
        <v>0.77, Cultivate  6R-30</v>
      </c>
      <c r="C85" s="103">
        <v>0.77</v>
      </c>
      <c r="D85" s="68" t="s">
        <v>151</v>
      </c>
      <c r="E85" s="68" t="s">
        <v>212</v>
      </c>
      <c r="F85" s="68" t="s">
        <v>213</v>
      </c>
      <c r="G85" s="68" t="str">
        <f t="shared" si="18"/>
        <v>Cultivate  6R-30</v>
      </c>
      <c r="H85" s="85">
        <v>28100</v>
      </c>
      <c r="I85" s="221">
        <v>15</v>
      </c>
      <c r="J85" s="221">
        <v>5</v>
      </c>
      <c r="K85" s="221">
        <v>80</v>
      </c>
      <c r="L85" s="86">
        <f t="shared" si="19"/>
        <v>0.13750000000000001</v>
      </c>
      <c r="M85" s="221">
        <v>30</v>
      </c>
      <c r="N85" s="221">
        <v>40</v>
      </c>
      <c r="O85" s="221">
        <v>10</v>
      </c>
      <c r="P85" s="221">
        <v>150</v>
      </c>
      <c r="Q85" s="221">
        <v>0</v>
      </c>
      <c r="R85" s="104">
        <f t="shared" si="20"/>
        <v>1500</v>
      </c>
      <c r="S85" s="104">
        <v>1</v>
      </c>
      <c r="T85" s="104">
        <v>0.27</v>
      </c>
      <c r="U85" s="104">
        <v>1.4</v>
      </c>
      <c r="V85" s="219">
        <f t="shared" si="21"/>
        <v>532.84126017585857</v>
      </c>
      <c r="W85" s="106">
        <f t="shared" si="22"/>
        <v>3.5522750678390569</v>
      </c>
      <c r="X85" s="107">
        <f t="shared" si="23"/>
        <v>1124</v>
      </c>
      <c r="Y85" s="108">
        <f t="shared" si="24"/>
        <v>7.4933333333333332</v>
      </c>
      <c r="Z85" s="88">
        <f t="shared" si="25"/>
        <v>8430</v>
      </c>
      <c r="AA85" s="88">
        <f t="shared" si="26"/>
        <v>1967</v>
      </c>
      <c r="AB85" s="88">
        <f t="shared" si="27"/>
        <v>18265</v>
      </c>
      <c r="AC85" s="109">
        <f t="shared" si="15"/>
        <v>1643.85</v>
      </c>
      <c r="AD85" s="109">
        <f t="shared" si="16"/>
        <v>438.36</v>
      </c>
      <c r="AE85" s="109">
        <f t="shared" si="28"/>
        <v>4049.21</v>
      </c>
      <c r="AF85" s="73">
        <f t="shared" si="29"/>
        <v>26.994733333333333</v>
      </c>
    </row>
    <row r="86" spans="1:32" x14ac:dyDescent="0.25">
      <c r="A86" s="102">
        <v>33</v>
      </c>
      <c r="B86" s="68" t="str">
        <f t="shared" si="17"/>
        <v>0.78, Cultivate  6R-36</v>
      </c>
      <c r="C86" s="103">
        <v>0.78</v>
      </c>
      <c r="D86" s="68" t="s">
        <v>151</v>
      </c>
      <c r="E86" s="68" t="s">
        <v>212</v>
      </c>
      <c r="F86" s="68" t="s">
        <v>154</v>
      </c>
      <c r="G86" s="68" t="str">
        <f t="shared" si="18"/>
        <v>Cultivate  6R-36</v>
      </c>
      <c r="H86" s="85">
        <v>28000</v>
      </c>
      <c r="I86" s="221">
        <v>18</v>
      </c>
      <c r="J86" s="221">
        <v>5</v>
      </c>
      <c r="K86" s="221">
        <v>80</v>
      </c>
      <c r="L86" s="86">
        <f t="shared" si="19"/>
        <v>0.11458333333333334</v>
      </c>
      <c r="M86" s="221">
        <v>30</v>
      </c>
      <c r="N86" s="221">
        <v>40</v>
      </c>
      <c r="O86" s="221">
        <v>10</v>
      </c>
      <c r="P86" s="221">
        <v>150</v>
      </c>
      <c r="Q86" s="221">
        <v>0</v>
      </c>
      <c r="R86" s="104">
        <f t="shared" si="20"/>
        <v>1500</v>
      </c>
      <c r="S86" s="104">
        <v>1</v>
      </c>
      <c r="T86" s="104">
        <v>0.27</v>
      </c>
      <c r="U86" s="104">
        <v>1.4</v>
      </c>
      <c r="V86" s="219">
        <f t="shared" si="21"/>
        <v>530.94502793323988</v>
      </c>
      <c r="W86" s="106">
        <f t="shared" si="22"/>
        <v>3.5396335195549327</v>
      </c>
      <c r="X86" s="107">
        <f t="shared" si="23"/>
        <v>1120</v>
      </c>
      <c r="Y86" s="108">
        <f t="shared" si="24"/>
        <v>7.4666666666666668</v>
      </c>
      <c r="Z86" s="88">
        <f t="shared" si="25"/>
        <v>8400</v>
      </c>
      <c r="AA86" s="88">
        <f t="shared" si="26"/>
        <v>1960</v>
      </c>
      <c r="AB86" s="88">
        <f t="shared" si="27"/>
        <v>18200</v>
      </c>
      <c r="AC86" s="109">
        <f t="shared" si="15"/>
        <v>1638</v>
      </c>
      <c r="AD86" s="109">
        <f t="shared" si="16"/>
        <v>436.8</v>
      </c>
      <c r="AE86" s="109">
        <f t="shared" si="28"/>
        <v>4034.8</v>
      </c>
      <c r="AF86" s="73">
        <f t="shared" si="29"/>
        <v>26.898666666666667</v>
      </c>
    </row>
    <row r="87" spans="1:32" x14ac:dyDescent="0.25">
      <c r="A87" s="102">
        <v>34</v>
      </c>
      <c r="B87" s="68" t="str">
        <f t="shared" si="17"/>
        <v>0.79, Cultivate  8R-30</v>
      </c>
      <c r="C87" s="103">
        <v>0.79</v>
      </c>
      <c r="D87" s="68" t="s">
        <v>151</v>
      </c>
      <c r="E87" s="68" t="s">
        <v>212</v>
      </c>
      <c r="F87" s="68" t="s">
        <v>155</v>
      </c>
      <c r="G87" s="68" t="str">
        <f t="shared" si="18"/>
        <v>Cultivate  8R-30</v>
      </c>
      <c r="H87" s="85">
        <v>36300</v>
      </c>
      <c r="I87" s="221">
        <v>20</v>
      </c>
      <c r="J87" s="221">
        <v>5</v>
      </c>
      <c r="K87" s="221">
        <v>80</v>
      </c>
      <c r="L87" s="86">
        <f t="shared" si="19"/>
        <v>0.10312499999999999</v>
      </c>
      <c r="M87" s="221">
        <v>30</v>
      </c>
      <c r="N87" s="221">
        <v>40</v>
      </c>
      <c r="O87" s="221">
        <v>10</v>
      </c>
      <c r="P87" s="221">
        <v>150</v>
      </c>
      <c r="Q87" s="221">
        <v>0</v>
      </c>
      <c r="R87" s="104">
        <f t="shared" si="20"/>
        <v>1500</v>
      </c>
      <c r="S87" s="104">
        <v>1</v>
      </c>
      <c r="T87" s="104">
        <v>0.27</v>
      </c>
      <c r="U87" s="104">
        <v>1.4</v>
      </c>
      <c r="V87" s="219">
        <f t="shared" si="21"/>
        <v>688.33230407059295</v>
      </c>
      <c r="W87" s="106">
        <f t="shared" si="22"/>
        <v>4.5888820271372861</v>
      </c>
      <c r="X87" s="107">
        <f t="shared" si="23"/>
        <v>1452</v>
      </c>
      <c r="Y87" s="108">
        <f t="shared" si="24"/>
        <v>9.68</v>
      </c>
      <c r="Z87" s="88">
        <f t="shared" si="25"/>
        <v>10890</v>
      </c>
      <c r="AA87" s="88">
        <f t="shared" si="26"/>
        <v>2541</v>
      </c>
      <c r="AB87" s="88">
        <f t="shared" si="27"/>
        <v>23595</v>
      </c>
      <c r="AC87" s="109">
        <f t="shared" si="15"/>
        <v>2123.5499999999997</v>
      </c>
      <c r="AD87" s="109">
        <f t="shared" si="16"/>
        <v>566.28</v>
      </c>
      <c r="AE87" s="109">
        <f t="shared" si="28"/>
        <v>5230.829999999999</v>
      </c>
      <c r="AF87" s="73">
        <f t="shared" si="29"/>
        <v>34.872199999999992</v>
      </c>
    </row>
    <row r="88" spans="1:32" x14ac:dyDescent="0.25">
      <c r="A88" s="102">
        <v>35</v>
      </c>
      <c r="B88" s="68" t="str">
        <f t="shared" si="17"/>
        <v>0.8, Cultivate  8R-36</v>
      </c>
      <c r="C88" s="103">
        <v>0.8</v>
      </c>
      <c r="D88" s="68" t="s">
        <v>151</v>
      </c>
      <c r="E88" s="68" t="s">
        <v>212</v>
      </c>
      <c r="F88" s="68" t="s">
        <v>160</v>
      </c>
      <c r="G88" s="68" t="str">
        <f t="shared" si="18"/>
        <v>Cultivate  8R-36</v>
      </c>
      <c r="H88" s="85">
        <v>43200</v>
      </c>
      <c r="I88" s="221">
        <v>24</v>
      </c>
      <c r="J88" s="221">
        <v>5</v>
      </c>
      <c r="K88" s="221">
        <v>80</v>
      </c>
      <c r="L88" s="86">
        <f t="shared" si="19"/>
        <v>8.59375E-2</v>
      </c>
      <c r="M88" s="221">
        <v>30</v>
      </c>
      <c r="N88" s="221">
        <v>40</v>
      </c>
      <c r="O88" s="221">
        <v>10</v>
      </c>
      <c r="P88" s="221">
        <v>150</v>
      </c>
      <c r="Q88" s="221">
        <v>0</v>
      </c>
      <c r="R88" s="104">
        <f t="shared" si="20"/>
        <v>1500</v>
      </c>
      <c r="S88" s="104">
        <v>1</v>
      </c>
      <c r="T88" s="104">
        <v>0.27</v>
      </c>
      <c r="U88" s="104">
        <v>1.4</v>
      </c>
      <c r="V88" s="219">
        <f t="shared" si="21"/>
        <v>819.17232881128427</v>
      </c>
      <c r="W88" s="106">
        <f t="shared" si="22"/>
        <v>5.461148858741895</v>
      </c>
      <c r="X88" s="107">
        <f t="shared" si="23"/>
        <v>1728</v>
      </c>
      <c r="Y88" s="108">
        <f t="shared" si="24"/>
        <v>11.52</v>
      </c>
      <c r="Z88" s="88">
        <f t="shared" si="25"/>
        <v>12960</v>
      </c>
      <c r="AA88" s="88">
        <f t="shared" si="26"/>
        <v>3024</v>
      </c>
      <c r="AB88" s="88">
        <f t="shared" si="27"/>
        <v>28080</v>
      </c>
      <c r="AC88" s="109">
        <f t="shared" si="15"/>
        <v>2527.1999999999998</v>
      </c>
      <c r="AD88" s="109">
        <f t="shared" si="16"/>
        <v>673.92</v>
      </c>
      <c r="AE88" s="109">
        <f t="shared" si="28"/>
        <v>6225.12</v>
      </c>
      <c r="AF88" s="73">
        <f t="shared" si="29"/>
        <v>41.500799999999998</v>
      </c>
    </row>
    <row r="89" spans="1:32" x14ac:dyDescent="0.25">
      <c r="A89" s="102">
        <v>36</v>
      </c>
      <c r="B89" s="68" t="str">
        <f t="shared" si="17"/>
        <v>0.81, Cultivate 10R-30</v>
      </c>
      <c r="C89" s="103">
        <v>0.81</v>
      </c>
      <c r="D89" s="68" t="s">
        <v>151</v>
      </c>
      <c r="E89" s="68" t="s">
        <v>212</v>
      </c>
      <c r="F89" s="68" t="s">
        <v>170</v>
      </c>
      <c r="G89" s="68" t="str">
        <f t="shared" si="18"/>
        <v>Cultivate 10R-30</v>
      </c>
      <c r="H89" s="85">
        <v>35000</v>
      </c>
      <c r="I89" s="221">
        <v>25</v>
      </c>
      <c r="J89" s="221">
        <v>5</v>
      </c>
      <c r="K89" s="221">
        <v>80</v>
      </c>
      <c r="L89" s="86">
        <f t="shared" si="19"/>
        <v>8.2500000000000004E-2</v>
      </c>
      <c r="M89" s="221">
        <v>30</v>
      </c>
      <c r="N89" s="221">
        <v>40</v>
      </c>
      <c r="O89" s="221">
        <v>10</v>
      </c>
      <c r="P89" s="221">
        <v>150</v>
      </c>
      <c r="Q89" s="221">
        <v>0</v>
      </c>
      <c r="R89" s="104">
        <f t="shared" si="20"/>
        <v>1500</v>
      </c>
      <c r="S89" s="104">
        <v>1</v>
      </c>
      <c r="T89" s="104">
        <v>0.27</v>
      </c>
      <c r="U89" s="104">
        <v>1.4</v>
      </c>
      <c r="V89" s="219">
        <f t="shared" si="21"/>
        <v>663.68128491654977</v>
      </c>
      <c r="W89" s="106">
        <f t="shared" si="22"/>
        <v>4.4245418994436649</v>
      </c>
      <c r="X89" s="107">
        <f t="shared" si="23"/>
        <v>1400</v>
      </c>
      <c r="Y89" s="108">
        <f t="shared" si="24"/>
        <v>9.3333333333333339</v>
      </c>
      <c r="Z89" s="88">
        <f t="shared" si="25"/>
        <v>10500</v>
      </c>
      <c r="AA89" s="88">
        <f t="shared" si="26"/>
        <v>2450</v>
      </c>
      <c r="AB89" s="88">
        <f t="shared" si="27"/>
        <v>22750</v>
      </c>
      <c r="AC89" s="109">
        <f t="shared" si="15"/>
        <v>2047.5</v>
      </c>
      <c r="AD89" s="109">
        <f t="shared" si="16"/>
        <v>546</v>
      </c>
      <c r="AE89" s="109">
        <f t="shared" si="28"/>
        <v>5043.5</v>
      </c>
      <c r="AF89" s="73">
        <f t="shared" si="29"/>
        <v>33.623333333333335</v>
      </c>
    </row>
    <row r="90" spans="1:32" x14ac:dyDescent="0.25">
      <c r="A90" s="102">
        <v>508</v>
      </c>
      <c r="B90" s="68" t="str">
        <f t="shared" si="17"/>
        <v>0.82, Cultivate 12R-30</v>
      </c>
      <c r="C90" s="103">
        <v>0.82</v>
      </c>
      <c r="D90" s="68" t="s">
        <v>151</v>
      </c>
      <c r="E90" s="68" t="s">
        <v>212</v>
      </c>
      <c r="F90" s="68" t="s">
        <v>156</v>
      </c>
      <c r="G90" s="68" t="str">
        <f t="shared" si="18"/>
        <v>Cultivate 12R-30</v>
      </c>
      <c r="H90" s="85">
        <v>62000</v>
      </c>
      <c r="I90" s="221">
        <v>30</v>
      </c>
      <c r="J90" s="221">
        <v>5</v>
      </c>
      <c r="K90" s="221">
        <v>80</v>
      </c>
      <c r="L90" s="86">
        <f t="shared" si="19"/>
        <v>6.8750000000000006E-2</v>
      </c>
      <c r="M90" s="221">
        <v>30</v>
      </c>
      <c r="N90" s="221">
        <v>40</v>
      </c>
      <c r="O90" s="221">
        <v>10</v>
      </c>
      <c r="P90" s="221">
        <v>150</v>
      </c>
      <c r="Q90" s="221">
        <v>0</v>
      </c>
      <c r="R90" s="104">
        <f t="shared" si="20"/>
        <v>1500</v>
      </c>
      <c r="S90" s="104">
        <v>1</v>
      </c>
      <c r="T90" s="104">
        <v>0.27</v>
      </c>
      <c r="U90" s="104">
        <v>1.4</v>
      </c>
      <c r="V90" s="219">
        <f t="shared" si="21"/>
        <v>1175.6639904236024</v>
      </c>
      <c r="W90" s="106">
        <f t="shared" si="22"/>
        <v>7.8377599361573491</v>
      </c>
      <c r="X90" s="107">
        <f t="shared" si="23"/>
        <v>2480</v>
      </c>
      <c r="Y90" s="108">
        <f t="shared" si="24"/>
        <v>16.533333333333335</v>
      </c>
      <c r="Z90" s="88">
        <f t="shared" si="25"/>
        <v>18600</v>
      </c>
      <c r="AA90" s="88">
        <f t="shared" si="26"/>
        <v>4340</v>
      </c>
      <c r="AB90" s="88">
        <f t="shared" si="27"/>
        <v>40300</v>
      </c>
      <c r="AC90" s="109">
        <f t="shared" si="15"/>
        <v>3627</v>
      </c>
      <c r="AD90" s="109">
        <f t="shared" si="16"/>
        <v>967.2</v>
      </c>
      <c r="AE90" s="109">
        <f t="shared" si="28"/>
        <v>8934.2000000000007</v>
      </c>
      <c r="AF90" s="73">
        <f t="shared" si="29"/>
        <v>59.561333333333337</v>
      </c>
    </row>
    <row r="91" spans="1:32" x14ac:dyDescent="0.25">
      <c r="A91" s="102">
        <v>235</v>
      </c>
      <c r="B91" s="68" t="str">
        <f t="shared" si="17"/>
        <v>0.83, Cultivate  8R-36 2x1</v>
      </c>
      <c r="C91" s="103">
        <v>0.83</v>
      </c>
      <c r="D91" s="68" t="s">
        <v>151</v>
      </c>
      <c r="E91" s="68" t="s">
        <v>212</v>
      </c>
      <c r="F91" s="68" t="s">
        <v>157</v>
      </c>
      <c r="G91" s="68" t="str">
        <f t="shared" si="18"/>
        <v>Cultivate  8R-36 2x1</v>
      </c>
      <c r="H91" s="85">
        <v>60200</v>
      </c>
      <c r="I91" s="221">
        <v>36</v>
      </c>
      <c r="J91" s="221">
        <v>5</v>
      </c>
      <c r="K91" s="221">
        <v>80</v>
      </c>
      <c r="L91" s="86">
        <f t="shared" si="19"/>
        <v>5.7291666666666671E-2</v>
      </c>
      <c r="M91" s="221">
        <v>30</v>
      </c>
      <c r="N91" s="221">
        <v>40</v>
      </c>
      <c r="O91" s="221">
        <v>10</v>
      </c>
      <c r="P91" s="221">
        <v>150</v>
      </c>
      <c r="Q91" s="221">
        <v>0</v>
      </c>
      <c r="R91" s="104">
        <f t="shared" si="20"/>
        <v>1500</v>
      </c>
      <c r="S91" s="104">
        <v>1</v>
      </c>
      <c r="T91" s="104">
        <v>0.27</v>
      </c>
      <c r="U91" s="104">
        <v>1.4</v>
      </c>
      <c r="V91" s="219">
        <f t="shared" si="21"/>
        <v>1141.5318100564657</v>
      </c>
      <c r="W91" s="106">
        <f t="shared" si="22"/>
        <v>7.610212067043105</v>
      </c>
      <c r="X91" s="107">
        <f t="shared" si="23"/>
        <v>2408</v>
      </c>
      <c r="Y91" s="108">
        <f t="shared" si="24"/>
        <v>16.053333333333335</v>
      </c>
      <c r="Z91" s="88">
        <f t="shared" si="25"/>
        <v>18060</v>
      </c>
      <c r="AA91" s="88">
        <f t="shared" si="26"/>
        <v>4214</v>
      </c>
      <c r="AB91" s="88">
        <f t="shared" si="27"/>
        <v>39130</v>
      </c>
      <c r="AC91" s="109">
        <f t="shared" si="15"/>
        <v>3521.7</v>
      </c>
      <c r="AD91" s="109">
        <f t="shared" si="16"/>
        <v>939.12</v>
      </c>
      <c r="AE91" s="109">
        <f t="shared" si="28"/>
        <v>8674.82</v>
      </c>
      <c r="AF91" s="73">
        <f t="shared" si="29"/>
        <v>57.832133333333331</v>
      </c>
    </row>
    <row r="92" spans="1:32" x14ac:dyDescent="0.25">
      <c r="A92" s="102">
        <v>236</v>
      </c>
      <c r="B92" s="68" t="str">
        <f t="shared" si="17"/>
        <v>0.84, Cultivate 12R-36</v>
      </c>
      <c r="C92" s="103">
        <v>0.84</v>
      </c>
      <c r="D92" s="68" t="s">
        <v>151</v>
      </c>
      <c r="E92" s="68" t="s">
        <v>212</v>
      </c>
      <c r="F92" s="68" t="s">
        <v>158</v>
      </c>
      <c r="G92" s="68" t="str">
        <f t="shared" si="18"/>
        <v>Cultivate 12R-36</v>
      </c>
      <c r="H92" s="85">
        <v>60200</v>
      </c>
      <c r="I92" s="221">
        <v>36</v>
      </c>
      <c r="J92" s="221">
        <v>5</v>
      </c>
      <c r="K92" s="221">
        <v>80</v>
      </c>
      <c r="L92" s="86">
        <f t="shared" si="19"/>
        <v>5.7291666666666671E-2</v>
      </c>
      <c r="M92" s="221">
        <v>30</v>
      </c>
      <c r="N92" s="221">
        <v>40</v>
      </c>
      <c r="O92" s="221">
        <v>10</v>
      </c>
      <c r="P92" s="221">
        <v>150</v>
      </c>
      <c r="Q92" s="221">
        <v>0</v>
      </c>
      <c r="R92" s="104">
        <f t="shared" si="20"/>
        <v>1500</v>
      </c>
      <c r="S92" s="104">
        <v>1</v>
      </c>
      <c r="T92" s="104">
        <v>0.27</v>
      </c>
      <c r="U92" s="104">
        <v>1.4</v>
      </c>
      <c r="V92" s="219">
        <f t="shared" si="21"/>
        <v>1141.5318100564657</v>
      </c>
      <c r="W92" s="106">
        <f t="shared" si="22"/>
        <v>7.610212067043105</v>
      </c>
      <c r="X92" s="107">
        <f t="shared" si="23"/>
        <v>2408</v>
      </c>
      <c r="Y92" s="108">
        <f t="shared" si="24"/>
        <v>16.053333333333335</v>
      </c>
      <c r="Z92" s="88">
        <f t="shared" si="25"/>
        <v>18060</v>
      </c>
      <c r="AA92" s="88">
        <f t="shared" si="26"/>
        <v>4214</v>
      </c>
      <c r="AB92" s="88">
        <f t="shared" si="27"/>
        <v>39130</v>
      </c>
      <c r="AC92" s="109">
        <f t="shared" si="15"/>
        <v>3521.7</v>
      </c>
      <c r="AD92" s="109">
        <f t="shared" si="16"/>
        <v>939.12</v>
      </c>
      <c r="AE92" s="109">
        <f t="shared" si="28"/>
        <v>8674.82</v>
      </c>
      <c r="AF92" s="73">
        <f t="shared" si="29"/>
        <v>57.832133333333331</v>
      </c>
    </row>
    <row r="93" spans="1:32" x14ac:dyDescent="0.25">
      <c r="A93" s="102">
        <v>580</v>
      </c>
      <c r="B93" s="68" t="str">
        <f t="shared" si="17"/>
        <v>0.85, Cultivate 16R-30</v>
      </c>
      <c r="C93" s="103">
        <v>0.85</v>
      </c>
      <c r="D93" s="68" t="s">
        <v>151</v>
      </c>
      <c r="E93" s="68" t="s">
        <v>212</v>
      </c>
      <c r="F93" s="68" t="s">
        <v>167</v>
      </c>
      <c r="G93" s="68" t="str">
        <f t="shared" si="18"/>
        <v>Cultivate 16R-30</v>
      </c>
      <c r="H93" s="85">
        <v>83400</v>
      </c>
      <c r="I93" s="221">
        <v>40</v>
      </c>
      <c r="J93" s="221">
        <v>5</v>
      </c>
      <c r="K93" s="221">
        <v>80</v>
      </c>
      <c r="L93" s="86">
        <f t="shared" si="19"/>
        <v>5.1562499999999997E-2</v>
      </c>
      <c r="M93" s="221">
        <v>30</v>
      </c>
      <c r="N93" s="221">
        <v>40</v>
      </c>
      <c r="O93" s="221">
        <v>10</v>
      </c>
      <c r="P93" s="221">
        <v>150</v>
      </c>
      <c r="Q93" s="221">
        <v>0</v>
      </c>
      <c r="R93" s="104">
        <f t="shared" si="20"/>
        <v>1500</v>
      </c>
      <c r="S93" s="104">
        <v>1</v>
      </c>
      <c r="T93" s="104">
        <v>0.27</v>
      </c>
      <c r="U93" s="104">
        <v>1.4</v>
      </c>
      <c r="V93" s="219">
        <f t="shared" si="21"/>
        <v>1581.457690344007</v>
      </c>
      <c r="W93" s="106">
        <f t="shared" si="22"/>
        <v>10.543051268960047</v>
      </c>
      <c r="X93" s="107">
        <f t="shared" si="23"/>
        <v>3336</v>
      </c>
      <c r="Y93" s="108">
        <f t="shared" si="24"/>
        <v>22.24</v>
      </c>
      <c r="Z93" s="88">
        <f t="shared" si="25"/>
        <v>25020</v>
      </c>
      <c r="AA93" s="88">
        <f t="shared" si="26"/>
        <v>5838</v>
      </c>
      <c r="AB93" s="88">
        <f t="shared" si="27"/>
        <v>54210</v>
      </c>
      <c r="AC93" s="109">
        <f t="shared" si="15"/>
        <v>4878.8999999999996</v>
      </c>
      <c r="AD93" s="109">
        <f t="shared" si="16"/>
        <v>1301.04</v>
      </c>
      <c r="AE93" s="109">
        <f t="shared" si="28"/>
        <v>12017.939999999999</v>
      </c>
      <c r="AF93" s="73">
        <f t="shared" si="29"/>
        <v>80.119599999999991</v>
      </c>
    </row>
    <row r="94" spans="1:32" x14ac:dyDescent="0.25">
      <c r="A94" s="102">
        <v>578</v>
      </c>
      <c r="B94" s="68" t="str">
        <f t="shared" si="17"/>
        <v>0.86, Cultivate &amp; Post  4R-30</v>
      </c>
      <c r="C94" s="103">
        <v>0.86</v>
      </c>
      <c r="D94" s="68" t="s">
        <v>151</v>
      </c>
      <c r="E94" s="68" t="s">
        <v>214</v>
      </c>
      <c r="F94" s="68" t="s">
        <v>172</v>
      </c>
      <c r="G94" s="68" t="str">
        <f t="shared" si="18"/>
        <v>Cultivate &amp; Post  4R-30</v>
      </c>
      <c r="H94" s="85">
        <v>27300</v>
      </c>
      <c r="I94" s="221">
        <v>10</v>
      </c>
      <c r="J94" s="221">
        <v>5</v>
      </c>
      <c r="K94" s="221">
        <v>75</v>
      </c>
      <c r="L94" s="86">
        <f t="shared" si="19"/>
        <v>0.21999999999999997</v>
      </c>
      <c r="M94" s="221">
        <v>30</v>
      </c>
      <c r="N94" s="221">
        <v>40</v>
      </c>
      <c r="O94" s="221">
        <v>10</v>
      </c>
      <c r="P94" s="221">
        <v>150</v>
      </c>
      <c r="Q94" s="221">
        <v>0</v>
      </c>
      <c r="R94" s="104">
        <f t="shared" si="20"/>
        <v>1500</v>
      </c>
      <c r="S94" s="104">
        <v>1</v>
      </c>
      <c r="T94" s="104">
        <v>0.27</v>
      </c>
      <c r="U94" s="104">
        <v>1.4</v>
      </c>
      <c r="V94" s="219">
        <f t="shared" si="21"/>
        <v>517.6714022349089</v>
      </c>
      <c r="W94" s="106">
        <f t="shared" si="22"/>
        <v>3.4511426815660595</v>
      </c>
      <c r="X94" s="107">
        <f t="shared" si="23"/>
        <v>1092</v>
      </c>
      <c r="Y94" s="108">
        <f t="shared" si="24"/>
        <v>7.28</v>
      </c>
      <c r="Z94" s="88">
        <f t="shared" si="25"/>
        <v>8190</v>
      </c>
      <c r="AA94" s="88">
        <f t="shared" si="26"/>
        <v>1911</v>
      </c>
      <c r="AB94" s="88">
        <f t="shared" si="27"/>
        <v>17745</v>
      </c>
      <c r="AC94" s="109">
        <f t="shared" si="15"/>
        <v>1597.05</v>
      </c>
      <c r="AD94" s="109">
        <f t="shared" si="16"/>
        <v>425.88</v>
      </c>
      <c r="AE94" s="109">
        <f t="shared" si="28"/>
        <v>3933.9300000000003</v>
      </c>
      <c r="AF94" s="73">
        <f t="shared" si="29"/>
        <v>26.226200000000002</v>
      </c>
    </row>
    <row r="95" spans="1:32" x14ac:dyDescent="0.25">
      <c r="A95" s="102">
        <v>15</v>
      </c>
      <c r="B95" s="68" t="str">
        <f t="shared" si="17"/>
        <v>0.87, Cultivate &amp; Post  4R-36</v>
      </c>
      <c r="C95" s="103">
        <v>0.87</v>
      </c>
      <c r="D95" s="68" t="s">
        <v>151</v>
      </c>
      <c r="E95" s="68" t="s">
        <v>214</v>
      </c>
      <c r="F95" s="68" t="s">
        <v>153</v>
      </c>
      <c r="G95" s="68" t="str">
        <f t="shared" si="18"/>
        <v>Cultivate &amp; Post  4R-36</v>
      </c>
      <c r="H95" s="85">
        <v>27300</v>
      </c>
      <c r="I95" s="221">
        <v>12</v>
      </c>
      <c r="J95" s="221">
        <v>5</v>
      </c>
      <c r="K95" s="221">
        <v>75</v>
      </c>
      <c r="L95" s="86">
        <f t="shared" si="19"/>
        <v>0.18333333333333335</v>
      </c>
      <c r="M95" s="221">
        <v>30</v>
      </c>
      <c r="N95" s="221">
        <v>40</v>
      </c>
      <c r="O95" s="221">
        <v>10</v>
      </c>
      <c r="P95" s="221">
        <v>150</v>
      </c>
      <c r="Q95" s="221">
        <v>0</v>
      </c>
      <c r="R95" s="104">
        <f t="shared" si="20"/>
        <v>1500</v>
      </c>
      <c r="S95" s="104">
        <v>1</v>
      </c>
      <c r="T95" s="104">
        <v>0.27</v>
      </c>
      <c r="U95" s="104">
        <v>1.4</v>
      </c>
      <c r="V95" s="219">
        <f t="shared" si="21"/>
        <v>517.6714022349089</v>
      </c>
      <c r="W95" s="106">
        <f t="shared" si="22"/>
        <v>3.4511426815660595</v>
      </c>
      <c r="X95" s="107">
        <f t="shared" si="23"/>
        <v>1092</v>
      </c>
      <c r="Y95" s="108">
        <f t="shared" si="24"/>
        <v>7.28</v>
      </c>
      <c r="Z95" s="88">
        <f t="shared" si="25"/>
        <v>8190</v>
      </c>
      <c r="AA95" s="88">
        <f t="shared" si="26"/>
        <v>1911</v>
      </c>
      <c r="AB95" s="88">
        <f t="shared" si="27"/>
        <v>17745</v>
      </c>
      <c r="AC95" s="109">
        <f t="shared" si="15"/>
        <v>1597.05</v>
      </c>
      <c r="AD95" s="109">
        <f t="shared" si="16"/>
        <v>425.88</v>
      </c>
      <c r="AE95" s="109">
        <f t="shared" si="28"/>
        <v>3933.9300000000003</v>
      </c>
      <c r="AF95" s="73">
        <f t="shared" si="29"/>
        <v>26.226200000000002</v>
      </c>
    </row>
    <row r="96" spans="1:32" x14ac:dyDescent="0.25">
      <c r="A96" s="102">
        <v>16</v>
      </c>
      <c r="B96" s="68" t="str">
        <f t="shared" si="17"/>
        <v>0.88, Cultivate &amp; Post  6R-30</v>
      </c>
      <c r="C96" s="103">
        <v>0.88</v>
      </c>
      <c r="D96" s="68" t="s">
        <v>151</v>
      </c>
      <c r="E96" s="68" t="s">
        <v>214</v>
      </c>
      <c r="F96" s="68" t="s">
        <v>213</v>
      </c>
      <c r="G96" s="68" t="str">
        <f t="shared" si="18"/>
        <v>Cultivate &amp; Post  6R-30</v>
      </c>
      <c r="H96" s="85">
        <v>33900</v>
      </c>
      <c r="I96" s="221">
        <v>15</v>
      </c>
      <c r="J96" s="221">
        <v>5</v>
      </c>
      <c r="K96" s="221">
        <v>75</v>
      </c>
      <c r="L96" s="86">
        <f t="shared" si="19"/>
        <v>0.14666666666666667</v>
      </c>
      <c r="M96" s="221">
        <v>30</v>
      </c>
      <c r="N96" s="221">
        <v>40</v>
      </c>
      <c r="O96" s="221">
        <v>10</v>
      </c>
      <c r="P96" s="221">
        <v>150</v>
      </c>
      <c r="Q96" s="221">
        <v>0</v>
      </c>
      <c r="R96" s="104">
        <f t="shared" si="20"/>
        <v>1500</v>
      </c>
      <c r="S96" s="104">
        <v>1</v>
      </c>
      <c r="T96" s="104">
        <v>0.27</v>
      </c>
      <c r="U96" s="104">
        <v>1.4</v>
      </c>
      <c r="V96" s="219">
        <f t="shared" si="21"/>
        <v>642.82273024774383</v>
      </c>
      <c r="W96" s="106">
        <f t="shared" si="22"/>
        <v>4.2854848683182922</v>
      </c>
      <c r="X96" s="107">
        <f t="shared" si="23"/>
        <v>1356</v>
      </c>
      <c r="Y96" s="108">
        <f t="shared" si="24"/>
        <v>9.0399999999999991</v>
      </c>
      <c r="Z96" s="88">
        <f t="shared" si="25"/>
        <v>10170</v>
      </c>
      <c r="AA96" s="88">
        <f t="shared" si="26"/>
        <v>2373</v>
      </c>
      <c r="AB96" s="88">
        <f t="shared" si="27"/>
        <v>22035</v>
      </c>
      <c r="AC96" s="109">
        <f t="shared" si="15"/>
        <v>1983.1499999999999</v>
      </c>
      <c r="AD96" s="109">
        <f t="shared" si="16"/>
        <v>528.84</v>
      </c>
      <c r="AE96" s="109">
        <f t="shared" si="28"/>
        <v>4884.99</v>
      </c>
      <c r="AF96" s="73">
        <f t="shared" si="29"/>
        <v>32.566600000000001</v>
      </c>
    </row>
    <row r="97" spans="1:32" x14ac:dyDescent="0.25">
      <c r="A97" s="102">
        <v>17</v>
      </c>
      <c r="B97" s="68" t="str">
        <f t="shared" si="17"/>
        <v>0.89, Cultivate &amp; Post  6R-36</v>
      </c>
      <c r="C97" s="103">
        <v>0.89</v>
      </c>
      <c r="D97" s="68" t="s">
        <v>151</v>
      </c>
      <c r="E97" s="68" t="s">
        <v>214</v>
      </c>
      <c r="F97" s="68" t="s">
        <v>154</v>
      </c>
      <c r="G97" s="68" t="str">
        <f t="shared" si="18"/>
        <v>Cultivate &amp; Post  6R-36</v>
      </c>
      <c r="H97" s="85">
        <v>33800</v>
      </c>
      <c r="I97" s="221">
        <v>18</v>
      </c>
      <c r="J97" s="221">
        <v>5</v>
      </c>
      <c r="K97" s="221">
        <v>75</v>
      </c>
      <c r="L97" s="86">
        <f t="shared" si="19"/>
        <v>0.12222222222222222</v>
      </c>
      <c r="M97" s="221">
        <v>30</v>
      </c>
      <c r="N97" s="221">
        <v>40</v>
      </c>
      <c r="O97" s="221">
        <v>10</v>
      </c>
      <c r="P97" s="221">
        <v>150</v>
      </c>
      <c r="Q97" s="221">
        <v>0</v>
      </c>
      <c r="R97" s="104">
        <f t="shared" si="20"/>
        <v>1500</v>
      </c>
      <c r="S97" s="104">
        <v>1</v>
      </c>
      <c r="T97" s="104">
        <v>0.27</v>
      </c>
      <c r="U97" s="104">
        <v>1.4</v>
      </c>
      <c r="V97" s="219">
        <f t="shared" si="21"/>
        <v>640.92649800512515</v>
      </c>
      <c r="W97" s="106">
        <f t="shared" si="22"/>
        <v>4.272843320034168</v>
      </c>
      <c r="X97" s="107">
        <f t="shared" si="23"/>
        <v>1352</v>
      </c>
      <c r="Y97" s="108">
        <f t="shared" si="24"/>
        <v>9.0133333333333336</v>
      </c>
      <c r="Z97" s="88">
        <f t="shared" si="25"/>
        <v>10140</v>
      </c>
      <c r="AA97" s="88">
        <f t="shared" si="26"/>
        <v>2366</v>
      </c>
      <c r="AB97" s="88">
        <f t="shared" si="27"/>
        <v>21970</v>
      </c>
      <c r="AC97" s="109">
        <f t="shared" si="15"/>
        <v>1977.3</v>
      </c>
      <c r="AD97" s="109">
        <f t="shared" si="16"/>
        <v>527.28</v>
      </c>
      <c r="AE97" s="109">
        <f t="shared" si="28"/>
        <v>4870.58</v>
      </c>
      <c r="AF97" s="73">
        <f t="shared" si="29"/>
        <v>32.470533333333336</v>
      </c>
    </row>
    <row r="98" spans="1:32" x14ac:dyDescent="0.25">
      <c r="A98" s="102">
        <v>18</v>
      </c>
      <c r="B98" s="68" t="str">
        <f t="shared" si="17"/>
        <v>0.9, Cultivate &amp; Post  8R-30</v>
      </c>
      <c r="C98" s="103">
        <v>0.9</v>
      </c>
      <c r="D98" s="68" t="s">
        <v>151</v>
      </c>
      <c r="E98" s="68" t="s">
        <v>214</v>
      </c>
      <c r="F98" s="68" t="s">
        <v>155</v>
      </c>
      <c r="G98" s="68" t="str">
        <f t="shared" si="18"/>
        <v>Cultivate &amp; Post  8R-30</v>
      </c>
      <c r="H98" s="85">
        <v>44100</v>
      </c>
      <c r="I98" s="221">
        <v>20</v>
      </c>
      <c r="J98" s="221">
        <v>5</v>
      </c>
      <c r="K98" s="221">
        <v>75</v>
      </c>
      <c r="L98" s="86">
        <f t="shared" si="19"/>
        <v>0.10999999999999999</v>
      </c>
      <c r="M98" s="221">
        <v>30</v>
      </c>
      <c r="N98" s="221">
        <v>40</v>
      </c>
      <c r="O98" s="221">
        <v>10</v>
      </c>
      <c r="P98" s="221">
        <v>150</v>
      </c>
      <c r="Q98" s="221">
        <v>0</v>
      </c>
      <c r="R98" s="104">
        <f t="shared" si="20"/>
        <v>1500</v>
      </c>
      <c r="S98" s="104">
        <v>1</v>
      </c>
      <c r="T98" s="104">
        <v>0.27</v>
      </c>
      <c r="U98" s="104">
        <v>1.4</v>
      </c>
      <c r="V98" s="219">
        <f t="shared" si="21"/>
        <v>836.23841899485262</v>
      </c>
      <c r="W98" s="106">
        <f t="shared" si="22"/>
        <v>5.5749227932990175</v>
      </c>
      <c r="X98" s="107">
        <f t="shared" si="23"/>
        <v>1764</v>
      </c>
      <c r="Y98" s="108">
        <f t="shared" si="24"/>
        <v>11.76</v>
      </c>
      <c r="Z98" s="88">
        <f t="shared" si="25"/>
        <v>13230</v>
      </c>
      <c r="AA98" s="88">
        <f t="shared" si="26"/>
        <v>3087</v>
      </c>
      <c r="AB98" s="88">
        <f t="shared" si="27"/>
        <v>28665</v>
      </c>
      <c r="AC98" s="109">
        <f t="shared" si="15"/>
        <v>2579.85</v>
      </c>
      <c r="AD98" s="109">
        <f t="shared" si="16"/>
        <v>687.96</v>
      </c>
      <c r="AE98" s="109">
        <f t="shared" si="28"/>
        <v>6354.81</v>
      </c>
      <c r="AF98" s="73">
        <f t="shared" si="29"/>
        <v>42.365400000000001</v>
      </c>
    </row>
    <row r="99" spans="1:32" x14ac:dyDescent="0.25">
      <c r="A99" s="102">
        <v>19</v>
      </c>
      <c r="B99" s="68" t="str">
        <f t="shared" si="17"/>
        <v>0.91, Cultivate &amp; Post  8R-36</v>
      </c>
      <c r="C99" s="103">
        <v>0.91</v>
      </c>
      <c r="D99" s="68" t="s">
        <v>151</v>
      </c>
      <c r="E99" s="68" t="s">
        <v>214</v>
      </c>
      <c r="F99" s="68" t="s">
        <v>160</v>
      </c>
      <c r="G99" s="68" t="str">
        <f t="shared" si="18"/>
        <v>Cultivate &amp; Post  8R-36</v>
      </c>
      <c r="H99" s="85">
        <v>49100</v>
      </c>
      <c r="I99" s="221">
        <v>24</v>
      </c>
      <c r="J99" s="221">
        <v>5</v>
      </c>
      <c r="K99" s="221">
        <v>75</v>
      </c>
      <c r="L99" s="86">
        <f t="shared" si="19"/>
        <v>9.1666666666666674E-2</v>
      </c>
      <c r="M99" s="221">
        <v>30</v>
      </c>
      <c r="N99" s="221">
        <v>40</v>
      </c>
      <c r="O99" s="221">
        <v>10</v>
      </c>
      <c r="P99" s="221">
        <v>150</v>
      </c>
      <c r="Q99" s="221">
        <v>0</v>
      </c>
      <c r="R99" s="104">
        <f t="shared" si="20"/>
        <v>1500</v>
      </c>
      <c r="S99" s="104">
        <v>1</v>
      </c>
      <c r="T99" s="104">
        <v>0.27</v>
      </c>
      <c r="U99" s="104">
        <v>1.4</v>
      </c>
      <c r="V99" s="219">
        <f t="shared" si="21"/>
        <v>931.05003112578834</v>
      </c>
      <c r="W99" s="106">
        <f t="shared" si="22"/>
        <v>6.2070002075052555</v>
      </c>
      <c r="X99" s="107">
        <f t="shared" si="23"/>
        <v>1964</v>
      </c>
      <c r="Y99" s="108">
        <f t="shared" si="24"/>
        <v>13.093333333333334</v>
      </c>
      <c r="Z99" s="88">
        <f t="shared" si="25"/>
        <v>14730</v>
      </c>
      <c r="AA99" s="88">
        <f t="shared" si="26"/>
        <v>3437</v>
      </c>
      <c r="AB99" s="88">
        <f t="shared" si="27"/>
        <v>31915</v>
      </c>
      <c r="AC99" s="109">
        <f t="shared" si="15"/>
        <v>2872.35</v>
      </c>
      <c r="AD99" s="109">
        <f t="shared" si="16"/>
        <v>765.96</v>
      </c>
      <c r="AE99" s="109">
        <f t="shared" si="28"/>
        <v>7075.31</v>
      </c>
      <c r="AF99" s="73">
        <f t="shared" si="29"/>
        <v>47.168733333333336</v>
      </c>
    </row>
    <row r="100" spans="1:32" x14ac:dyDescent="0.25">
      <c r="A100" s="102">
        <v>20</v>
      </c>
      <c r="B100" s="68" t="str">
        <f t="shared" si="17"/>
        <v>0.92, Cultivate &amp; Post 10R-30</v>
      </c>
      <c r="C100" s="103">
        <v>0.92</v>
      </c>
      <c r="D100" s="68" t="s">
        <v>151</v>
      </c>
      <c r="E100" s="68" t="s">
        <v>214</v>
      </c>
      <c r="F100" s="68" t="s">
        <v>170</v>
      </c>
      <c r="G100" s="68" t="str">
        <f t="shared" si="18"/>
        <v>Cultivate &amp; Post 10R-30</v>
      </c>
      <c r="H100" s="85">
        <v>40000</v>
      </c>
      <c r="I100" s="221">
        <v>25</v>
      </c>
      <c r="J100" s="221">
        <v>5</v>
      </c>
      <c r="K100" s="221">
        <v>75</v>
      </c>
      <c r="L100" s="86">
        <f t="shared" si="19"/>
        <v>8.8000000000000009E-2</v>
      </c>
      <c r="M100" s="221">
        <v>30</v>
      </c>
      <c r="N100" s="221">
        <v>40</v>
      </c>
      <c r="O100" s="221">
        <v>10</v>
      </c>
      <c r="P100" s="221">
        <v>150</v>
      </c>
      <c r="Q100" s="221">
        <v>0</v>
      </c>
      <c r="R100" s="104">
        <f t="shared" si="20"/>
        <v>1500</v>
      </c>
      <c r="S100" s="104">
        <v>1</v>
      </c>
      <c r="T100" s="104">
        <v>0.27</v>
      </c>
      <c r="U100" s="104">
        <v>1.4</v>
      </c>
      <c r="V100" s="219">
        <f t="shared" si="21"/>
        <v>758.49289704748537</v>
      </c>
      <c r="W100" s="106">
        <f t="shared" si="22"/>
        <v>5.0566193136499029</v>
      </c>
      <c r="X100" s="107">
        <f t="shared" si="23"/>
        <v>1600</v>
      </c>
      <c r="Y100" s="108">
        <f t="shared" si="24"/>
        <v>10.666666666666666</v>
      </c>
      <c r="Z100" s="88">
        <f t="shared" si="25"/>
        <v>12000</v>
      </c>
      <c r="AA100" s="88">
        <f t="shared" si="26"/>
        <v>2800</v>
      </c>
      <c r="AB100" s="88">
        <f t="shared" si="27"/>
        <v>26000</v>
      </c>
      <c r="AC100" s="109">
        <f t="shared" si="15"/>
        <v>2340</v>
      </c>
      <c r="AD100" s="109">
        <f t="shared" si="16"/>
        <v>624</v>
      </c>
      <c r="AE100" s="109">
        <f t="shared" si="28"/>
        <v>5764</v>
      </c>
      <c r="AF100" s="73">
        <f t="shared" si="29"/>
        <v>38.426666666666669</v>
      </c>
    </row>
    <row r="101" spans="1:32" x14ac:dyDescent="0.25">
      <c r="A101" s="102">
        <v>310</v>
      </c>
      <c r="B101" s="68" t="str">
        <f t="shared" si="17"/>
        <v>0.93, Cultivate &amp; Post 12R-30</v>
      </c>
      <c r="C101" s="103">
        <v>0.93</v>
      </c>
      <c r="D101" s="68" t="s">
        <v>151</v>
      </c>
      <c r="E101" s="68" t="s">
        <v>214</v>
      </c>
      <c r="F101" s="68" t="s">
        <v>156</v>
      </c>
      <c r="G101" s="68" t="str">
        <f t="shared" si="18"/>
        <v>Cultivate &amp; Post 12R-30</v>
      </c>
      <c r="H101" s="85">
        <v>67800</v>
      </c>
      <c r="I101" s="221">
        <v>30</v>
      </c>
      <c r="J101" s="221">
        <v>5</v>
      </c>
      <c r="K101" s="221">
        <v>75</v>
      </c>
      <c r="L101" s="86">
        <f t="shared" si="19"/>
        <v>7.3333333333333334E-2</v>
      </c>
      <c r="M101" s="221">
        <v>30</v>
      </c>
      <c r="N101" s="221">
        <v>40</v>
      </c>
      <c r="O101" s="221">
        <v>10</v>
      </c>
      <c r="P101" s="221">
        <v>150</v>
      </c>
      <c r="Q101" s="221">
        <v>0</v>
      </c>
      <c r="R101" s="104">
        <f t="shared" si="20"/>
        <v>1500</v>
      </c>
      <c r="S101" s="104">
        <v>1</v>
      </c>
      <c r="T101" s="104">
        <v>0.27</v>
      </c>
      <c r="U101" s="104">
        <v>1.4</v>
      </c>
      <c r="V101" s="219">
        <f t="shared" si="21"/>
        <v>1285.6454604954877</v>
      </c>
      <c r="W101" s="106">
        <f t="shared" si="22"/>
        <v>8.5709697366365845</v>
      </c>
      <c r="X101" s="107">
        <f t="shared" si="23"/>
        <v>2712</v>
      </c>
      <c r="Y101" s="108">
        <f t="shared" si="24"/>
        <v>18.079999999999998</v>
      </c>
      <c r="Z101" s="88">
        <f t="shared" si="25"/>
        <v>20340</v>
      </c>
      <c r="AA101" s="88">
        <f t="shared" si="26"/>
        <v>4746</v>
      </c>
      <c r="AB101" s="88">
        <f t="shared" si="27"/>
        <v>44070</v>
      </c>
      <c r="AC101" s="109">
        <f t="shared" si="15"/>
        <v>3966.2999999999997</v>
      </c>
      <c r="AD101" s="109">
        <f t="shared" si="16"/>
        <v>1057.68</v>
      </c>
      <c r="AE101" s="109">
        <f t="shared" si="28"/>
        <v>9769.98</v>
      </c>
      <c r="AF101" s="73">
        <f t="shared" si="29"/>
        <v>65.133200000000002</v>
      </c>
    </row>
    <row r="102" spans="1:32" x14ac:dyDescent="0.25">
      <c r="A102" s="102">
        <v>231</v>
      </c>
      <c r="B102" s="68" t="str">
        <f t="shared" si="17"/>
        <v>0.94, Cultivate &amp; Post  8R-36 2x1</v>
      </c>
      <c r="C102" s="103">
        <v>0.94</v>
      </c>
      <c r="D102" s="68" t="s">
        <v>151</v>
      </c>
      <c r="E102" s="68" t="s">
        <v>214</v>
      </c>
      <c r="F102" s="68" t="s">
        <v>157</v>
      </c>
      <c r="G102" s="68" t="str">
        <f t="shared" si="18"/>
        <v>Cultivate &amp; Post  8R-36 2x1</v>
      </c>
      <c r="H102" s="85">
        <v>66000</v>
      </c>
      <c r="I102" s="221">
        <v>36</v>
      </c>
      <c r="J102" s="221">
        <v>5</v>
      </c>
      <c r="K102" s="221">
        <v>75</v>
      </c>
      <c r="L102" s="86">
        <f t="shared" si="19"/>
        <v>6.1111111111111109E-2</v>
      </c>
      <c r="M102" s="221">
        <v>30</v>
      </c>
      <c r="N102" s="221">
        <v>40</v>
      </c>
      <c r="O102" s="221">
        <v>10</v>
      </c>
      <c r="P102" s="221">
        <v>150</v>
      </c>
      <c r="Q102" s="221">
        <v>0</v>
      </c>
      <c r="R102" s="104">
        <f t="shared" si="20"/>
        <v>1500</v>
      </c>
      <c r="S102" s="104">
        <v>1</v>
      </c>
      <c r="T102" s="104">
        <v>0.27</v>
      </c>
      <c r="U102" s="104">
        <v>1.4</v>
      </c>
      <c r="V102" s="219">
        <f t="shared" si="21"/>
        <v>1251.513280128351</v>
      </c>
      <c r="W102" s="106">
        <f t="shared" si="22"/>
        <v>8.3434218675223395</v>
      </c>
      <c r="X102" s="107">
        <f t="shared" si="23"/>
        <v>2640</v>
      </c>
      <c r="Y102" s="108">
        <f t="shared" si="24"/>
        <v>17.600000000000001</v>
      </c>
      <c r="Z102" s="88">
        <f t="shared" si="25"/>
        <v>19800</v>
      </c>
      <c r="AA102" s="88">
        <f t="shared" si="26"/>
        <v>4620</v>
      </c>
      <c r="AB102" s="88">
        <f t="shared" si="27"/>
        <v>42900</v>
      </c>
      <c r="AC102" s="109">
        <f t="shared" si="15"/>
        <v>3861</v>
      </c>
      <c r="AD102" s="109">
        <f t="shared" si="16"/>
        <v>1029.5999999999999</v>
      </c>
      <c r="AE102" s="109">
        <f t="shared" si="28"/>
        <v>9510.6</v>
      </c>
      <c r="AF102" s="73">
        <f t="shared" si="29"/>
        <v>63.404000000000003</v>
      </c>
    </row>
    <row r="103" spans="1:32" x14ac:dyDescent="0.25">
      <c r="A103" s="102">
        <v>232</v>
      </c>
      <c r="B103" s="68" t="str">
        <f t="shared" si="17"/>
        <v>0.95, Cultivate &amp; Post 12R-36</v>
      </c>
      <c r="C103" s="103">
        <v>0.95</v>
      </c>
      <c r="D103" s="68" t="s">
        <v>151</v>
      </c>
      <c r="E103" s="68" t="s">
        <v>214</v>
      </c>
      <c r="F103" s="68" t="s">
        <v>158</v>
      </c>
      <c r="G103" s="68" t="str">
        <f t="shared" si="18"/>
        <v>Cultivate &amp; Post 12R-36</v>
      </c>
      <c r="H103" s="85">
        <v>66000</v>
      </c>
      <c r="I103" s="221">
        <v>36</v>
      </c>
      <c r="J103" s="221">
        <v>5</v>
      </c>
      <c r="K103" s="221">
        <v>75</v>
      </c>
      <c r="L103" s="86">
        <f t="shared" si="19"/>
        <v>6.1111111111111109E-2</v>
      </c>
      <c r="M103" s="221">
        <v>30</v>
      </c>
      <c r="N103" s="221">
        <v>40</v>
      </c>
      <c r="O103" s="221">
        <v>10</v>
      </c>
      <c r="P103" s="221">
        <v>150</v>
      </c>
      <c r="Q103" s="221">
        <v>0</v>
      </c>
      <c r="R103" s="104">
        <f t="shared" si="20"/>
        <v>1500</v>
      </c>
      <c r="S103" s="104">
        <v>1</v>
      </c>
      <c r="T103" s="104">
        <v>0.27</v>
      </c>
      <c r="U103" s="104">
        <v>1.4</v>
      </c>
      <c r="V103" s="219">
        <f t="shared" si="21"/>
        <v>1251.513280128351</v>
      </c>
      <c r="W103" s="106">
        <f t="shared" si="22"/>
        <v>8.3434218675223395</v>
      </c>
      <c r="X103" s="107">
        <f t="shared" si="23"/>
        <v>2640</v>
      </c>
      <c r="Y103" s="108">
        <f t="shared" si="24"/>
        <v>17.600000000000001</v>
      </c>
      <c r="Z103" s="88">
        <f t="shared" si="25"/>
        <v>19800</v>
      </c>
      <c r="AA103" s="88">
        <f t="shared" si="26"/>
        <v>4620</v>
      </c>
      <c r="AB103" s="88">
        <f t="shared" si="27"/>
        <v>42900</v>
      </c>
      <c r="AC103" s="109">
        <f t="shared" si="15"/>
        <v>3861</v>
      </c>
      <c r="AD103" s="109">
        <f t="shared" si="16"/>
        <v>1029.5999999999999</v>
      </c>
      <c r="AE103" s="109">
        <f t="shared" si="28"/>
        <v>9510.6</v>
      </c>
      <c r="AF103" s="73">
        <f t="shared" si="29"/>
        <v>63.404000000000003</v>
      </c>
    </row>
    <row r="104" spans="1:32" x14ac:dyDescent="0.25">
      <c r="A104" s="102">
        <v>581</v>
      </c>
      <c r="B104" s="68" t="str">
        <f t="shared" si="17"/>
        <v>0.96, Cultivate &amp; Post 16R-30</v>
      </c>
      <c r="C104" s="103">
        <v>0.96</v>
      </c>
      <c r="D104" s="68" t="s">
        <v>151</v>
      </c>
      <c r="E104" s="68" t="s">
        <v>214</v>
      </c>
      <c r="F104" s="68" t="s">
        <v>167</v>
      </c>
      <c r="G104" s="68" t="str">
        <f t="shared" si="18"/>
        <v>Cultivate &amp; Post 16R-30</v>
      </c>
      <c r="H104" s="85">
        <v>89200</v>
      </c>
      <c r="I104" s="221">
        <v>40</v>
      </c>
      <c r="J104" s="221">
        <v>5</v>
      </c>
      <c r="K104" s="221">
        <v>75</v>
      </c>
      <c r="L104" s="86">
        <f t="shared" si="19"/>
        <v>5.4999999999999993E-2</v>
      </c>
      <c r="M104" s="221">
        <v>30</v>
      </c>
      <c r="N104" s="221">
        <v>40</v>
      </c>
      <c r="O104" s="221">
        <v>10</v>
      </c>
      <c r="P104" s="221">
        <v>150</v>
      </c>
      <c r="Q104" s="221">
        <v>0</v>
      </c>
      <c r="R104" s="104">
        <f t="shared" si="20"/>
        <v>1500</v>
      </c>
      <c r="S104" s="104">
        <v>1</v>
      </c>
      <c r="T104" s="104">
        <v>0.27</v>
      </c>
      <c r="U104" s="104">
        <v>1.4</v>
      </c>
      <c r="V104" s="219">
        <f t="shared" si="21"/>
        <v>1691.4391604158925</v>
      </c>
      <c r="W104" s="106">
        <f t="shared" si="22"/>
        <v>11.276261069439283</v>
      </c>
      <c r="X104" s="107">
        <f t="shared" si="23"/>
        <v>3568</v>
      </c>
      <c r="Y104" s="108">
        <f t="shared" si="24"/>
        <v>23.786666666666665</v>
      </c>
      <c r="Z104" s="88">
        <f t="shared" si="25"/>
        <v>26760</v>
      </c>
      <c r="AA104" s="88">
        <f t="shared" si="26"/>
        <v>6244</v>
      </c>
      <c r="AB104" s="88">
        <f t="shared" si="27"/>
        <v>57980</v>
      </c>
      <c r="AC104" s="109">
        <f t="shared" si="15"/>
        <v>5218.2</v>
      </c>
      <c r="AD104" s="109">
        <f t="shared" si="16"/>
        <v>1391.52</v>
      </c>
      <c r="AE104" s="109">
        <f t="shared" si="28"/>
        <v>12853.720000000001</v>
      </c>
      <c r="AF104" s="73">
        <f t="shared" si="29"/>
        <v>85.69146666666667</v>
      </c>
    </row>
    <row r="105" spans="1:32" x14ac:dyDescent="0.25">
      <c r="A105" s="102">
        <v>322</v>
      </c>
      <c r="B105" s="68" t="str">
        <f t="shared" si="17"/>
        <v>0.97, Cultivate Ridge Till 8R-30</v>
      </c>
      <c r="C105" s="103">
        <v>0.97</v>
      </c>
      <c r="D105" s="68" t="s">
        <v>151</v>
      </c>
      <c r="E105" s="68" t="s">
        <v>215</v>
      </c>
      <c r="F105" s="68" t="s">
        <v>155</v>
      </c>
      <c r="G105" s="68" t="str">
        <f t="shared" si="18"/>
        <v>Cultivate Ridge Till 8R-30</v>
      </c>
      <c r="H105" s="85">
        <v>26000</v>
      </c>
      <c r="I105" s="221">
        <v>20</v>
      </c>
      <c r="J105" s="221">
        <v>5</v>
      </c>
      <c r="K105" s="221">
        <v>80</v>
      </c>
      <c r="L105" s="86">
        <f t="shared" si="19"/>
        <v>0.10312499999999999</v>
      </c>
      <c r="M105" s="221">
        <v>25</v>
      </c>
      <c r="N105" s="221">
        <v>115</v>
      </c>
      <c r="O105" s="221">
        <v>12</v>
      </c>
      <c r="P105" s="221">
        <v>200</v>
      </c>
      <c r="Q105" s="221">
        <v>0</v>
      </c>
      <c r="R105" s="104">
        <f t="shared" si="20"/>
        <v>2400</v>
      </c>
      <c r="S105" s="104">
        <v>1</v>
      </c>
      <c r="T105" s="104">
        <v>0.27</v>
      </c>
      <c r="U105" s="104">
        <v>1.4</v>
      </c>
      <c r="V105" s="219">
        <f t="shared" si="21"/>
        <v>737.52900747657804</v>
      </c>
      <c r="W105" s="106">
        <f t="shared" si="22"/>
        <v>3.6876450373828904</v>
      </c>
      <c r="X105" s="107">
        <f t="shared" si="23"/>
        <v>2491.6666666666665</v>
      </c>
      <c r="Y105" s="108">
        <f t="shared" si="24"/>
        <v>12.458333333333332</v>
      </c>
      <c r="Z105" s="88">
        <f t="shared" si="25"/>
        <v>6500</v>
      </c>
      <c r="AA105" s="88">
        <f t="shared" si="26"/>
        <v>1625</v>
      </c>
      <c r="AB105" s="88">
        <f t="shared" si="27"/>
        <v>16250</v>
      </c>
      <c r="AC105" s="109">
        <f t="shared" si="15"/>
        <v>1462.5</v>
      </c>
      <c r="AD105" s="109">
        <f t="shared" si="16"/>
        <v>390</v>
      </c>
      <c r="AE105" s="109">
        <f t="shared" si="28"/>
        <v>3477.5</v>
      </c>
      <c r="AF105" s="73">
        <f t="shared" si="29"/>
        <v>17.387499999999999</v>
      </c>
    </row>
    <row r="106" spans="1:32" x14ac:dyDescent="0.25">
      <c r="A106" s="102">
        <v>320</v>
      </c>
      <c r="B106" s="68" t="str">
        <f t="shared" si="17"/>
        <v>0.98, Cultivate Ridge Till 12R-30</v>
      </c>
      <c r="C106" s="103">
        <v>0.98</v>
      </c>
      <c r="D106" s="68" t="s">
        <v>151</v>
      </c>
      <c r="E106" s="68" t="s">
        <v>216</v>
      </c>
      <c r="F106" s="68" t="s">
        <v>156</v>
      </c>
      <c r="G106" s="68" t="str">
        <f t="shared" si="18"/>
        <v>Cultivate Ridge Till 12R-30</v>
      </c>
      <c r="H106" s="85">
        <v>38000</v>
      </c>
      <c r="I106" s="221">
        <v>30</v>
      </c>
      <c r="J106" s="221">
        <v>5</v>
      </c>
      <c r="K106" s="221">
        <v>80</v>
      </c>
      <c r="L106" s="86">
        <f t="shared" si="19"/>
        <v>6.8750000000000006E-2</v>
      </c>
      <c r="M106" s="221">
        <v>25</v>
      </c>
      <c r="N106" s="221">
        <v>115</v>
      </c>
      <c r="O106" s="221">
        <v>12</v>
      </c>
      <c r="P106" s="221">
        <v>200</v>
      </c>
      <c r="Q106" s="221">
        <v>0</v>
      </c>
      <c r="R106" s="104">
        <f t="shared" si="20"/>
        <v>2400</v>
      </c>
      <c r="S106" s="104">
        <v>1</v>
      </c>
      <c r="T106" s="104">
        <v>0.27</v>
      </c>
      <c r="U106" s="104">
        <v>1.4</v>
      </c>
      <c r="V106" s="219">
        <f t="shared" si="21"/>
        <v>1077.9270109273061</v>
      </c>
      <c r="W106" s="106">
        <f t="shared" si="22"/>
        <v>5.389635054636531</v>
      </c>
      <c r="X106" s="107">
        <f t="shared" si="23"/>
        <v>3641.6666666666665</v>
      </c>
      <c r="Y106" s="108">
        <f t="shared" si="24"/>
        <v>18.208333333333332</v>
      </c>
      <c r="Z106" s="88">
        <f t="shared" si="25"/>
        <v>9500</v>
      </c>
      <c r="AA106" s="88">
        <f t="shared" si="26"/>
        <v>2375</v>
      </c>
      <c r="AB106" s="88">
        <f t="shared" si="27"/>
        <v>23750</v>
      </c>
      <c r="AC106" s="109">
        <f t="shared" si="15"/>
        <v>2137.5</v>
      </c>
      <c r="AD106" s="109">
        <f t="shared" si="16"/>
        <v>570</v>
      </c>
      <c r="AE106" s="109">
        <f t="shared" si="28"/>
        <v>5082.5</v>
      </c>
      <c r="AF106" s="73">
        <f t="shared" si="29"/>
        <v>25.412500000000001</v>
      </c>
    </row>
    <row r="107" spans="1:32" x14ac:dyDescent="0.25">
      <c r="A107" s="102">
        <v>47</v>
      </c>
      <c r="B107" s="68" t="str">
        <f t="shared" si="17"/>
        <v>0.99, Disk &amp; Incorporate 14'</v>
      </c>
      <c r="C107" s="103">
        <v>0.99</v>
      </c>
      <c r="D107" s="68" t="s">
        <v>151</v>
      </c>
      <c r="E107" s="68" t="s">
        <v>217</v>
      </c>
      <c r="F107" s="68" t="s">
        <v>218</v>
      </c>
      <c r="G107" s="68" t="str">
        <f t="shared" si="18"/>
        <v>Disk &amp; Incorporate 14'</v>
      </c>
      <c r="H107" s="85">
        <v>42100</v>
      </c>
      <c r="I107" s="221">
        <v>14</v>
      </c>
      <c r="J107" s="221">
        <v>5.25</v>
      </c>
      <c r="K107" s="221">
        <v>75</v>
      </c>
      <c r="L107" s="86">
        <f t="shared" si="19"/>
        <v>0.14965986394557823</v>
      </c>
      <c r="M107" s="221">
        <v>30</v>
      </c>
      <c r="N107" s="221">
        <v>60</v>
      </c>
      <c r="O107" s="221">
        <v>10</v>
      </c>
      <c r="P107" s="221">
        <v>200</v>
      </c>
      <c r="Q107" s="221">
        <v>0</v>
      </c>
      <c r="R107" s="104">
        <f t="shared" si="20"/>
        <v>2000</v>
      </c>
      <c r="S107" s="104">
        <v>1</v>
      </c>
      <c r="T107" s="104">
        <v>0.27</v>
      </c>
      <c r="U107" s="104">
        <v>1.4</v>
      </c>
      <c r="V107" s="219">
        <f t="shared" si="21"/>
        <v>1194.2296621063051</v>
      </c>
      <c r="W107" s="106">
        <f t="shared" si="22"/>
        <v>5.9711483105315253</v>
      </c>
      <c r="X107" s="107">
        <f t="shared" si="23"/>
        <v>2526</v>
      </c>
      <c r="Y107" s="108">
        <f t="shared" si="24"/>
        <v>12.63</v>
      </c>
      <c r="Z107" s="88">
        <f t="shared" si="25"/>
        <v>12630</v>
      </c>
      <c r="AA107" s="88">
        <f t="shared" si="26"/>
        <v>2947</v>
      </c>
      <c r="AB107" s="88">
        <f t="shared" si="27"/>
        <v>27365</v>
      </c>
      <c r="AC107" s="109">
        <f t="shared" si="15"/>
        <v>2462.85</v>
      </c>
      <c r="AD107" s="109">
        <f t="shared" si="16"/>
        <v>656.76</v>
      </c>
      <c r="AE107" s="109">
        <f t="shared" si="28"/>
        <v>6066.6100000000006</v>
      </c>
      <c r="AF107" s="73">
        <f t="shared" si="29"/>
        <v>30.333050000000004</v>
      </c>
    </row>
    <row r="108" spans="1:32" x14ac:dyDescent="0.25">
      <c r="A108" s="102">
        <v>744</v>
      </c>
      <c r="B108" s="68" t="str">
        <f t="shared" si="17"/>
        <v>1, Disk &amp; Incorporate 20'</v>
      </c>
      <c r="C108" s="103">
        <v>1</v>
      </c>
      <c r="D108" s="68" t="s">
        <v>151</v>
      </c>
      <c r="E108" s="68" t="s">
        <v>217</v>
      </c>
      <c r="F108" s="68" t="s">
        <v>205</v>
      </c>
      <c r="G108" s="68" t="str">
        <f t="shared" si="18"/>
        <v>Disk &amp; Incorporate 20'</v>
      </c>
      <c r="H108" s="85">
        <v>83300</v>
      </c>
      <c r="I108" s="221">
        <v>20</v>
      </c>
      <c r="J108" s="221">
        <v>5.25</v>
      </c>
      <c r="K108" s="221">
        <v>85</v>
      </c>
      <c r="L108" s="86">
        <f t="shared" si="19"/>
        <v>9.2436974789915971E-2</v>
      </c>
      <c r="M108" s="221">
        <v>30</v>
      </c>
      <c r="N108" s="221">
        <v>60</v>
      </c>
      <c r="O108" s="221">
        <v>10</v>
      </c>
      <c r="P108" s="221">
        <v>180</v>
      </c>
      <c r="Q108" s="221">
        <v>0</v>
      </c>
      <c r="R108" s="104">
        <f t="shared" si="20"/>
        <v>1800</v>
      </c>
      <c r="S108" s="104">
        <v>1</v>
      </c>
      <c r="T108" s="104">
        <v>0.27</v>
      </c>
      <c r="U108" s="104">
        <v>1.4</v>
      </c>
      <c r="V108" s="219">
        <f t="shared" si="21"/>
        <v>2038.8734600551761</v>
      </c>
      <c r="W108" s="106">
        <f t="shared" si="22"/>
        <v>11.327074778084311</v>
      </c>
      <c r="X108" s="107">
        <f t="shared" si="23"/>
        <v>4998</v>
      </c>
      <c r="Y108" s="108">
        <f t="shared" si="24"/>
        <v>27.766666666666666</v>
      </c>
      <c r="Z108" s="88">
        <f t="shared" si="25"/>
        <v>24990</v>
      </c>
      <c r="AA108" s="88">
        <f t="shared" si="26"/>
        <v>5831</v>
      </c>
      <c r="AB108" s="88">
        <f t="shared" si="27"/>
        <v>54145</v>
      </c>
      <c r="AC108" s="109">
        <f t="shared" si="15"/>
        <v>4873.05</v>
      </c>
      <c r="AD108" s="109">
        <f t="shared" si="16"/>
        <v>1299.48</v>
      </c>
      <c r="AE108" s="109">
        <f t="shared" si="28"/>
        <v>12003.529999999999</v>
      </c>
      <c r="AF108" s="73">
        <f t="shared" si="29"/>
        <v>66.686277777777775</v>
      </c>
    </row>
    <row r="109" spans="1:32" x14ac:dyDescent="0.25">
      <c r="A109" s="102">
        <v>48</v>
      </c>
      <c r="B109" s="68" t="str">
        <f t="shared" si="17"/>
        <v>1.01, Disk &amp; Incorporate 24'</v>
      </c>
      <c r="C109" s="103">
        <v>1.01</v>
      </c>
      <c r="D109" s="68" t="s">
        <v>151</v>
      </c>
      <c r="E109" s="68" t="s">
        <v>217</v>
      </c>
      <c r="F109" s="68" t="s">
        <v>197</v>
      </c>
      <c r="G109" s="68" t="str">
        <f t="shared" si="18"/>
        <v>Disk &amp; Incorporate 24'</v>
      </c>
      <c r="H109" s="85">
        <v>71800</v>
      </c>
      <c r="I109" s="221">
        <v>24</v>
      </c>
      <c r="J109" s="221">
        <v>5.25</v>
      </c>
      <c r="K109" s="221">
        <v>75</v>
      </c>
      <c r="L109" s="86">
        <f t="shared" si="19"/>
        <v>8.7301587301587297E-2</v>
      </c>
      <c r="M109" s="221">
        <v>30</v>
      </c>
      <c r="N109" s="221">
        <v>60</v>
      </c>
      <c r="O109" s="221">
        <v>10</v>
      </c>
      <c r="P109" s="221">
        <v>200</v>
      </c>
      <c r="Q109" s="221">
        <v>0</v>
      </c>
      <c r="R109" s="104">
        <f t="shared" si="20"/>
        <v>2000</v>
      </c>
      <c r="S109" s="104">
        <v>1</v>
      </c>
      <c r="T109" s="104">
        <v>0.27</v>
      </c>
      <c r="U109" s="104">
        <v>1.4</v>
      </c>
      <c r="V109" s="219">
        <f t="shared" si="21"/>
        <v>2036.7147206468576</v>
      </c>
      <c r="W109" s="106">
        <f t="shared" si="22"/>
        <v>10.183573603234288</v>
      </c>
      <c r="X109" s="107">
        <f t="shared" si="23"/>
        <v>4308</v>
      </c>
      <c r="Y109" s="108">
        <f t="shared" si="24"/>
        <v>21.54</v>
      </c>
      <c r="Z109" s="88">
        <f t="shared" si="25"/>
        <v>21540</v>
      </c>
      <c r="AA109" s="88">
        <f t="shared" si="26"/>
        <v>5026</v>
      </c>
      <c r="AB109" s="88">
        <f t="shared" si="27"/>
        <v>46670</v>
      </c>
      <c r="AC109" s="109">
        <f t="shared" si="15"/>
        <v>4200.3</v>
      </c>
      <c r="AD109" s="109">
        <f t="shared" si="16"/>
        <v>1120.08</v>
      </c>
      <c r="AE109" s="109">
        <f t="shared" si="28"/>
        <v>10346.379999999999</v>
      </c>
      <c r="AF109" s="73">
        <f t="shared" si="29"/>
        <v>51.731899999999996</v>
      </c>
    </row>
    <row r="110" spans="1:32" x14ac:dyDescent="0.25">
      <c r="A110" s="102">
        <v>582</v>
      </c>
      <c r="B110" s="68" t="str">
        <f t="shared" si="17"/>
        <v>1.02, Disk &amp; Incorporate 28'</v>
      </c>
      <c r="C110" s="103">
        <v>1.02</v>
      </c>
      <c r="D110" s="68" t="s">
        <v>151</v>
      </c>
      <c r="E110" s="68" t="s">
        <v>217</v>
      </c>
      <c r="F110" s="68" t="s">
        <v>219</v>
      </c>
      <c r="G110" s="68" t="str">
        <f t="shared" si="18"/>
        <v>Disk &amp; Incorporate 28'</v>
      </c>
      <c r="H110" s="85">
        <v>82000</v>
      </c>
      <c r="I110" s="221">
        <v>28</v>
      </c>
      <c r="J110" s="221">
        <v>5.25</v>
      </c>
      <c r="K110" s="221">
        <v>75</v>
      </c>
      <c r="L110" s="86">
        <f t="shared" si="19"/>
        <v>7.4829931972789115E-2</v>
      </c>
      <c r="M110" s="221">
        <v>30</v>
      </c>
      <c r="N110" s="221">
        <v>60</v>
      </c>
      <c r="O110" s="221">
        <v>10</v>
      </c>
      <c r="P110" s="221">
        <v>200</v>
      </c>
      <c r="Q110" s="221">
        <v>0</v>
      </c>
      <c r="R110" s="104">
        <f t="shared" si="20"/>
        <v>2000</v>
      </c>
      <c r="S110" s="104">
        <v>1</v>
      </c>
      <c r="T110" s="104">
        <v>0.27</v>
      </c>
      <c r="U110" s="104">
        <v>1.4</v>
      </c>
      <c r="V110" s="219">
        <f t="shared" si="21"/>
        <v>2326.0530235799765</v>
      </c>
      <c r="W110" s="106">
        <f t="shared" si="22"/>
        <v>11.630265117899883</v>
      </c>
      <c r="X110" s="107">
        <f t="shared" si="23"/>
        <v>4920</v>
      </c>
      <c r="Y110" s="108">
        <f t="shared" si="24"/>
        <v>24.6</v>
      </c>
      <c r="Z110" s="88">
        <f t="shared" si="25"/>
        <v>24600</v>
      </c>
      <c r="AA110" s="88">
        <f t="shared" si="26"/>
        <v>5740</v>
      </c>
      <c r="AB110" s="88">
        <f t="shared" si="27"/>
        <v>53300</v>
      </c>
      <c r="AC110" s="109">
        <f t="shared" si="15"/>
        <v>4797</v>
      </c>
      <c r="AD110" s="109">
        <f t="shared" si="16"/>
        <v>1279.2</v>
      </c>
      <c r="AE110" s="109">
        <f t="shared" si="28"/>
        <v>11816.2</v>
      </c>
      <c r="AF110" s="73">
        <f t="shared" si="29"/>
        <v>59.081000000000003</v>
      </c>
    </row>
    <row r="111" spans="1:32" x14ac:dyDescent="0.25">
      <c r="A111" s="102">
        <v>49</v>
      </c>
      <c r="B111" s="68" t="str">
        <f t="shared" si="17"/>
        <v>1.03, Disk &amp; Incorporate 32'</v>
      </c>
      <c r="C111" s="103">
        <v>1.03</v>
      </c>
      <c r="D111" s="68" t="s">
        <v>151</v>
      </c>
      <c r="E111" s="68" t="s">
        <v>217</v>
      </c>
      <c r="F111" s="68" t="s">
        <v>198</v>
      </c>
      <c r="G111" s="68" t="str">
        <f t="shared" si="18"/>
        <v>Disk &amp; Incorporate 32'</v>
      </c>
      <c r="H111" s="85">
        <v>93300</v>
      </c>
      <c r="I111" s="221">
        <v>32</v>
      </c>
      <c r="J111" s="221">
        <v>5.25</v>
      </c>
      <c r="K111" s="221">
        <v>75</v>
      </c>
      <c r="L111" s="86">
        <f t="shared" si="19"/>
        <v>6.5476190476190479E-2</v>
      </c>
      <c r="M111" s="221">
        <v>30</v>
      </c>
      <c r="N111" s="221">
        <v>60</v>
      </c>
      <c r="O111" s="221">
        <v>10</v>
      </c>
      <c r="P111" s="221">
        <v>200</v>
      </c>
      <c r="Q111" s="221">
        <v>0</v>
      </c>
      <c r="R111" s="104">
        <f t="shared" si="20"/>
        <v>2000</v>
      </c>
      <c r="S111" s="104">
        <v>1</v>
      </c>
      <c r="T111" s="104">
        <v>0.27</v>
      </c>
      <c r="U111" s="104">
        <v>1.4</v>
      </c>
      <c r="V111" s="219">
        <f t="shared" si="21"/>
        <v>2646.5944768294125</v>
      </c>
      <c r="W111" s="106">
        <f t="shared" si="22"/>
        <v>13.232972384147063</v>
      </c>
      <c r="X111" s="107">
        <f t="shared" si="23"/>
        <v>5598</v>
      </c>
      <c r="Y111" s="108">
        <f t="shared" si="24"/>
        <v>27.99</v>
      </c>
      <c r="Z111" s="88">
        <f t="shared" si="25"/>
        <v>27990</v>
      </c>
      <c r="AA111" s="88">
        <f t="shared" si="26"/>
        <v>6531</v>
      </c>
      <c r="AB111" s="88">
        <f t="shared" si="27"/>
        <v>60645</v>
      </c>
      <c r="AC111" s="109">
        <f t="shared" si="15"/>
        <v>5458.05</v>
      </c>
      <c r="AD111" s="109">
        <f t="shared" si="16"/>
        <v>1455.48</v>
      </c>
      <c r="AE111" s="109">
        <f t="shared" si="28"/>
        <v>13444.529999999999</v>
      </c>
      <c r="AF111" s="73">
        <f t="shared" si="29"/>
        <v>67.222649999999987</v>
      </c>
    </row>
    <row r="112" spans="1:32" x14ac:dyDescent="0.25">
      <c r="A112" s="102">
        <v>72</v>
      </c>
      <c r="B112" s="68" t="str">
        <f t="shared" si="17"/>
        <v>1.04, Disk Harrow 14'</v>
      </c>
      <c r="C112" s="103">
        <v>1.04</v>
      </c>
      <c r="D112" s="68" t="s">
        <v>151</v>
      </c>
      <c r="E112" s="68" t="s">
        <v>220</v>
      </c>
      <c r="F112" s="68" t="s">
        <v>218</v>
      </c>
      <c r="G112" s="68" t="str">
        <f t="shared" si="18"/>
        <v>Disk Harrow 14'</v>
      </c>
      <c r="H112" s="85">
        <v>36300</v>
      </c>
      <c r="I112" s="221">
        <v>14</v>
      </c>
      <c r="J112" s="221">
        <v>5.25</v>
      </c>
      <c r="K112" s="221">
        <v>80</v>
      </c>
      <c r="L112" s="86">
        <f t="shared" si="19"/>
        <v>0.14030612244897961</v>
      </c>
      <c r="M112" s="221">
        <v>30</v>
      </c>
      <c r="N112" s="221">
        <v>50</v>
      </c>
      <c r="O112" s="221">
        <v>10</v>
      </c>
      <c r="P112" s="221">
        <v>180</v>
      </c>
      <c r="Q112" s="221">
        <v>0</v>
      </c>
      <c r="R112" s="104">
        <f t="shared" si="20"/>
        <v>1800</v>
      </c>
      <c r="S112" s="104">
        <v>1</v>
      </c>
      <c r="T112" s="104">
        <v>0.27</v>
      </c>
      <c r="U112" s="104">
        <v>1.4</v>
      </c>
      <c r="V112" s="219">
        <f t="shared" si="21"/>
        <v>888.48867466990271</v>
      </c>
      <c r="W112" s="106">
        <f t="shared" si="22"/>
        <v>4.9360481926105706</v>
      </c>
      <c r="X112" s="107">
        <f t="shared" si="23"/>
        <v>1815</v>
      </c>
      <c r="Y112" s="108">
        <f t="shared" si="24"/>
        <v>10.083333333333334</v>
      </c>
      <c r="Z112" s="88">
        <f t="shared" si="25"/>
        <v>10890</v>
      </c>
      <c r="AA112" s="88">
        <f t="shared" si="26"/>
        <v>2541</v>
      </c>
      <c r="AB112" s="88">
        <f t="shared" si="27"/>
        <v>23595</v>
      </c>
      <c r="AC112" s="109">
        <f t="shared" si="15"/>
        <v>2123.5499999999997</v>
      </c>
      <c r="AD112" s="109">
        <f t="shared" si="16"/>
        <v>566.28</v>
      </c>
      <c r="AE112" s="109">
        <f t="shared" si="28"/>
        <v>5230.829999999999</v>
      </c>
      <c r="AF112" s="73">
        <f t="shared" si="29"/>
        <v>29.06016666666666</v>
      </c>
    </row>
    <row r="113" spans="1:32" x14ac:dyDescent="0.25">
      <c r="A113" s="102">
        <v>743</v>
      </c>
      <c r="B113" s="68" t="str">
        <f t="shared" si="17"/>
        <v>1.05, Disk Harrow 20'</v>
      </c>
      <c r="C113" s="103">
        <v>1.05</v>
      </c>
      <c r="D113" s="68" t="s">
        <v>151</v>
      </c>
      <c r="E113" s="68" t="s">
        <v>220</v>
      </c>
      <c r="F113" s="68" t="s">
        <v>205</v>
      </c>
      <c r="G113" s="68" t="str">
        <f t="shared" si="18"/>
        <v>Disk Harrow 20'</v>
      </c>
      <c r="H113" s="85">
        <v>77500</v>
      </c>
      <c r="I113" s="221">
        <v>20</v>
      </c>
      <c r="J113" s="221">
        <v>5.25</v>
      </c>
      <c r="K113" s="221">
        <v>80</v>
      </c>
      <c r="L113" s="86">
        <f t="shared" si="19"/>
        <v>9.8214285714285712E-2</v>
      </c>
      <c r="M113" s="221">
        <v>30</v>
      </c>
      <c r="N113" s="221">
        <v>50</v>
      </c>
      <c r="O113" s="221">
        <v>10</v>
      </c>
      <c r="P113" s="221">
        <v>180</v>
      </c>
      <c r="Q113" s="221">
        <v>0</v>
      </c>
      <c r="R113" s="104">
        <f t="shared" si="20"/>
        <v>1800</v>
      </c>
      <c r="S113" s="104">
        <v>1</v>
      </c>
      <c r="T113" s="104">
        <v>0.27</v>
      </c>
      <c r="U113" s="104">
        <v>1.4</v>
      </c>
      <c r="V113" s="219">
        <f t="shared" si="21"/>
        <v>1896.9110822842276</v>
      </c>
      <c r="W113" s="106">
        <f t="shared" si="22"/>
        <v>10.538394901579043</v>
      </c>
      <c r="X113" s="107">
        <f t="shared" si="23"/>
        <v>3875</v>
      </c>
      <c r="Y113" s="108">
        <f t="shared" si="24"/>
        <v>21.527777777777779</v>
      </c>
      <c r="Z113" s="88">
        <f t="shared" si="25"/>
        <v>23250</v>
      </c>
      <c r="AA113" s="88">
        <f t="shared" si="26"/>
        <v>5425</v>
      </c>
      <c r="AB113" s="88">
        <f t="shared" si="27"/>
        <v>50375</v>
      </c>
      <c r="AC113" s="109">
        <f t="shared" si="15"/>
        <v>4533.75</v>
      </c>
      <c r="AD113" s="109">
        <f t="shared" si="16"/>
        <v>1209</v>
      </c>
      <c r="AE113" s="109">
        <f t="shared" si="28"/>
        <v>11167.75</v>
      </c>
      <c r="AF113" s="73">
        <f t="shared" si="29"/>
        <v>62.043055555555554</v>
      </c>
    </row>
    <row r="114" spans="1:32" x14ac:dyDescent="0.25">
      <c r="A114" s="102">
        <v>73</v>
      </c>
      <c r="B114" s="68" t="str">
        <f>CONCATENATE(C114,D114,E114,F114)</f>
        <v>1.06, Disk Harrow 24'</v>
      </c>
      <c r="C114" s="103">
        <v>1.06</v>
      </c>
      <c r="D114" s="68" t="s">
        <v>151</v>
      </c>
      <c r="E114" s="68" t="s">
        <v>220</v>
      </c>
      <c r="F114" s="68" t="s">
        <v>197</v>
      </c>
      <c r="G114" s="68" t="str">
        <f t="shared" si="18"/>
        <v>Disk Harrow 24'</v>
      </c>
      <c r="H114" s="85">
        <v>65900</v>
      </c>
      <c r="I114" s="221">
        <v>24</v>
      </c>
      <c r="J114" s="221">
        <v>5.25</v>
      </c>
      <c r="K114" s="221">
        <v>80</v>
      </c>
      <c r="L114" s="86">
        <f t="shared" si="19"/>
        <v>8.1845238095238096E-2</v>
      </c>
      <c r="M114" s="221">
        <v>30</v>
      </c>
      <c r="N114" s="221">
        <v>50</v>
      </c>
      <c r="O114" s="221">
        <v>10</v>
      </c>
      <c r="P114" s="221">
        <v>180</v>
      </c>
      <c r="Q114" s="221">
        <v>0</v>
      </c>
      <c r="R114" s="104">
        <f t="shared" si="20"/>
        <v>1800</v>
      </c>
      <c r="S114" s="104">
        <v>1</v>
      </c>
      <c r="T114" s="104">
        <v>0.27</v>
      </c>
      <c r="U114" s="104">
        <v>1.4</v>
      </c>
      <c r="V114" s="219">
        <f t="shared" si="21"/>
        <v>1612.9863267423302</v>
      </c>
      <c r="W114" s="106">
        <f t="shared" si="22"/>
        <v>8.9610351485685005</v>
      </c>
      <c r="X114" s="107">
        <f t="shared" si="23"/>
        <v>3295</v>
      </c>
      <c r="Y114" s="108">
        <f t="shared" si="24"/>
        <v>18.305555555555557</v>
      </c>
      <c r="Z114" s="88">
        <f t="shared" si="25"/>
        <v>19770</v>
      </c>
      <c r="AA114" s="88">
        <f t="shared" si="26"/>
        <v>4613</v>
      </c>
      <c r="AB114" s="88">
        <f t="shared" si="27"/>
        <v>42835</v>
      </c>
      <c r="AC114" s="109">
        <f t="shared" si="15"/>
        <v>3855.1499999999996</v>
      </c>
      <c r="AD114" s="109">
        <f t="shared" si="16"/>
        <v>1028.04</v>
      </c>
      <c r="AE114" s="109">
        <f t="shared" si="28"/>
        <v>9496.1899999999987</v>
      </c>
      <c r="AF114" s="73">
        <f t="shared" si="29"/>
        <v>52.756611111111106</v>
      </c>
    </row>
    <row r="115" spans="1:32" x14ac:dyDescent="0.25">
      <c r="A115" s="102">
        <v>291</v>
      </c>
      <c r="B115" s="68" t="str">
        <f t="shared" si="17"/>
        <v>1.07, Disk Harrow 28'</v>
      </c>
      <c r="C115" s="103">
        <v>1.07</v>
      </c>
      <c r="D115" s="68" t="s">
        <v>151</v>
      </c>
      <c r="E115" s="68" t="s">
        <v>220</v>
      </c>
      <c r="F115" s="68" t="s">
        <v>219</v>
      </c>
      <c r="G115" s="68" t="str">
        <f t="shared" si="18"/>
        <v>Disk Harrow 28'</v>
      </c>
      <c r="H115" s="85">
        <v>76200</v>
      </c>
      <c r="I115" s="221">
        <v>28</v>
      </c>
      <c r="J115" s="221">
        <v>5.25</v>
      </c>
      <c r="K115" s="221">
        <v>80</v>
      </c>
      <c r="L115" s="86">
        <f t="shared" si="19"/>
        <v>7.0153061224489804E-2</v>
      </c>
      <c r="M115" s="221">
        <v>30</v>
      </c>
      <c r="N115" s="221">
        <v>50</v>
      </c>
      <c r="O115" s="221">
        <v>10</v>
      </c>
      <c r="P115" s="221">
        <v>180</v>
      </c>
      <c r="Q115" s="221">
        <v>0</v>
      </c>
      <c r="R115" s="104">
        <f t="shared" si="20"/>
        <v>1800</v>
      </c>
      <c r="S115" s="104">
        <v>1</v>
      </c>
      <c r="T115" s="104">
        <v>0.27</v>
      </c>
      <c r="U115" s="104">
        <v>1.4</v>
      </c>
      <c r="V115" s="219">
        <f t="shared" si="21"/>
        <v>1865.0919286459114</v>
      </c>
      <c r="W115" s="106">
        <f t="shared" si="22"/>
        <v>10.361621825810619</v>
      </c>
      <c r="X115" s="107">
        <f t="shared" si="23"/>
        <v>3810</v>
      </c>
      <c r="Y115" s="108">
        <f t="shared" si="24"/>
        <v>21.166666666666668</v>
      </c>
      <c r="Z115" s="88">
        <f t="shared" si="25"/>
        <v>22860</v>
      </c>
      <c r="AA115" s="88">
        <f t="shared" si="26"/>
        <v>5334</v>
      </c>
      <c r="AB115" s="88">
        <f t="shared" si="27"/>
        <v>49530</v>
      </c>
      <c r="AC115" s="109">
        <f t="shared" si="15"/>
        <v>4457.7</v>
      </c>
      <c r="AD115" s="109">
        <f t="shared" si="16"/>
        <v>1188.72</v>
      </c>
      <c r="AE115" s="109">
        <f t="shared" si="28"/>
        <v>10980.42</v>
      </c>
      <c r="AF115" s="73">
        <f t="shared" si="29"/>
        <v>61.002333333333333</v>
      </c>
    </row>
    <row r="116" spans="1:32" x14ac:dyDescent="0.25">
      <c r="A116" s="102">
        <v>74</v>
      </c>
      <c r="B116" s="68" t="str">
        <f t="shared" si="17"/>
        <v>1.08, Disk Harrow 32'</v>
      </c>
      <c r="C116" s="103">
        <v>1.08</v>
      </c>
      <c r="D116" s="68" t="s">
        <v>151</v>
      </c>
      <c r="E116" s="68" t="s">
        <v>220</v>
      </c>
      <c r="F116" s="68" t="s">
        <v>198</v>
      </c>
      <c r="G116" s="68" t="str">
        <f t="shared" si="18"/>
        <v>Disk Harrow 32'</v>
      </c>
      <c r="H116" s="85">
        <v>87500</v>
      </c>
      <c r="I116" s="221">
        <v>32</v>
      </c>
      <c r="J116" s="221">
        <v>5.25</v>
      </c>
      <c r="K116" s="221">
        <v>80</v>
      </c>
      <c r="L116" s="86">
        <f t="shared" si="19"/>
        <v>6.1383928571428575E-2</v>
      </c>
      <c r="M116" s="221">
        <v>30</v>
      </c>
      <c r="N116" s="221">
        <v>50</v>
      </c>
      <c r="O116" s="221">
        <v>10</v>
      </c>
      <c r="P116" s="221">
        <v>180</v>
      </c>
      <c r="Q116" s="221">
        <v>0</v>
      </c>
      <c r="R116" s="104">
        <f t="shared" si="20"/>
        <v>1800</v>
      </c>
      <c r="S116" s="104">
        <v>1</v>
      </c>
      <c r="T116" s="104">
        <v>0.27</v>
      </c>
      <c r="U116" s="104">
        <v>1.4</v>
      </c>
      <c r="V116" s="219">
        <f t="shared" si="21"/>
        <v>2141.6738025789664</v>
      </c>
      <c r="W116" s="106">
        <f t="shared" si="22"/>
        <v>11.898187792105368</v>
      </c>
      <c r="X116" s="107">
        <f t="shared" si="23"/>
        <v>4375</v>
      </c>
      <c r="Y116" s="108">
        <f t="shared" si="24"/>
        <v>24.305555555555557</v>
      </c>
      <c r="Z116" s="88">
        <f t="shared" si="25"/>
        <v>26250</v>
      </c>
      <c r="AA116" s="88">
        <f t="shared" si="26"/>
        <v>6125</v>
      </c>
      <c r="AB116" s="88">
        <f t="shared" si="27"/>
        <v>56875</v>
      </c>
      <c r="AC116" s="109">
        <f t="shared" si="15"/>
        <v>5118.75</v>
      </c>
      <c r="AD116" s="109">
        <f t="shared" si="16"/>
        <v>1365</v>
      </c>
      <c r="AE116" s="109">
        <f t="shared" si="28"/>
        <v>12608.75</v>
      </c>
      <c r="AF116" s="73">
        <f t="shared" si="29"/>
        <v>70.048611111111114</v>
      </c>
    </row>
    <row r="117" spans="1:32" x14ac:dyDescent="0.25">
      <c r="A117" s="102">
        <v>721</v>
      </c>
      <c r="B117" s="68" t="str">
        <f t="shared" si="17"/>
        <v>1.09, Disk Harrow 42'</v>
      </c>
      <c r="C117" s="103">
        <v>1.0900000000000001</v>
      </c>
      <c r="D117" s="68" t="s">
        <v>151</v>
      </c>
      <c r="E117" s="68" t="s">
        <v>220</v>
      </c>
      <c r="F117" s="68" t="s">
        <v>199</v>
      </c>
      <c r="G117" s="68" t="str">
        <f t="shared" si="18"/>
        <v>Disk Harrow 42'</v>
      </c>
      <c r="H117" s="85">
        <v>139000</v>
      </c>
      <c r="I117" s="221">
        <v>42</v>
      </c>
      <c r="J117" s="221">
        <v>5.25</v>
      </c>
      <c r="K117" s="221">
        <v>80</v>
      </c>
      <c r="L117" s="86">
        <f t="shared" si="19"/>
        <v>4.6768707482993194E-2</v>
      </c>
      <c r="M117" s="221">
        <v>30</v>
      </c>
      <c r="N117" s="221">
        <v>50</v>
      </c>
      <c r="O117" s="221">
        <v>10</v>
      </c>
      <c r="P117" s="221">
        <v>180</v>
      </c>
      <c r="Q117" s="221">
        <v>0</v>
      </c>
      <c r="R117" s="104">
        <f t="shared" si="20"/>
        <v>1800</v>
      </c>
      <c r="S117" s="104">
        <v>1</v>
      </c>
      <c r="T117" s="104">
        <v>0.27</v>
      </c>
      <c r="U117" s="104">
        <v>1.4</v>
      </c>
      <c r="V117" s="219">
        <f t="shared" si="21"/>
        <v>3402.2018120968728</v>
      </c>
      <c r="W117" s="106">
        <f t="shared" si="22"/>
        <v>18.901121178315961</v>
      </c>
      <c r="X117" s="107">
        <f t="shared" si="23"/>
        <v>6950</v>
      </c>
      <c r="Y117" s="108">
        <f t="shared" si="24"/>
        <v>38.611111111111114</v>
      </c>
      <c r="Z117" s="88">
        <f t="shared" si="25"/>
        <v>41700</v>
      </c>
      <c r="AA117" s="88">
        <f t="shared" si="26"/>
        <v>9730</v>
      </c>
      <c r="AB117" s="88">
        <f t="shared" si="27"/>
        <v>90350</v>
      </c>
      <c r="AC117" s="109">
        <f t="shared" si="15"/>
        <v>8131.5</v>
      </c>
      <c r="AD117" s="109">
        <f t="shared" si="16"/>
        <v>2168.4</v>
      </c>
      <c r="AE117" s="109">
        <f t="shared" si="28"/>
        <v>20029.900000000001</v>
      </c>
      <c r="AF117" s="73">
        <f t="shared" si="29"/>
        <v>111.27722222222224</v>
      </c>
    </row>
    <row r="118" spans="1:32" x14ac:dyDescent="0.25">
      <c r="A118" s="102">
        <v>742</v>
      </c>
      <c r="B118" s="68" t="str">
        <f t="shared" si="17"/>
        <v>1.1, Disk Harrow 40-100 hp 14'</v>
      </c>
      <c r="C118" s="103">
        <v>1.1000000000000001</v>
      </c>
      <c r="D118" s="68" t="s">
        <v>151</v>
      </c>
      <c r="E118" s="68" t="s">
        <v>221</v>
      </c>
      <c r="F118" s="68" t="s">
        <v>218</v>
      </c>
      <c r="G118" s="68" t="str">
        <f t="shared" si="18"/>
        <v>Disk Harrow 40-100 hp 14'</v>
      </c>
      <c r="H118" s="85">
        <v>24600</v>
      </c>
      <c r="I118" s="221">
        <v>14</v>
      </c>
      <c r="J118" s="221">
        <v>5.25</v>
      </c>
      <c r="K118" s="221">
        <v>80</v>
      </c>
      <c r="L118" s="86">
        <f t="shared" si="19"/>
        <v>0.14030612244897961</v>
      </c>
      <c r="M118" s="221">
        <v>30</v>
      </c>
      <c r="N118" s="221">
        <v>50</v>
      </c>
      <c r="O118" s="221">
        <v>10</v>
      </c>
      <c r="P118" s="221">
        <v>180</v>
      </c>
      <c r="Q118" s="221">
        <v>0</v>
      </c>
      <c r="R118" s="104">
        <f t="shared" si="20"/>
        <v>1800</v>
      </c>
      <c r="S118" s="104">
        <v>1</v>
      </c>
      <c r="T118" s="104">
        <v>0.27</v>
      </c>
      <c r="U118" s="104">
        <v>1.4</v>
      </c>
      <c r="V118" s="219">
        <f t="shared" si="21"/>
        <v>602.11629192505802</v>
      </c>
      <c r="W118" s="106">
        <f t="shared" si="22"/>
        <v>3.3450905106947668</v>
      </c>
      <c r="X118" s="107">
        <f t="shared" si="23"/>
        <v>1230</v>
      </c>
      <c r="Y118" s="108">
        <f t="shared" si="24"/>
        <v>6.833333333333333</v>
      </c>
      <c r="Z118" s="88">
        <f t="shared" si="25"/>
        <v>7380</v>
      </c>
      <c r="AA118" s="88">
        <f t="shared" si="26"/>
        <v>1722</v>
      </c>
      <c r="AB118" s="88">
        <f t="shared" si="27"/>
        <v>15990</v>
      </c>
      <c r="AC118" s="109">
        <f t="shared" si="15"/>
        <v>1439.1</v>
      </c>
      <c r="AD118" s="109">
        <f t="shared" si="16"/>
        <v>383.76</v>
      </c>
      <c r="AE118" s="109">
        <f t="shared" si="28"/>
        <v>3544.8599999999997</v>
      </c>
      <c r="AF118" s="73">
        <f t="shared" si="29"/>
        <v>19.693666666666665</v>
      </c>
    </row>
    <row r="119" spans="1:32" x14ac:dyDescent="0.25">
      <c r="A119" s="102">
        <v>722</v>
      </c>
      <c r="B119" s="68" t="str">
        <f t="shared" si="17"/>
        <v>1.11, Disk Ripper 15'</v>
      </c>
      <c r="C119" s="103">
        <v>1.1100000000000001</v>
      </c>
      <c r="D119" s="68" t="s">
        <v>151</v>
      </c>
      <c r="E119" s="68" t="s">
        <v>222</v>
      </c>
      <c r="F119" s="68" t="s">
        <v>204</v>
      </c>
      <c r="G119" s="68" t="str">
        <f t="shared" si="18"/>
        <v>Disk Ripper 15'</v>
      </c>
      <c r="H119" s="85">
        <v>68600</v>
      </c>
      <c r="I119" s="221">
        <v>15</v>
      </c>
      <c r="J119" s="221">
        <v>4.75</v>
      </c>
      <c r="K119" s="221">
        <v>85</v>
      </c>
      <c r="L119" s="86">
        <f t="shared" si="19"/>
        <v>0.13622291021671826</v>
      </c>
      <c r="M119" s="221">
        <v>30</v>
      </c>
      <c r="N119" s="221">
        <v>50</v>
      </c>
      <c r="O119" s="221">
        <v>10</v>
      </c>
      <c r="P119" s="221">
        <v>180</v>
      </c>
      <c r="Q119" s="221">
        <v>0</v>
      </c>
      <c r="R119" s="104">
        <f t="shared" si="20"/>
        <v>1800</v>
      </c>
      <c r="S119" s="104">
        <v>1</v>
      </c>
      <c r="T119" s="104">
        <v>0.27</v>
      </c>
      <c r="U119" s="104">
        <v>1.4</v>
      </c>
      <c r="V119" s="219">
        <f t="shared" si="21"/>
        <v>1679.0722612219097</v>
      </c>
      <c r="W119" s="106">
        <f t="shared" si="22"/>
        <v>9.32817922901061</v>
      </c>
      <c r="X119" s="107">
        <f t="shared" si="23"/>
        <v>3430</v>
      </c>
      <c r="Y119" s="108">
        <f t="shared" si="24"/>
        <v>19.055555555555557</v>
      </c>
      <c r="Z119" s="88">
        <f t="shared" si="25"/>
        <v>20580</v>
      </c>
      <c r="AA119" s="88">
        <f t="shared" si="26"/>
        <v>4802</v>
      </c>
      <c r="AB119" s="88">
        <f t="shared" si="27"/>
        <v>44590</v>
      </c>
      <c r="AC119" s="109">
        <f t="shared" si="15"/>
        <v>4013.1</v>
      </c>
      <c r="AD119" s="109">
        <f t="shared" si="16"/>
        <v>1070.1600000000001</v>
      </c>
      <c r="AE119" s="109">
        <f t="shared" si="28"/>
        <v>9885.26</v>
      </c>
      <c r="AF119" s="73">
        <f t="shared" si="29"/>
        <v>54.918111111111109</v>
      </c>
    </row>
    <row r="120" spans="1:32" x14ac:dyDescent="0.25">
      <c r="A120" s="102">
        <v>419</v>
      </c>
      <c r="B120" s="68" t="str">
        <f t="shared" si="17"/>
        <v xml:space="preserve">1.12, Ditcher  </v>
      </c>
      <c r="C120" s="103">
        <v>1.1200000000000001</v>
      </c>
      <c r="D120" s="68" t="s">
        <v>151</v>
      </c>
      <c r="E120" s="68" t="s">
        <v>223</v>
      </c>
      <c r="F120" s="68" t="s">
        <v>224</v>
      </c>
      <c r="G120" s="68" t="str">
        <f t="shared" si="18"/>
        <v xml:space="preserve">Ditcher  </v>
      </c>
      <c r="H120" s="85">
        <v>6720</v>
      </c>
      <c r="I120" s="221">
        <v>12</v>
      </c>
      <c r="J120" s="221">
        <v>4.75</v>
      </c>
      <c r="K120" s="221">
        <v>85</v>
      </c>
      <c r="L120" s="86">
        <f t="shared" si="19"/>
        <v>0.17027863777089783</v>
      </c>
      <c r="M120" s="221">
        <v>30</v>
      </c>
      <c r="N120" s="221">
        <v>80</v>
      </c>
      <c r="O120" s="221">
        <v>10</v>
      </c>
      <c r="P120" s="221">
        <v>200</v>
      </c>
      <c r="Q120" s="221">
        <v>0</v>
      </c>
      <c r="R120" s="104">
        <f t="shared" si="20"/>
        <v>2000</v>
      </c>
      <c r="S120" s="104">
        <v>1</v>
      </c>
      <c r="T120" s="104">
        <v>0.27</v>
      </c>
      <c r="U120" s="104">
        <v>1.4</v>
      </c>
      <c r="V120" s="219">
        <f t="shared" si="21"/>
        <v>190.62288193240784</v>
      </c>
      <c r="W120" s="106">
        <f t="shared" si="22"/>
        <v>0.9531144096620392</v>
      </c>
      <c r="X120" s="107">
        <f t="shared" si="23"/>
        <v>537.6</v>
      </c>
      <c r="Y120" s="108">
        <f t="shared" si="24"/>
        <v>2.6880000000000002</v>
      </c>
      <c r="Z120" s="88">
        <f t="shared" si="25"/>
        <v>2016</v>
      </c>
      <c r="AA120" s="88">
        <f t="shared" si="26"/>
        <v>470.4</v>
      </c>
      <c r="AB120" s="88">
        <f t="shared" si="27"/>
        <v>4368</v>
      </c>
      <c r="AC120" s="109">
        <f t="shared" si="15"/>
        <v>393.12</v>
      </c>
      <c r="AD120" s="109">
        <f t="shared" si="16"/>
        <v>104.83200000000001</v>
      </c>
      <c r="AE120" s="109">
        <f t="shared" si="28"/>
        <v>968.35199999999998</v>
      </c>
      <c r="AF120" s="73">
        <f t="shared" si="29"/>
        <v>4.8417599999999998</v>
      </c>
    </row>
    <row r="121" spans="1:32" x14ac:dyDescent="0.25">
      <c r="A121" s="102">
        <v>76</v>
      </c>
      <c r="B121" s="68" t="str">
        <f t="shared" si="17"/>
        <v xml:space="preserve">1.13, Ditcher (1m/160a)  </v>
      </c>
      <c r="C121" s="103">
        <v>1.1299999999999999</v>
      </c>
      <c r="D121" s="68" t="s">
        <v>151</v>
      </c>
      <c r="E121" s="68" t="s">
        <v>225</v>
      </c>
      <c r="F121" s="68" t="s">
        <v>224</v>
      </c>
      <c r="G121" s="68" t="str">
        <f t="shared" si="18"/>
        <v xml:space="preserve">Ditcher (1m/160a)  </v>
      </c>
      <c r="H121" s="85">
        <v>6720</v>
      </c>
      <c r="I121" s="221">
        <v>12</v>
      </c>
      <c r="J121" s="221">
        <v>4.75</v>
      </c>
      <c r="K121" s="221">
        <v>85</v>
      </c>
      <c r="L121" s="86">
        <f t="shared" si="19"/>
        <v>0.17027863777089783</v>
      </c>
      <c r="M121" s="221">
        <v>30</v>
      </c>
      <c r="N121" s="221">
        <v>80</v>
      </c>
      <c r="O121" s="221">
        <v>10</v>
      </c>
      <c r="P121" s="221">
        <v>200</v>
      </c>
      <c r="Q121" s="221">
        <v>0</v>
      </c>
      <c r="R121" s="104">
        <f t="shared" si="20"/>
        <v>2000</v>
      </c>
      <c r="S121" s="104">
        <v>1</v>
      </c>
      <c r="T121" s="104">
        <v>0.27</v>
      </c>
      <c r="U121" s="104">
        <v>1.4</v>
      </c>
      <c r="V121" s="219">
        <f t="shared" si="21"/>
        <v>190.62288193240784</v>
      </c>
      <c r="W121" s="106">
        <f t="shared" si="22"/>
        <v>0.9531144096620392</v>
      </c>
      <c r="X121" s="107">
        <f t="shared" si="23"/>
        <v>537.6</v>
      </c>
      <c r="Y121" s="108">
        <f t="shared" si="24"/>
        <v>2.6880000000000002</v>
      </c>
      <c r="Z121" s="88">
        <f t="shared" si="25"/>
        <v>2016</v>
      </c>
      <c r="AA121" s="88">
        <f t="shared" si="26"/>
        <v>470.4</v>
      </c>
      <c r="AB121" s="88">
        <f t="shared" si="27"/>
        <v>4368</v>
      </c>
      <c r="AC121" s="109">
        <f t="shared" si="15"/>
        <v>393.12</v>
      </c>
      <c r="AD121" s="109">
        <f t="shared" si="16"/>
        <v>104.83200000000001</v>
      </c>
      <c r="AE121" s="109">
        <f t="shared" si="28"/>
        <v>968.35199999999998</v>
      </c>
      <c r="AF121" s="73">
        <f t="shared" si="29"/>
        <v>4.8417599999999998</v>
      </c>
    </row>
    <row r="122" spans="1:32" x14ac:dyDescent="0.25">
      <c r="A122" s="102">
        <v>83</v>
      </c>
      <c r="B122" s="68" t="str">
        <f t="shared" si="17"/>
        <v>1.14, Fert Appl (Liquid)  4R-36</v>
      </c>
      <c r="C122" s="103">
        <v>1.1399999999999999</v>
      </c>
      <c r="D122" s="68" t="s">
        <v>151</v>
      </c>
      <c r="E122" s="68" t="s">
        <v>226</v>
      </c>
      <c r="F122" s="68" t="s">
        <v>153</v>
      </c>
      <c r="G122" s="68" t="str">
        <f t="shared" si="18"/>
        <v>Fert Appl (Liquid)  4R-36</v>
      </c>
      <c r="H122" s="85">
        <v>25400</v>
      </c>
      <c r="I122" s="221">
        <v>12</v>
      </c>
      <c r="J122" s="221">
        <v>6</v>
      </c>
      <c r="K122" s="221">
        <v>70</v>
      </c>
      <c r="L122" s="86">
        <f t="shared" si="19"/>
        <v>0.16369047619047619</v>
      </c>
      <c r="M122" s="221">
        <v>40</v>
      </c>
      <c r="N122" s="221">
        <v>80</v>
      </c>
      <c r="O122" s="221">
        <v>8</v>
      </c>
      <c r="P122" s="221">
        <v>150</v>
      </c>
      <c r="Q122" s="221">
        <v>0</v>
      </c>
      <c r="R122" s="104">
        <f t="shared" si="20"/>
        <v>1200</v>
      </c>
      <c r="S122" s="104">
        <v>1</v>
      </c>
      <c r="T122" s="104">
        <v>0.27</v>
      </c>
      <c r="U122" s="104">
        <v>1.4</v>
      </c>
      <c r="V122" s="219">
        <f t="shared" si="21"/>
        <v>481.64298962515323</v>
      </c>
      <c r="W122" s="106">
        <f t="shared" si="22"/>
        <v>3.2109532641676881</v>
      </c>
      <c r="X122" s="107">
        <f t="shared" si="23"/>
        <v>2540</v>
      </c>
      <c r="Y122" s="108">
        <f t="shared" si="24"/>
        <v>16.933333333333334</v>
      </c>
      <c r="Z122" s="88">
        <f t="shared" si="25"/>
        <v>10160</v>
      </c>
      <c r="AA122" s="88">
        <f t="shared" si="26"/>
        <v>1905</v>
      </c>
      <c r="AB122" s="88">
        <f t="shared" si="27"/>
        <v>17780</v>
      </c>
      <c r="AC122" s="109">
        <f t="shared" si="15"/>
        <v>1600.2</v>
      </c>
      <c r="AD122" s="109">
        <f t="shared" si="16"/>
        <v>426.72</v>
      </c>
      <c r="AE122" s="109">
        <f t="shared" si="28"/>
        <v>3931.92</v>
      </c>
      <c r="AF122" s="73">
        <f t="shared" si="29"/>
        <v>26.212800000000001</v>
      </c>
    </row>
    <row r="123" spans="1:32" x14ac:dyDescent="0.25">
      <c r="A123" s="102">
        <v>84</v>
      </c>
      <c r="B123" s="68" t="str">
        <f t="shared" si="17"/>
        <v>1.15, Fert Appl (Liquid)  6R-30</v>
      </c>
      <c r="C123" s="103">
        <v>1.1499999999999999</v>
      </c>
      <c r="D123" s="68" t="s">
        <v>151</v>
      </c>
      <c r="E123" s="68" t="s">
        <v>226</v>
      </c>
      <c r="F123" s="68" t="s">
        <v>213</v>
      </c>
      <c r="G123" s="68" t="str">
        <f t="shared" si="18"/>
        <v>Fert Appl (Liquid)  6R-30</v>
      </c>
      <c r="H123" s="85">
        <v>25300</v>
      </c>
      <c r="I123" s="221">
        <v>15</v>
      </c>
      <c r="J123" s="221">
        <v>6</v>
      </c>
      <c r="K123" s="221">
        <v>70</v>
      </c>
      <c r="L123" s="86">
        <f t="shared" si="19"/>
        <v>0.13095238095238096</v>
      </c>
      <c r="M123" s="221">
        <v>40</v>
      </c>
      <c r="N123" s="221">
        <v>80</v>
      </c>
      <c r="O123" s="221">
        <v>8</v>
      </c>
      <c r="P123" s="221">
        <v>150</v>
      </c>
      <c r="Q123" s="221">
        <v>0</v>
      </c>
      <c r="R123" s="104">
        <f t="shared" si="20"/>
        <v>1200</v>
      </c>
      <c r="S123" s="104">
        <v>1</v>
      </c>
      <c r="T123" s="104">
        <v>0.27</v>
      </c>
      <c r="U123" s="104">
        <v>1.4</v>
      </c>
      <c r="V123" s="219">
        <f t="shared" si="21"/>
        <v>479.7467573825345</v>
      </c>
      <c r="W123" s="106">
        <f t="shared" si="22"/>
        <v>3.1983117158835634</v>
      </c>
      <c r="X123" s="107">
        <f t="shared" si="23"/>
        <v>2530</v>
      </c>
      <c r="Y123" s="108">
        <f t="shared" si="24"/>
        <v>16.866666666666667</v>
      </c>
      <c r="Z123" s="88">
        <f t="shared" si="25"/>
        <v>10120</v>
      </c>
      <c r="AA123" s="88">
        <f t="shared" si="26"/>
        <v>1897.5</v>
      </c>
      <c r="AB123" s="88">
        <f t="shared" si="27"/>
        <v>17710</v>
      </c>
      <c r="AC123" s="109">
        <f t="shared" si="15"/>
        <v>1593.8999999999999</v>
      </c>
      <c r="AD123" s="109">
        <f t="shared" si="16"/>
        <v>425.04</v>
      </c>
      <c r="AE123" s="109">
        <f t="shared" si="28"/>
        <v>3916.4399999999996</v>
      </c>
      <c r="AF123" s="73">
        <f t="shared" si="29"/>
        <v>26.109599999999997</v>
      </c>
    </row>
    <row r="124" spans="1:32" x14ac:dyDescent="0.25">
      <c r="A124" s="102">
        <v>85</v>
      </c>
      <c r="B124" s="68" t="str">
        <f t="shared" si="17"/>
        <v>1.16, Fert Appl (Liquid)  6R-36</v>
      </c>
      <c r="C124" s="103">
        <v>1.1599999999999999</v>
      </c>
      <c r="D124" s="68" t="s">
        <v>151</v>
      </c>
      <c r="E124" s="68" t="s">
        <v>226</v>
      </c>
      <c r="F124" s="68" t="s">
        <v>154</v>
      </c>
      <c r="G124" s="68" t="str">
        <f t="shared" si="18"/>
        <v>Fert Appl (Liquid)  6R-36</v>
      </c>
      <c r="H124" s="85">
        <v>25300</v>
      </c>
      <c r="I124" s="221">
        <v>18</v>
      </c>
      <c r="J124" s="221">
        <v>6</v>
      </c>
      <c r="K124" s="221">
        <v>70</v>
      </c>
      <c r="L124" s="86">
        <f t="shared" si="19"/>
        <v>0.10912698412698414</v>
      </c>
      <c r="M124" s="221">
        <v>40</v>
      </c>
      <c r="N124" s="221">
        <v>80</v>
      </c>
      <c r="O124" s="221">
        <v>8</v>
      </c>
      <c r="P124" s="221">
        <v>150</v>
      </c>
      <c r="Q124" s="221">
        <v>0</v>
      </c>
      <c r="R124" s="104">
        <f t="shared" si="20"/>
        <v>1200</v>
      </c>
      <c r="S124" s="104">
        <v>1</v>
      </c>
      <c r="T124" s="104">
        <v>0.27</v>
      </c>
      <c r="U124" s="104">
        <v>1.4</v>
      </c>
      <c r="V124" s="219">
        <f t="shared" si="21"/>
        <v>479.7467573825345</v>
      </c>
      <c r="W124" s="106">
        <f t="shared" si="22"/>
        <v>3.1983117158835634</v>
      </c>
      <c r="X124" s="107">
        <f t="shared" si="23"/>
        <v>2530</v>
      </c>
      <c r="Y124" s="108">
        <f t="shared" si="24"/>
        <v>16.866666666666667</v>
      </c>
      <c r="Z124" s="88">
        <f t="shared" si="25"/>
        <v>10120</v>
      </c>
      <c r="AA124" s="88">
        <f t="shared" si="26"/>
        <v>1897.5</v>
      </c>
      <c r="AB124" s="88">
        <f t="shared" si="27"/>
        <v>17710</v>
      </c>
      <c r="AC124" s="109">
        <f t="shared" si="15"/>
        <v>1593.8999999999999</v>
      </c>
      <c r="AD124" s="109">
        <f t="shared" si="16"/>
        <v>425.04</v>
      </c>
      <c r="AE124" s="109">
        <f t="shared" si="28"/>
        <v>3916.4399999999996</v>
      </c>
      <c r="AF124" s="73">
        <f t="shared" si="29"/>
        <v>26.109599999999997</v>
      </c>
    </row>
    <row r="125" spans="1:32" x14ac:dyDescent="0.25">
      <c r="A125" s="102">
        <v>86</v>
      </c>
      <c r="B125" s="68" t="str">
        <f t="shared" si="17"/>
        <v>1.17, Fert Appl (Liquid)  8R-30</v>
      </c>
      <c r="C125" s="103">
        <v>1.17</v>
      </c>
      <c r="D125" s="68" t="s">
        <v>151</v>
      </c>
      <c r="E125" s="68" t="s">
        <v>226</v>
      </c>
      <c r="F125" s="68" t="s">
        <v>155</v>
      </c>
      <c r="G125" s="68" t="str">
        <f t="shared" si="18"/>
        <v>Fert Appl (Liquid)  8R-30</v>
      </c>
      <c r="H125" s="85">
        <v>26300</v>
      </c>
      <c r="I125" s="221">
        <v>20</v>
      </c>
      <c r="J125" s="221">
        <v>6</v>
      </c>
      <c r="K125" s="221">
        <v>70</v>
      </c>
      <c r="L125" s="86">
        <f t="shared" si="19"/>
        <v>9.8214285714285712E-2</v>
      </c>
      <c r="M125" s="221">
        <v>40</v>
      </c>
      <c r="N125" s="221">
        <v>80</v>
      </c>
      <c r="O125" s="221">
        <v>8</v>
      </c>
      <c r="P125" s="221">
        <v>150</v>
      </c>
      <c r="Q125" s="221">
        <v>0</v>
      </c>
      <c r="R125" s="104">
        <f t="shared" si="20"/>
        <v>1200</v>
      </c>
      <c r="S125" s="104">
        <v>1</v>
      </c>
      <c r="T125" s="104">
        <v>0.27</v>
      </c>
      <c r="U125" s="104">
        <v>1.4</v>
      </c>
      <c r="V125" s="219">
        <f t="shared" si="21"/>
        <v>498.7090798087217</v>
      </c>
      <c r="W125" s="106">
        <f t="shared" si="22"/>
        <v>3.3247271987248115</v>
      </c>
      <c r="X125" s="107">
        <f t="shared" si="23"/>
        <v>2630</v>
      </c>
      <c r="Y125" s="108">
        <f t="shared" si="24"/>
        <v>17.533333333333335</v>
      </c>
      <c r="Z125" s="88">
        <f t="shared" si="25"/>
        <v>10520</v>
      </c>
      <c r="AA125" s="88">
        <f t="shared" si="26"/>
        <v>1972.5</v>
      </c>
      <c r="AB125" s="88">
        <f t="shared" si="27"/>
        <v>18410</v>
      </c>
      <c r="AC125" s="109">
        <f t="shared" si="15"/>
        <v>1656.8999999999999</v>
      </c>
      <c r="AD125" s="109">
        <f t="shared" si="16"/>
        <v>441.84000000000003</v>
      </c>
      <c r="AE125" s="109">
        <f t="shared" si="28"/>
        <v>4071.24</v>
      </c>
      <c r="AF125" s="73">
        <f t="shared" si="29"/>
        <v>27.141599999999997</v>
      </c>
    </row>
    <row r="126" spans="1:32" x14ac:dyDescent="0.25">
      <c r="A126" s="102">
        <v>87</v>
      </c>
      <c r="B126" s="68" t="str">
        <f t="shared" si="17"/>
        <v>1.18, Fert Appl (Liquid)  8R-36</v>
      </c>
      <c r="C126" s="103">
        <v>1.18</v>
      </c>
      <c r="D126" s="68" t="s">
        <v>151</v>
      </c>
      <c r="E126" s="68" t="s">
        <v>226</v>
      </c>
      <c r="F126" s="68" t="s">
        <v>160</v>
      </c>
      <c r="G126" s="68" t="str">
        <f t="shared" si="18"/>
        <v>Fert Appl (Liquid)  8R-36</v>
      </c>
      <c r="H126" s="85">
        <v>29500</v>
      </c>
      <c r="I126" s="221">
        <v>24</v>
      </c>
      <c r="J126" s="221">
        <v>6</v>
      </c>
      <c r="K126" s="221">
        <v>70</v>
      </c>
      <c r="L126" s="86">
        <f t="shared" si="19"/>
        <v>8.1845238095238096E-2</v>
      </c>
      <c r="M126" s="221">
        <v>40</v>
      </c>
      <c r="N126" s="221">
        <v>80</v>
      </c>
      <c r="O126" s="221">
        <v>8</v>
      </c>
      <c r="P126" s="221">
        <v>150</v>
      </c>
      <c r="Q126" s="221">
        <v>0</v>
      </c>
      <c r="R126" s="104">
        <f t="shared" si="20"/>
        <v>1200</v>
      </c>
      <c r="S126" s="104">
        <v>1</v>
      </c>
      <c r="T126" s="104">
        <v>0.27</v>
      </c>
      <c r="U126" s="104">
        <v>1.4</v>
      </c>
      <c r="V126" s="219">
        <f t="shared" si="21"/>
        <v>559.38851157252054</v>
      </c>
      <c r="W126" s="106">
        <f t="shared" si="22"/>
        <v>3.7292567438168036</v>
      </c>
      <c r="X126" s="107">
        <f t="shared" si="23"/>
        <v>2950</v>
      </c>
      <c r="Y126" s="108">
        <f t="shared" si="24"/>
        <v>19.666666666666668</v>
      </c>
      <c r="Z126" s="88">
        <f t="shared" si="25"/>
        <v>11800</v>
      </c>
      <c r="AA126" s="88">
        <f t="shared" si="26"/>
        <v>2212.5</v>
      </c>
      <c r="AB126" s="88">
        <f t="shared" si="27"/>
        <v>20650</v>
      </c>
      <c r="AC126" s="109">
        <f t="shared" si="15"/>
        <v>1858.5</v>
      </c>
      <c r="AD126" s="109">
        <f t="shared" si="16"/>
        <v>495.6</v>
      </c>
      <c r="AE126" s="109">
        <f t="shared" si="28"/>
        <v>4566.6000000000004</v>
      </c>
      <c r="AF126" s="73">
        <f t="shared" si="29"/>
        <v>30.444000000000003</v>
      </c>
    </row>
    <row r="127" spans="1:32" x14ac:dyDescent="0.25">
      <c r="A127" s="102">
        <v>88</v>
      </c>
      <c r="B127" s="68" t="str">
        <f t="shared" si="17"/>
        <v>1.19, Fert Appl (Liquid) 10R-30</v>
      </c>
      <c r="C127" s="103">
        <v>1.19</v>
      </c>
      <c r="D127" s="68" t="s">
        <v>151</v>
      </c>
      <c r="E127" s="68" t="s">
        <v>226</v>
      </c>
      <c r="F127" s="68" t="s">
        <v>170</v>
      </c>
      <c r="G127" s="68" t="str">
        <f t="shared" si="18"/>
        <v>Fert Appl (Liquid) 10R-30</v>
      </c>
      <c r="H127" s="85">
        <v>23000</v>
      </c>
      <c r="I127" s="221">
        <v>25</v>
      </c>
      <c r="J127" s="221">
        <v>6</v>
      </c>
      <c r="K127" s="221">
        <v>70</v>
      </c>
      <c r="L127" s="86">
        <f t="shared" si="19"/>
        <v>7.857142857142857E-2</v>
      </c>
      <c r="M127" s="221">
        <v>40</v>
      </c>
      <c r="N127" s="221">
        <v>80</v>
      </c>
      <c r="O127" s="221">
        <v>8</v>
      </c>
      <c r="P127" s="221">
        <v>150</v>
      </c>
      <c r="Q127" s="221">
        <v>0</v>
      </c>
      <c r="R127" s="104">
        <f t="shared" si="20"/>
        <v>1200</v>
      </c>
      <c r="S127" s="104">
        <v>1</v>
      </c>
      <c r="T127" s="104">
        <v>0.27</v>
      </c>
      <c r="U127" s="104">
        <v>1.4</v>
      </c>
      <c r="V127" s="219">
        <f t="shared" si="21"/>
        <v>436.13341580230411</v>
      </c>
      <c r="W127" s="106">
        <f t="shared" si="22"/>
        <v>2.9075561053486942</v>
      </c>
      <c r="X127" s="107">
        <f t="shared" si="23"/>
        <v>2300</v>
      </c>
      <c r="Y127" s="108">
        <f t="shared" si="24"/>
        <v>15.333333333333334</v>
      </c>
      <c r="Z127" s="88">
        <f t="shared" si="25"/>
        <v>9200</v>
      </c>
      <c r="AA127" s="88">
        <f t="shared" si="26"/>
        <v>1725</v>
      </c>
      <c r="AB127" s="88">
        <f t="shared" si="27"/>
        <v>16100</v>
      </c>
      <c r="AC127" s="109">
        <f t="shared" si="15"/>
        <v>1449</v>
      </c>
      <c r="AD127" s="109">
        <f t="shared" si="16"/>
        <v>386.40000000000003</v>
      </c>
      <c r="AE127" s="109">
        <f t="shared" si="28"/>
        <v>3560.4</v>
      </c>
      <c r="AF127" s="73">
        <f t="shared" si="29"/>
        <v>23.736000000000001</v>
      </c>
    </row>
    <row r="128" spans="1:32" x14ac:dyDescent="0.25">
      <c r="A128" s="102">
        <v>308</v>
      </c>
      <c r="B128" s="68" t="str">
        <f t="shared" si="17"/>
        <v>1.2, Fert Appl (Liquid) 12R-30</v>
      </c>
      <c r="C128" s="103">
        <v>1.2</v>
      </c>
      <c r="D128" s="68" t="s">
        <v>151</v>
      </c>
      <c r="E128" s="68" t="s">
        <v>226</v>
      </c>
      <c r="F128" s="68" t="s">
        <v>156</v>
      </c>
      <c r="G128" s="68" t="str">
        <f t="shared" si="18"/>
        <v>Fert Appl (Liquid) 12R-30</v>
      </c>
      <c r="H128" s="85">
        <v>36200</v>
      </c>
      <c r="I128" s="221">
        <v>25</v>
      </c>
      <c r="J128" s="221">
        <v>6</v>
      </c>
      <c r="K128" s="221">
        <v>70</v>
      </c>
      <c r="L128" s="86">
        <f t="shared" si="19"/>
        <v>7.857142857142857E-2</v>
      </c>
      <c r="M128" s="221">
        <v>40</v>
      </c>
      <c r="N128" s="221">
        <v>80</v>
      </c>
      <c r="O128" s="221">
        <v>8</v>
      </c>
      <c r="P128" s="221">
        <v>150</v>
      </c>
      <c r="Q128" s="221">
        <v>0</v>
      </c>
      <c r="R128" s="104">
        <f t="shared" si="20"/>
        <v>1200</v>
      </c>
      <c r="S128" s="104">
        <v>1</v>
      </c>
      <c r="T128" s="104">
        <v>0.27</v>
      </c>
      <c r="U128" s="104">
        <v>1.4</v>
      </c>
      <c r="V128" s="219">
        <f t="shared" si="21"/>
        <v>686.43607182797427</v>
      </c>
      <c r="W128" s="106">
        <f t="shared" si="22"/>
        <v>4.5762404788531619</v>
      </c>
      <c r="X128" s="107">
        <f t="shared" si="23"/>
        <v>3620</v>
      </c>
      <c r="Y128" s="108">
        <f t="shared" si="24"/>
        <v>24.133333333333333</v>
      </c>
      <c r="Z128" s="88">
        <f t="shared" si="25"/>
        <v>14480</v>
      </c>
      <c r="AA128" s="88">
        <f t="shared" si="26"/>
        <v>2715</v>
      </c>
      <c r="AB128" s="88">
        <f t="shared" si="27"/>
        <v>25340</v>
      </c>
      <c r="AC128" s="109">
        <f t="shared" si="15"/>
        <v>2280.6</v>
      </c>
      <c r="AD128" s="109">
        <f t="shared" si="16"/>
        <v>608.16</v>
      </c>
      <c r="AE128" s="109">
        <f t="shared" si="28"/>
        <v>5603.76</v>
      </c>
      <c r="AF128" s="73">
        <f t="shared" si="29"/>
        <v>37.358400000000003</v>
      </c>
    </row>
    <row r="129" spans="1:32" x14ac:dyDescent="0.25">
      <c r="A129" s="102">
        <v>89</v>
      </c>
      <c r="B129" s="68" t="str">
        <f t="shared" si="17"/>
        <v>1.21, Fert Appl (Liquid) 10R-36</v>
      </c>
      <c r="C129" s="103">
        <v>1.21</v>
      </c>
      <c r="D129" s="68" t="s">
        <v>151</v>
      </c>
      <c r="E129" s="68" t="s">
        <v>226</v>
      </c>
      <c r="F129" s="68" t="s">
        <v>227</v>
      </c>
      <c r="G129" s="68" t="str">
        <f t="shared" si="18"/>
        <v>Fert Appl (Liquid) 10R-36</v>
      </c>
      <c r="H129" s="85">
        <v>24000</v>
      </c>
      <c r="I129" s="221">
        <v>31.7</v>
      </c>
      <c r="J129" s="221">
        <v>6</v>
      </c>
      <c r="K129" s="221">
        <v>70</v>
      </c>
      <c r="L129" s="86">
        <f t="shared" si="19"/>
        <v>6.1964849031095094E-2</v>
      </c>
      <c r="M129" s="221">
        <v>40</v>
      </c>
      <c r="N129" s="221">
        <v>80</v>
      </c>
      <c r="O129" s="221">
        <v>8</v>
      </c>
      <c r="P129" s="221">
        <v>150</v>
      </c>
      <c r="Q129" s="221">
        <v>0</v>
      </c>
      <c r="R129" s="104">
        <f t="shared" si="20"/>
        <v>1200</v>
      </c>
      <c r="S129" s="104">
        <v>1</v>
      </c>
      <c r="T129" s="104">
        <v>0.27</v>
      </c>
      <c r="U129" s="104">
        <v>1.4</v>
      </c>
      <c r="V129" s="219">
        <f t="shared" si="21"/>
        <v>455.09573822849126</v>
      </c>
      <c r="W129" s="106">
        <f t="shared" si="22"/>
        <v>3.0339715881899418</v>
      </c>
      <c r="X129" s="107">
        <f t="shared" si="23"/>
        <v>2400</v>
      </c>
      <c r="Y129" s="108">
        <f t="shared" si="24"/>
        <v>16</v>
      </c>
      <c r="Z129" s="88">
        <f t="shared" si="25"/>
        <v>9600</v>
      </c>
      <c r="AA129" s="88">
        <f t="shared" si="26"/>
        <v>1800</v>
      </c>
      <c r="AB129" s="88">
        <f t="shared" si="27"/>
        <v>16800</v>
      </c>
      <c r="AC129" s="109">
        <f t="shared" si="15"/>
        <v>1512</v>
      </c>
      <c r="AD129" s="109">
        <f t="shared" si="16"/>
        <v>403.2</v>
      </c>
      <c r="AE129" s="109">
        <f t="shared" si="28"/>
        <v>3715.2</v>
      </c>
      <c r="AF129" s="73">
        <f t="shared" si="29"/>
        <v>24.767999999999997</v>
      </c>
    </row>
    <row r="130" spans="1:32" x14ac:dyDescent="0.25">
      <c r="A130" s="102">
        <v>244</v>
      </c>
      <c r="B130" s="68" t="str">
        <f t="shared" si="17"/>
        <v>1.22, Fert Appl (Liquid)  8R-36 2x1</v>
      </c>
      <c r="C130" s="103">
        <v>1.22</v>
      </c>
      <c r="D130" s="68" t="s">
        <v>151</v>
      </c>
      <c r="E130" s="68" t="s">
        <v>226</v>
      </c>
      <c r="F130" s="68" t="s">
        <v>157</v>
      </c>
      <c r="G130" s="68" t="str">
        <f t="shared" si="18"/>
        <v>Fert Appl (Liquid)  8R-36 2x1</v>
      </c>
      <c r="H130" s="85">
        <v>32900</v>
      </c>
      <c r="I130" s="221">
        <v>36</v>
      </c>
      <c r="J130" s="221">
        <v>6</v>
      </c>
      <c r="K130" s="221">
        <v>70</v>
      </c>
      <c r="L130" s="86">
        <f t="shared" si="19"/>
        <v>5.4563492063492071E-2</v>
      </c>
      <c r="M130" s="221">
        <v>40</v>
      </c>
      <c r="N130" s="221">
        <v>80</v>
      </c>
      <c r="O130" s="221">
        <v>8</v>
      </c>
      <c r="P130" s="221">
        <v>150</v>
      </c>
      <c r="Q130" s="221">
        <v>0</v>
      </c>
      <c r="R130" s="104">
        <f t="shared" si="20"/>
        <v>1200</v>
      </c>
      <c r="S130" s="104">
        <v>1</v>
      </c>
      <c r="T130" s="104">
        <v>0.27</v>
      </c>
      <c r="U130" s="104">
        <v>1.4</v>
      </c>
      <c r="V130" s="219">
        <f t="shared" si="21"/>
        <v>623.86040782155669</v>
      </c>
      <c r="W130" s="106">
        <f t="shared" si="22"/>
        <v>4.1590693854770446</v>
      </c>
      <c r="X130" s="107">
        <f t="shared" si="23"/>
        <v>3290</v>
      </c>
      <c r="Y130" s="108">
        <f t="shared" si="24"/>
        <v>21.933333333333334</v>
      </c>
      <c r="Z130" s="88">
        <f t="shared" si="25"/>
        <v>13160</v>
      </c>
      <c r="AA130" s="88">
        <f t="shared" si="26"/>
        <v>2467.5</v>
      </c>
      <c r="AB130" s="88">
        <f t="shared" si="27"/>
        <v>23030</v>
      </c>
      <c r="AC130" s="109">
        <f t="shared" si="15"/>
        <v>2072.6999999999998</v>
      </c>
      <c r="AD130" s="109">
        <f t="shared" si="16"/>
        <v>552.72</v>
      </c>
      <c r="AE130" s="109">
        <f t="shared" si="28"/>
        <v>5092.92</v>
      </c>
      <c r="AF130" s="73">
        <f t="shared" si="29"/>
        <v>33.952800000000003</v>
      </c>
    </row>
    <row r="131" spans="1:32" x14ac:dyDescent="0.25">
      <c r="A131" s="102">
        <v>245</v>
      </c>
      <c r="B131" s="68" t="str">
        <f t="shared" si="17"/>
        <v>1.23, Fert Appl (Liquid) 12R-36</v>
      </c>
      <c r="C131" s="103">
        <v>1.23</v>
      </c>
      <c r="D131" s="68" t="s">
        <v>151</v>
      </c>
      <c r="E131" s="68" t="s">
        <v>226</v>
      </c>
      <c r="F131" s="68" t="s">
        <v>158</v>
      </c>
      <c r="G131" s="68" t="str">
        <f t="shared" si="18"/>
        <v>Fert Appl (Liquid) 12R-36</v>
      </c>
      <c r="H131" s="85">
        <v>31100</v>
      </c>
      <c r="I131" s="221">
        <v>36</v>
      </c>
      <c r="J131" s="221">
        <v>6</v>
      </c>
      <c r="K131" s="221">
        <v>70</v>
      </c>
      <c r="L131" s="86">
        <f t="shared" si="19"/>
        <v>5.4563492063492071E-2</v>
      </c>
      <c r="M131" s="221">
        <v>40</v>
      </c>
      <c r="N131" s="221">
        <v>80</v>
      </c>
      <c r="O131" s="221">
        <v>8</v>
      </c>
      <c r="P131" s="221">
        <v>150</v>
      </c>
      <c r="Q131" s="221">
        <v>0</v>
      </c>
      <c r="R131" s="104">
        <f t="shared" si="20"/>
        <v>1200</v>
      </c>
      <c r="S131" s="104">
        <v>1</v>
      </c>
      <c r="T131" s="104">
        <v>0.27</v>
      </c>
      <c r="U131" s="104">
        <v>1.4</v>
      </c>
      <c r="V131" s="219">
        <f t="shared" si="21"/>
        <v>589.72822745441988</v>
      </c>
      <c r="W131" s="106">
        <f t="shared" si="22"/>
        <v>3.9315215163627992</v>
      </c>
      <c r="X131" s="107">
        <f t="shared" si="23"/>
        <v>3110</v>
      </c>
      <c r="Y131" s="108">
        <f t="shared" si="24"/>
        <v>20.733333333333334</v>
      </c>
      <c r="Z131" s="88">
        <f t="shared" si="25"/>
        <v>12440</v>
      </c>
      <c r="AA131" s="88">
        <f t="shared" si="26"/>
        <v>2332.5</v>
      </c>
      <c r="AB131" s="88">
        <f t="shared" si="27"/>
        <v>21770</v>
      </c>
      <c r="AC131" s="109">
        <f t="shared" si="15"/>
        <v>1959.3</v>
      </c>
      <c r="AD131" s="109">
        <f t="shared" si="16"/>
        <v>522.48</v>
      </c>
      <c r="AE131" s="109">
        <f t="shared" si="28"/>
        <v>4814.2800000000007</v>
      </c>
      <c r="AF131" s="73">
        <f t="shared" si="29"/>
        <v>32.095200000000006</v>
      </c>
    </row>
    <row r="132" spans="1:32" x14ac:dyDescent="0.25">
      <c r="A132" s="102">
        <v>100</v>
      </c>
      <c r="B132" s="68" t="str">
        <f t="shared" si="17"/>
        <v>1.24, Field Cult &amp; Inc 42'</v>
      </c>
      <c r="C132" s="103">
        <v>1.24</v>
      </c>
      <c r="D132" s="68" t="s">
        <v>151</v>
      </c>
      <c r="E132" s="68" t="s">
        <v>228</v>
      </c>
      <c r="F132" s="68" t="s">
        <v>199</v>
      </c>
      <c r="G132" s="68" t="str">
        <f t="shared" si="18"/>
        <v>Field Cult &amp; Inc 42'</v>
      </c>
      <c r="H132" s="220">
        <v>97800</v>
      </c>
      <c r="I132" s="221">
        <v>42</v>
      </c>
      <c r="J132" s="221">
        <v>6.5</v>
      </c>
      <c r="K132" s="221">
        <v>80</v>
      </c>
      <c r="L132" s="86">
        <f t="shared" si="19"/>
        <v>3.7774725274725272E-2</v>
      </c>
      <c r="M132" s="221">
        <v>30</v>
      </c>
      <c r="N132" s="221">
        <v>25</v>
      </c>
      <c r="O132" s="221">
        <v>10</v>
      </c>
      <c r="P132" s="221">
        <v>100</v>
      </c>
      <c r="Q132" s="221">
        <v>0</v>
      </c>
      <c r="R132" s="104">
        <f t="shared" si="20"/>
        <v>1000</v>
      </c>
      <c r="S132" s="104">
        <v>1</v>
      </c>
      <c r="T132" s="104">
        <v>0.27</v>
      </c>
      <c r="U132" s="104">
        <v>1.4</v>
      </c>
      <c r="V132" s="219">
        <f t="shared" si="21"/>
        <v>1051.2417945635655</v>
      </c>
      <c r="W132" s="106">
        <f t="shared" si="22"/>
        <v>10.512417945635654</v>
      </c>
      <c r="X132" s="107">
        <f t="shared" si="23"/>
        <v>2445</v>
      </c>
      <c r="Y132" s="108">
        <f t="shared" si="24"/>
        <v>24.45</v>
      </c>
      <c r="Z132" s="88">
        <f t="shared" si="25"/>
        <v>29340</v>
      </c>
      <c r="AA132" s="88">
        <f t="shared" si="26"/>
        <v>6846</v>
      </c>
      <c r="AB132" s="88">
        <f t="shared" si="27"/>
        <v>63570</v>
      </c>
      <c r="AC132" s="109">
        <f t="shared" si="15"/>
        <v>5721.3</v>
      </c>
      <c r="AD132" s="109">
        <f t="shared" si="16"/>
        <v>1525.68</v>
      </c>
      <c r="AE132" s="109">
        <f t="shared" si="28"/>
        <v>14092.98</v>
      </c>
      <c r="AF132" s="73">
        <f t="shared" si="29"/>
        <v>140.9298</v>
      </c>
    </row>
    <row r="133" spans="1:32" x14ac:dyDescent="0.25">
      <c r="A133" s="102">
        <v>583</v>
      </c>
      <c r="B133" s="68" t="str">
        <f t="shared" si="17"/>
        <v>1.25, Field Cult &amp; Inc 50'</v>
      </c>
      <c r="C133" s="103">
        <v>1.25</v>
      </c>
      <c r="D133" s="68" t="s">
        <v>151</v>
      </c>
      <c r="E133" s="68" t="s">
        <v>228</v>
      </c>
      <c r="F133" s="68" t="s">
        <v>200</v>
      </c>
      <c r="G133" s="68" t="str">
        <f t="shared" si="18"/>
        <v>Field Cult &amp; Inc 50'</v>
      </c>
      <c r="H133" s="220">
        <v>105000</v>
      </c>
      <c r="I133" s="221">
        <v>50</v>
      </c>
      <c r="J133" s="221">
        <v>6.5</v>
      </c>
      <c r="K133" s="221">
        <v>80</v>
      </c>
      <c r="L133" s="86">
        <f t="shared" si="19"/>
        <v>3.1730769230769229E-2</v>
      </c>
      <c r="M133" s="221">
        <v>30</v>
      </c>
      <c r="N133" s="221">
        <v>25</v>
      </c>
      <c r="O133" s="221">
        <v>10</v>
      </c>
      <c r="P133" s="221">
        <v>100</v>
      </c>
      <c r="Q133" s="221">
        <v>0</v>
      </c>
      <c r="R133" s="104">
        <f t="shared" si="20"/>
        <v>1000</v>
      </c>
      <c r="S133" s="104">
        <v>1</v>
      </c>
      <c r="T133" s="104">
        <v>0.27</v>
      </c>
      <c r="U133" s="104">
        <v>1.4</v>
      </c>
      <c r="V133" s="219">
        <f t="shared" si="21"/>
        <v>1128.6338285191655</v>
      </c>
      <c r="W133" s="106">
        <f t="shared" si="22"/>
        <v>11.286338285191654</v>
      </c>
      <c r="X133" s="107">
        <f t="shared" si="23"/>
        <v>2625</v>
      </c>
      <c r="Y133" s="108">
        <f t="shared" si="24"/>
        <v>26.25</v>
      </c>
      <c r="Z133" s="88">
        <f t="shared" si="25"/>
        <v>31500</v>
      </c>
      <c r="AA133" s="88">
        <f t="shared" si="26"/>
        <v>7350</v>
      </c>
      <c r="AB133" s="88">
        <f t="shared" si="27"/>
        <v>68250</v>
      </c>
      <c r="AC133" s="109">
        <f t="shared" ref="AC133:AC196" si="30">AB133*intir</f>
        <v>6142.5</v>
      </c>
      <c r="AD133" s="109">
        <f t="shared" ref="AD133:AD196" si="31">AB133*itr</f>
        <v>1638</v>
      </c>
      <c r="AE133" s="109">
        <f t="shared" si="28"/>
        <v>15130.5</v>
      </c>
      <c r="AF133" s="73">
        <f t="shared" si="29"/>
        <v>151.30500000000001</v>
      </c>
    </row>
    <row r="134" spans="1:32" x14ac:dyDescent="0.25">
      <c r="A134" s="102">
        <v>98</v>
      </c>
      <c r="B134" s="68" t="str">
        <f t="shared" si="17"/>
        <v>1.26, Field Cult &amp; Inc Fld 24'</v>
      </c>
      <c r="C134" s="103">
        <v>1.26</v>
      </c>
      <c r="D134" s="68" t="s">
        <v>151</v>
      </c>
      <c r="E134" s="68" t="s">
        <v>229</v>
      </c>
      <c r="F134" s="68" t="s">
        <v>197</v>
      </c>
      <c r="G134" s="68" t="str">
        <f t="shared" si="18"/>
        <v>Field Cult &amp; Inc Fld 24'</v>
      </c>
      <c r="H134" s="220">
        <v>47900</v>
      </c>
      <c r="I134" s="221">
        <v>24</v>
      </c>
      <c r="J134" s="221">
        <v>6.5</v>
      </c>
      <c r="K134" s="221">
        <v>80</v>
      </c>
      <c r="L134" s="86">
        <f t="shared" si="19"/>
        <v>6.6105769230769232E-2</v>
      </c>
      <c r="M134" s="221">
        <v>30</v>
      </c>
      <c r="N134" s="221">
        <v>25</v>
      </c>
      <c r="O134" s="221">
        <v>10</v>
      </c>
      <c r="P134" s="221">
        <v>100</v>
      </c>
      <c r="Q134" s="221">
        <v>0</v>
      </c>
      <c r="R134" s="104">
        <f t="shared" si="20"/>
        <v>1000</v>
      </c>
      <c r="S134" s="104">
        <v>1</v>
      </c>
      <c r="T134" s="104">
        <v>0.27</v>
      </c>
      <c r="U134" s="104">
        <v>1.4</v>
      </c>
      <c r="V134" s="219">
        <f t="shared" si="21"/>
        <v>514.87200367683829</v>
      </c>
      <c r="W134" s="106">
        <f t="shared" si="22"/>
        <v>5.148720036768383</v>
      </c>
      <c r="X134" s="107">
        <f t="shared" si="23"/>
        <v>1197.5</v>
      </c>
      <c r="Y134" s="108">
        <f t="shared" si="24"/>
        <v>11.975</v>
      </c>
      <c r="Z134" s="88">
        <f t="shared" si="25"/>
        <v>14370</v>
      </c>
      <c r="AA134" s="88">
        <f t="shared" si="26"/>
        <v>3353</v>
      </c>
      <c r="AB134" s="88">
        <f t="shared" si="27"/>
        <v>31135</v>
      </c>
      <c r="AC134" s="109">
        <f t="shared" si="30"/>
        <v>2802.15</v>
      </c>
      <c r="AD134" s="109">
        <f t="shared" si="31"/>
        <v>747.24</v>
      </c>
      <c r="AE134" s="109">
        <f t="shared" si="28"/>
        <v>6902.3899999999994</v>
      </c>
      <c r="AF134" s="73">
        <f t="shared" si="29"/>
        <v>69.023899999999998</v>
      </c>
    </row>
    <row r="135" spans="1:32" x14ac:dyDescent="0.25">
      <c r="A135" s="102">
        <v>99</v>
      </c>
      <c r="B135" s="68" t="str">
        <f t="shared" si="17"/>
        <v>1.27, Field Cult &amp; Inc Fld 32'</v>
      </c>
      <c r="C135" s="103">
        <v>1.27</v>
      </c>
      <c r="D135" s="68" t="s">
        <v>151</v>
      </c>
      <c r="E135" s="68" t="s">
        <v>229</v>
      </c>
      <c r="F135" s="68" t="s">
        <v>198</v>
      </c>
      <c r="G135" s="68" t="str">
        <f t="shared" si="18"/>
        <v>Field Cult &amp; Inc Fld 32'</v>
      </c>
      <c r="H135" s="220">
        <v>69400</v>
      </c>
      <c r="I135" s="221">
        <v>32</v>
      </c>
      <c r="J135" s="221">
        <v>6.5</v>
      </c>
      <c r="K135" s="221">
        <v>80</v>
      </c>
      <c r="L135" s="86">
        <f t="shared" si="19"/>
        <v>4.9579326923076927E-2</v>
      </c>
      <c r="M135" s="221">
        <v>30</v>
      </c>
      <c r="N135" s="221">
        <v>25</v>
      </c>
      <c r="O135" s="221">
        <v>10</v>
      </c>
      <c r="P135" s="221">
        <v>100</v>
      </c>
      <c r="Q135" s="221">
        <v>0</v>
      </c>
      <c r="R135" s="104">
        <f t="shared" si="20"/>
        <v>1000</v>
      </c>
      <c r="S135" s="104">
        <v>1</v>
      </c>
      <c r="T135" s="104">
        <v>0.27</v>
      </c>
      <c r="U135" s="104">
        <v>1.4</v>
      </c>
      <c r="V135" s="219">
        <f t="shared" si="21"/>
        <v>745.97321618314356</v>
      </c>
      <c r="W135" s="106">
        <f t="shared" si="22"/>
        <v>7.4597321618314361</v>
      </c>
      <c r="X135" s="107">
        <f t="shared" si="23"/>
        <v>1735</v>
      </c>
      <c r="Y135" s="108">
        <f t="shared" si="24"/>
        <v>17.350000000000001</v>
      </c>
      <c r="Z135" s="88">
        <f t="shared" si="25"/>
        <v>20820</v>
      </c>
      <c r="AA135" s="88">
        <f t="shared" si="26"/>
        <v>4858</v>
      </c>
      <c r="AB135" s="88">
        <f t="shared" si="27"/>
        <v>45110</v>
      </c>
      <c r="AC135" s="109">
        <f t="shared" si="30"/>
        <v>4059.8999999999996</v>
      </c>
      <c r="AD135" s="109">
        <f t="shared" si="31"/>
        <v>1082.6400000000001</v>
      </c>
      <c r="AE135" s="109">
        <f t="shared" si="28"/>
        <v>10000.539999999999</v>
      </c>
      <c r="AF135" s="73">
        <f t="shared" si="29"/>
        <v>100.00539999999999</v>
      </c>
    </row>
    <row r="136" spans="1:32" x14ac:dyDescent="0.25">
      <c r="A136" s="102">
        <v>97</v>
      </c>
      <c r="B136" s="68" t="str">
        <f t="shared" si="17"/>
        <v>1.28, Field Cult &amp; Inc Rdg 12'</v>
      </c>
      <c r="C136" s="103">
        <v>1.28</v>
      </c>
      <c r="D136" s="68" t="s">
        <v>151</v>
      </c>
      <c r="E136" s="68" t="s">
        <v>230</v>
      </c>
      <c r="F136" s="68" t="s">
        <v>231</v>
      </c>
      <c r="G136" s="68" t="str">
        <f t="shared" si="18"/>
        <v>Field Cult &amp; Inc Rdg 12'</v>
      </c>
      <c r="H136" s="220">
        <v>23200</v>
      </c>
      <c r="I136" s="221">
        <v>12</v>
      </c>
      <c r="J136" s="221">
        <v>6.5</v>
      </c>
      <c r="K136" s="221">
        <v>80</v>
      </c>
      <c r="L136" s="86">
        <f t="shared" si="19"/>
        <v>0.13221153846153846</v>
      </c>
      <c r="M136" s="221">
        <v>30</v>
      </c>
      <c r="N136" s="221">
        <v>25</v>
      </c>
      <c r="O136" s="221">
        <v>10</v>
      </c>
      <c r="P136" s="221">
        <v>100</v>
      </c>
      <c r="Q136" s="221">
        <v>0</v>
      </c>
      <c r="R136" s="104">
        <f t="shared" si="20"/>
        <v>1000</v>
      </c>
      <c r="S136" s="104">
        <v>1</v>
      </c>
      <c r="T136" s="104">
        <v>0.27</v>
      </c>
      <c r="U136" s="104">
        <v>1.4</v>
      </c>
      <c r="V136" s="219">
        <f t="shared" si="21"/>
        <v>249.37433163471081</v>
      </c>
      <c r="W136" s="106">
        <f t="shared" si="22"/>
        <v>2.4937433163471083</v>
      </c>
      <c r="X136" s="107">
        <f t="shared" si="23"/>
        <v>580</v>
      </c>
      <c r="Y136" s="108">
        <f t="shared" si="24"/>
        <v>5.8</v>
      </c>
      <c r="Z136" s="88">
        <f t="shared" si="25"/>
        <v>6960</v>
      </c>
      <c r="AA136" s="88">
        <f t="shared" si="26"/>
        <v>1624</v>
      </c>
      <c r="AB136" s="88">
        <f t="shared" si="27"/>
        <v>15080</v>
      </c>
      <c r="AC136" s="109">
        <f t="shared" si="30"/>
        <v>1357.2</v>
      </c>
      <c r="AD136" s="109">
        <f t="shared" si="31"/>
        <v>361.92</v>
      </c>
      <c r="AE136" s="109">
        <f t="shared" si="28"/>
        <v>3343.12</v>
      </c>
      <c r="AF136" s="73">
        <f t="shared" si="29"/>
        <v>33.431199999999997</v>
      </c>
    </row>
    <row r="137" spans="1:32" x14ac:dyDescent="0.25">
      <c r="A137" s="102">
        <v>102</v>
      </c>
      <c r="B137" s="68" t="str">
        <f t="shared" ref="B137:B200" si="32">CONCATENATE(C137,D137,E137,F137)</f>
        <v>1.29, Field Cultivate Fld 24'</v>
      </c>
      <c r="C137" s="103">
        <v>1.29</v>
      </c>
      <c r="D137" s="68" t="s">
        <v>151</v>
      </c>
      <c r="E137" s="68" t="s">
        <v>232</v>
      </c>
      <c r="F137" s="68" t="s">
        <v>197</v>
      </c>
      <c r="G137" s="68" t="str">
        <f t="shared" ref="G137:G200" si="33">CONCATENATE(E137,F137)</f>
        <v>Field Cultivate Fld 24'</v>
      </c>
      <c r="H137" s="220">
        <v>42100</v>
      </c>
      <c r="I137" s="221">
        <v>24</v>
      </c>
      <c r="J137" s="221">
        <v>6.5</v>
      </c>
      <c r="K137" s="221">
        <v>85</v>
      </c>
      <c r="L137" s="86">
        <f t="shared" ref="L137:L200" si="34">1/((I137*J137*K137/100*5280)/43560)</f>
        <v>6.2217194570135741E-2</v>
      </c>
      <c r="M137" s="221">
        <v>30</v>
      </c>
      <c r="N137" s="221">
        <v>25</v>
      </c>
      <c r="O137" s="221">
        <v>10</v>
      </c>
      <c r="P137" s="221">
        <v>100</v>
      </c>
      <c r="Q137" s="221">
        <v>0</v>
      </c>
      <c r="R137" s="104">
        <f t="shared" ref="R137:R200" si="35">P137*O137</f>
        <v>1000</v>
      </c>
      <c r="S137" s="104">
        <v>1</v>
      </c>
      <c r="T137" s="104">
        <v>0.27</v>
      </c>
      <c r="U137" s="104">
        <v>1.4</v>
      </c>
      <c r="V137" s="219">
        <f t="shared" ref="V137:V200" si="36">(T137*H137)*((S137*P137/1000)^U137)</f>
        <v>452.52842076816057</v>
      </c>
      <c r="W137" s="106">
        <f t="shared" ref="W137:W200" si="37">V137/P137</f>
        <v>4.5252842076816053</v>
      </c>
      <c r="X137" s="107">
        <f t="shared" ref="X137:X200" si="38">(H137*N137/100)/O137</f>
        <v>1052.5</v>
      </c>
      <c r="Y137" s="108">
        <f t="shared" ref="Y137:Y200" si="39">X137/P137</f>
        <v>10.525</v>
      </c>
      <c r="Z137" s="88">
        <f t="shared" ref="Z137:Z200" si="40">H137*M137/100</f>
        <v>12630</v>
      </c>
      <c r="AA137" s="88">
        <f t="shared" ref="AA137:AA200" si="41">(H137-Z137)/O137</f>
        <v>2947</v>
      </c>
      <c r="AB137" s="88">
        <f t="shared" ref="AB137:AB200" si="42">(Z137+H137)/2</f>
        <v>27365</v>
      </c>
      <c r="AC137" s="109">
        <f t="shared" si="30"/>
        <v>2462.85</v>
      </c>
      <c r="AD137" s="109">
        <f t="shared" si="31"/>
        <v>656.76</v>
      </c>
      <c r="AE137" s="109">
        <f t="shared" ref="AE137:AE200" si="43">AA137+AC137+AD137</f>
        <v>6066.6100000000006</v>
      </c>
      <c r="AF137" s="73">
        <f t="shared" ref="AF137:AF200" si="44">AE137/P137</f>
        <v>60.666100000000007</v>
      </c>
    </row>
    <row r="138" spans="1:32" x14ac:dyDescent="0.25">
      <c r="A138" s="102">
        <v>103</v>
      </c>
      <c r="B138" s="68" t="str">
        <f t="shared" si="32"/>
        <v>1.3, Field Cultivate Fld 32'</v>
      </c>
      <c r="C138" s="103">
        <v>1.3</v>
      </c>
      <c r="D138" s="68" t="s">
        <v>151</v>
      </c>
      <c r="E138" s="68" t="s">
        <v>232</v>
      </c>
      <c r="F138" s="68" t="s">
        <v>198</v>
      </c>
      <c r="G138" s="68" t="str">
        <f t="shared" si="33"/>
        <v>Field Cultivate Fld 32'</v>
      </c>
      <c r="H138" s="220">
        <v>63600</v>
      </c>
      <c r="I138" s="221">
        <v>32</v>
      </c>
      <c r="J138" s="221">
        <v>6.5</v>
      </c>
      <c r="K138" s="221">
        <v>85</v>
      </c>
      <c r="L138" s="86">
        <f t="shared" si="34"/>
        <v>4.6662895927601804E-2</v>
      </c>
      <c r="M138" s="221">
        <v>30</v>
      </c>
      <c r="N138" s="221">
        <v>25</v>
      </c>
      <c r="O138" s="221">
        <v>10</v>
      </c>
      <c r="P138" s="221">
        <v>100</v>
      </c>
      <c r="Q138" s="221">
        <v>0</v>
      </c>
      <c r="R138" s="104">
        <f t="shared" si="35"/>
        <v>1000</v>
      </c>
      <c r="S138" s="104">
        <v>1</v>
      </c>
      <c r="T138" s="104">
        <v>0.27</v>
      </c>
      <c r="U138" s="104">
        <v>1.4</v>
      </c>
      <c r="V138" s="219">
        <f t="shared" si="36"/>
        <v>683.62963327446585</v>
      </c>
      <c r="W138" s="106">
        <f t="shared" si="37"/>
        <v>6.8362963327446584</v>
      </c>
      <c r="X138" s="107">
        <f t="shared" si="38"/>
        <v>1590</v>
      </c>
      <c r="Y138" s="108">
        <f t="shared" si="39"/>
        <v>15.9</v>
      </c>
      <c r="Z138" s="88">
        <f t="shared" si="40"/>
        <v>19080</v>
      </c>
      <c r="AA138" s="88">
        <f t="shared" si="41"/>
        <v>4452</v>
      </c>
      <c r="AB138" s="88">
        <f t="shared" si="42"/>
        <v>41340</v>
      </c>
      <c r="AC138" s="109">
        <f t="shared" si="30"/>
        <v>3720.6</v>
      </c>
      <c r="AD138" s="109">
        <f t="shared" si="31"/>
        <v>992.16</v>
      </c>
      <c r="AE138" s="109">
        <f t="shared" si="43"/>
        <v>9164.76</v>
      </c>
      <c r="AF138" s="73">
        <f t="shared" si="44"/>
        <v>91.647599999999997</v>
      </c>
    </row>
    <row r="139" spans="1:32" x14ac:dyDescent="0.25">
      <c r="A139" s="102">
        <v>104</v>
      </c>
      <c r="B139" s="68" t="str">
        <f t="shared" si="32"/>
        <v>1.31, Field Cultivate Fld 42'</v>
      </c>
      <c r="C139" s="103">
        <v>1.31</v>
      </c>
      <c r="D139" s="68" t="s">
        <v>151</v>
      </c>
      <c r="E139" s="68" t="s">
        <v>232</v>
      </c>
      <c r="F139" s="68" t="s">
        <v>199</v>
      </c>
      <c r="G139" s="68" t="str">
        <f t="shared" si="33"/>
        <v>Field Cultivate Fld 42'</v>
      </c>
      <c r="H139" s="220">
        <v>87500</v>
      </c>
      <c r="I139" s="221">
        <v>42</v>
      </c>
      <c r="J139" s="221">
        <v>6.5</v>
      </c>
      <c r="K139" s="221">
        <v>85</v>
      </c>
      <c r="L139" s="86">
        <f t="shared" si="34"/>
        <v>3.555268261150614E-2</v>
      </c>
      <c r="M139" s="221">
        <v>30</v>
      </c>
      <c r="N139" s="221">
        <v>25</v>
      </c>
      <c r="O139" s="221">
        <v>10</v>
      </c>
      <c r="P139" s="221">
        <v>100</v>
      </c>
      <c r="Q139" s="221">
        <v>0</v>
      </c>
      <c r="R139" s="104">
        <f t="shared" si="35"/>
        <v>1000</v>
      </c>
      <c r="S139" s="104">
        <v>1</v>
      </c>
      <c r="T139" s="104">
        <v>0.27</v>
      </c>
      <c r="U139" s="104">
        <v>1.4</v>
      </c>
      <c r="V139" s="219">
        <f t="shared" si="36"/>
        <v>940.52819043263776</v>
      </c>
      <c r="W139" s="106">
        <f t="shared" si="37"/>
        <v>9.4052819043263778</v>
      </c>
      <c r="X139" s="107">
        <f t="shared" si="38"/>
        <v>2187.5</v>
      </c>
      <c r="Y139" s="108">
        <f t="shared" si="39"/>
        <v>21.875</v>
      </c>
      <c r="Z139" s="88">
        <f t="shared" si="40"/>
        <v>26250</v>
      </c>
      <c r="AA139" s="88">
        <f t="shared" si="41"/>
        <v>6125</v>
      </c>
      <c r="AB139" s="88">
        <f t="shared" si="42"/>
        <v>56875</v>
      </c>
      <c r="AC139" s="109">
        <f t="shared" si="30"/>
        <v>5118.75</v>
      </c>
      <c r="AD139" s="109">
        <f t="shared" si="31"/>
        <v>1365</v>
      </c>
      <c r="AE139" s="109">
        <f t="shared" si="43"/>
        <v>12608.75</v>
      </c>
      <c r="AF139" s="73">
        <f t="shared" si="44"/>
        <v>126.08750000000001</v>
      </c>
    </row>
    <row r="140" spans="1:32" x14ac:dyDescent="0.25">
      <c r="A140" s="102">
        <v>215</v>
      </c>
      <c r="B140" s="68" t="str">
        <f t="shared" si="32"/>
        <v>1.32, Field Cultivate Fld 50'</v>
      </c>
      <c r="C140" s="103">
        <v>1.32</v>
      </c>
      <c r="D140" s="68" t="s">
        <v>151</v>
      </c>
      <c r="E140" s="68" t="s">
        <v>232</v>
      </c>
      <c r="F140" s="68" t="s">
        <v>200</v>
      </c>
      <c r="G140" s="68" t="str">
        <f t="shared" si="33"/>
        <v>Field Cultivate Fld 50'</v>
      </c>
      <c r="H140" s="220">
        <v>95700</v>
      </c>
      <c r="I140" s="221">
        <v>50</v>
      </c>
      <c r="J140" s="221">
        <v>6.5</v>
      </c>
      <c r="K140" s="221">
        <v>85</v>
      </c>
      <c r="L140" s="86">
        <f t="shared" si="34"/>
        <v>2.986425339366516E-2</v>
      </c>
      <c r="M140" s="221">
        <v>30</v>
      </c>
      <c r="N140" s="221">
        <v>25</v>
      </c>
      <c r="O140" s="221">
        <v>10</v>
      </c>
      <c r="P140" s="221">
        <v>100</v>
      </c>
      <c r="Q140" s="221">
        <v>0</v>
      </c>
      <c r="R140" s="104">
        <f t="shared" si="35"/>
        <v>1000</v>
      </c>
      <c r="S140" s="104">
        <v>1</v>
      </c>
      <c r="T140" s="104">
        <v>0.27</v>
      </c>
      <c r="U140" s="104">
        <v>1.4</v>
      </c>
      <c r="V140" s="219">
        <f t="shared" si="36"/>
        <v>1028.6691179931822</v>
      </c>
      <c r="W140" s="106">
        <f t="shared" si="37"/>
        <v>10.286691179931822</v>
      </c>
      <c r="X140" s="107">
        <f t="shared" si="38"/>
        <v>2392.5</v>
      </c>
      <c r="Y140" s="108">
        <f t="shared" si="39"/>
        <v>23.925000000000001</v>
      </c>
      <c r="Z140" s="88">
        <f t="shared" si="40"/>
        <v>28710</v>
      </c>
      <c r="AA140" s="88">
        <f t="shared" si="41"/>
        <v>6699</v>
      </c>
      <c r="AB140" s="88">
        <f t="shared" si="42"/>
        <v>62205</v>
      </c>
      <c r="AC140" s="109">
        <f t="shared" si="30"/>
        <v>5598.45</v>
      </c>
      <c r="AD140" s="109">
        <f t="shared" si="31"/>
        <v>1492.92</v>
      </c>
      <c r="AE140" s="109">
        <f t="shared" si="43"/>
        <v>13790.37</v>
      </c>
      <c r="AF140" s="73">
        <f t="shared" si="44"/>
        <v>137.90370000000001</v>
      </c>
    </row>
    <row r="141" spans="1:32" x14ac:dyDescent="0.25">
      <c r="A141" s="102">
        <v>101</v>
      </c>
      <c r="B141" s="68" t="str">
        <f t="shared" si="32"/>
        <v>1.33, Field Cultivate Rdg 12'</v>
      </c>
      <c r="C141" s="103">
        <v>1.33</v>
      </c>
      <c r="D141" s="68" t="s">
        <v>151</v>
      </c>
      <c r="E141" s="68" t="s">
        <v>233</v>
      </c>
      <c r="F141" s="68" t="s">
        <v>231</v>
      </c>
      <c r="G141" s="68" t="str">
        <f t="shared" si="33"/>
        <v>Field Cultivate Rdg 12'</v>
      </c>
      <c r="H141" s="220">
        <v>17400</v>
      </c>
      <c r="I141" s="221">
        <v>12</v>
      </c>
      <c r="J141" s="221">
        <v>6.5</v>
      </c>
      <c r="K141" s="221">
        <v>85</v>
      </c>
      <c r="L141" s="86">
        <f t="shared" si="34"/>
        <v>0.12443438914027148</v>
      </c>
      <c r="M141" s="221">
        <v>30</v>
      </c>
      <c r="N141" s="221">
        <v>25</v>
      </c>
      <c r="O141" s="221">
        <v>10</v>
      </c>
      <c r="P141" s="221">
        <v>100</v>
      </c>
      <c r="Q141" s="221">
        <v>0</v>
      </c>
      <c r="R141" s="104">
        <f t="shared" si="35"/>
        <v>1000</v>
      </c>
      <c r="S141" s="104">
        <v>1</v>
      </c>
      <c r="T141" s="104">
        <v>0.27</v>
      </c>
      <c r="U141" s="104">
        <v>1.4</v>
      </c>
      <c r="V141" s="219">
        <f t="shared" si="36"/>
        <v>187.03074872603312</v>
      </c>
      <c r="W141" s="106">
        <f t="shared" si="37"/>
        <v>1.8703074872603311</v>
      </c>
      <c r="X141" s="107">
        <f t="shared" si="38"/>
        <v>435</v>
      </c>
      <c r="Y141" s="108">
        <f t="shared" si="39"/>
        <v>4.3499999999999996</v>
      </c>
      <c r="Z141" s="88">
        <f t="shared" si="40"/>
        <v>5220</v>
      </c>
      <c r="AA141" s="88">
        <f t="shared" si="41"/>
        <v>1218</v>
      </c>
      <c r="AB141" s="88">
        <f t="shared" si="42"/>
        <v>11310</v>
      </c>
      <c r="AC141" s="109">
        <f t="shared" si="30"/>
        <v>1017.9</v>
      </c>
      <c r="AD141" s="109">
        <f t="shared" si="31"/>
        <v>271.44</v>
      </c>
      <c r="AE141" s="109">
        <f t="shared" si="43"/>
        <v>2507.34</v>
      </c>
      <c r="AF141" s="73">
        <f t="shared" si="44"/>
        <v>25.073400000000003</v>
      </c>
    </row>
    <row r="142" spans="1:32" x14ac:dyDescent="0.25">
      <c r="A142" s="102">
        <v>556</v>
      </c>
      <c r="B142" s="68" t="str">
        <f t="shared" si="32"/>
        <v>1.34, Grain Drill  8'</v>
      </c>
      <c r="C142" s="103">
        <v>1.34</v>
      </c>
      <c r="D142" s="68" t="s">
        <v>151</v>
      </c>
      <c r="E142" s="68" t="s">
        <v>234</v>
      </c>
      <c r="F142" s="68" t="s">
        <v>235</v>
      </c>
      <c r="G142" s="68" t="str">
        <f t="shared" si="33"/>
        <v>Grain Drill  8'</v>
      </c>
      <c r="H142" s="85">
        <v>26500</v>
      </c>
      <c r="I142" s="221">
        <v>8</v>
      </c>
      <c r="J142" s="221">
        <v>6.25</v>
      </c>
      <c r="K142" s="221">
        <v>70</v>
      </c>
      <c r="L142" s="86">
        <f t="shared" si="34"/>
        <v>0.23571428571428574</v>
      </c>
      <c r="M142" s="221">
        <v>45</v>
      </c>
      <c r="N142" s="221">
        <v>45</v>
      </c>
      <c r="O142" s="221">
        <v>8</v>
      </c>
      <c r="P142" s="221">
        <v>150</v>
      </c>
      <c r="Q142" s="221">
        <v>0</v>
      </c>
      <c r="R142" s="104">
        <f t="shared" si="35"/>
        <v>1200</v>
      </c>
      <c r="S142" s="104">
        <v>1</v>
      </c>
      <c r="T142" s="104">
        <v>0.27</v>
      </c>
      <c r="U142" s="104">
        <v>1.4</v>
      </c>
      <c r="V142" s="219">
        <f t="shared" si="36"/>
        <v>502.50154429395917</v>
      </c>
      <c r="W142" s="106">
        <f t="shared" si="37"/>
        <v>3.3500102952930613</v>
      </c>
      <c r="X142" s="107">
        <f t="shared" si="38"/>
        <v>1490.625</v>
      </c>
      <c r="Y142" s="108">
        <f t="shared" si="39"/>
        <v>9.9375</v>
      </c>
      <c r="Z142" s="88">
        <f t="shared" si="40"/>
        <v>11925</v>
      </c>
      <c r="AA142" s="88">
        <f t="shared" si="41"/>
        <v>1821.875</v>
      </c>
      <c r="AB142" s="88">
        <f t="shared" si="42"/>
        <v>19212.5</v>
      </c>
      <c r="AC142" s="109">
        <f t="shared" si="30"/>
        <v>1729.125</v>
      </c>
      <c r="AD142" s="109">
        <f t="shared" si="31"/>
        <v>461.1</v>
      </c>
      <c r="AE142" s="109">
        <f t="shared" si="43"/>
        <v>4012.1</v>
      </c>
      <c r="AF142" s="73">
        <f t="shared" si="44"/>
        <v>26.747333333333334</v>
      </c>
    </row>
    <row r="143" spans="1:32" x14ac:dyDescent="0.25">
      <c r="A143" s="102">
        <v>558</v>
      </c>
      <c r="B143" s="68" t="str">
        <f t="shared" si="32"/>
        <v>1.35, Grain Drill 10'</v>
      </c>
      <c r="C143" s="103">
        <v>1.35</v>
      </c>
      <c r="D143" s="68" t="s">
        <v>151</v>
      </c>
      <c r="E143" s="68" t="s">
        <v>234</v>
      </c>
      <c r="F143" s="68" t="s">
        <v>203</v>
      </c>
      <c r="G143" s="68" t="str">
        <f t="shared" si="33"/>
        <v>Grain Drill 10'</v>
      </c>
      <c r="H143" s="85">
        <v>46400</v>
      </c>
      <c r="I143" s="221">
        <v>10</v>
      </c>
      <c r="J143" s="221">
        <v>6.25</v>
      </c>
      <c r="K143" s="221">
        <v>70</v>
      </c>
      <c r="L143" s="86">
        <f t="shared" si="34"/>
        <v>0.18857142857142858</v>
      </c>
      <c r="M143" s="221">
        <v>45</v>
      </c>
      <c r="N143" s="221">
        <v>45</v>
      </c>
      <c r="O143" s="221">
        <v>8</v>
      </c>
      <c r="P143" s="221">
        <v>150</v>
      </c>
      <c r="Q143" s="221">
        <v>0</v>
      </c>
      <c r="R143" s="104">
        <f t="shared" si="35"/>
        <v>1200</v>
      </c>
      <c r="S143" s="104">
        <v>1</v>
      </c>
      <c r="T143" s="104">
        <v>0.27</v>
      </c>
      <c r="U143" s="104">
        <v>1.4</v>
      </c>
      <c r="V143" s="219">
        <f t="shared" si="36"/>
        <v>879.85176057508306</v>
      </c>
      <c r="W143" s="106">
        <f t="shared" si="37"/>
        <v>5.8656784038338872</v>
      </c>
      <c r="X143" s="107">
        <f t="shared" si="38"/>
        <v>2610</v>
      </c>
      <c r="Y143" s="108">
        <f t="shared" si="39"/>
        <v>17.399999999999999</v>
      </c>
      <c r="Z143" s="88">
        <f t="shared" si="40"/>
        <v>20880</v>
      </c>
      <c r="AA143" s="88">
        <f t="shared" si="41"/>
        <v>3190</v>
      </c>
      <c r="AB143" s="88">
        <f t="shared" si="42"/>
        <v>33640</v>
      </c>
      <c r="AC143" s="109">
        <f t="shared" si="30"/>
        <v>3027.6</v>
      </c>
      <c r="AD143" s="109">
        <f t="shared" si="31"/>
        <v>807.36</v>
      </c>
      <c r="AE143" s="109">
        <f t="shared" si="43"/>
        <v>7024.96</v>
      </c>
      <c r="AF143" s="73">
        <f t="shared" si="44"/>
        <v>46.833066666666667</v>
      </c>
    </row>
    <row r="144" spans="1:32" x14ac:dyDescent="0.25">
      <c r="A144" s="102">
        <v>106</v>
      </c>
      <c r="B144" s="68" t="str">
        <f t="shared" si="32"/>
        <v>1.36, Grain Drill 12'</v>
      </c>
      <c r="C144" s="103">
        <v>1.36</v>
      </c>
      <c r="D144" s="68" t="s">
        <v>151</v>
      </c>
      <c r="E144" s="68" t="s">
        <v>234</v>
      </c>
      <c r="F144" s="68" t="s">
        <v>231</v>
      </c>
      <c r="G144" s="68" t="str">
        <f t="shared" si="33"/>
        <v>Grain Drill 12'</v>
      </c>
      <c r="H144" s="85">
        <v>55400</v>
      </c>
      <c r="I144" s="221">
        <v>12</v>
      </c>
      <c r="J144" s="221">
        <v>6.25</v>
      </c>
      <c r="K144" s="221">
        <v>70</v>
      </c>
      <c r="L144" s="86">
        <f t="shared" si="34"/>
        <v>0.15714285714285714</v>
      </c>
      <c r="M144" s="221">
        <v>45</v>
      </c>
      <c r="N144" s="221">
        <v>45</v>
      </c>
      <c r="O144" s="221">
        <v>8</v>
      </c>
      <c r="P144" s="221">
        <v>150</v>
      </c>
      <c r="Q144" s="221">
        <v>0</v>
      </c>
      <c r="R144" s="104">
        <f t="shared" si="35"/>
        <v>1200</v>
      </c>
      <c r="S144" s="104">
        <v>1</v>
      </c>
      <c r="T144" s="104">
        <v>0.27</v>
      </c>
      <c r="U144" s="104">
        <v>1.4</v>
      </c>
      <c r="V144" s="219">
        <f t="shared" si="36"/>
        <v>1050.5126624107675</v>
      </c>
      <c r="W144" s="106">
        <f t="shared" si="37"/>
        <v>7.0034177494051164</v>
      </c>
      <c r="X144" s="107">
        <f t="shared" si="38"/>
        <v>3116.25</v>
      </c>
      <c r="Y144" s="108">
        <f t="shared" si="39"/>
        <v>20.774999999999999</v>
      </c>
      <c r="Z144" s="88">
        <f t="shared" si="40"/>
        <v>24930</v>
      </c>
      <c r="AA144" s="88">
        <f t="shared" si="41"/>
        <v>3808.75</v>
      </c>
      <c r="AB144" s="88">
        <f t="shared" si="42"/>
        <v>40165</v>
      </c>
      <c r="AC144" s="109">
        <f t="shared" si="30"/>
        <v>3614.85</v>
      </c>
      <c r="AD144" s="109">
        <f t="shared" si="31"/>
        <v>963.96</v>
      </c>
      <c r="AE144" s="109">
        <f t="shared" si="43"/>
        <v>8387.5600000000013</v>
      </c>
      <c r="AF144" s="73">
        <f t="shared" si="44"/>
        <v>55.917066666666678</v>
      </c>
    </row>
    <row r="145" spans="1:32" x14ac:dyDescent="0.25">
      <c r="A145" s="102">
        <v>208</v>
      </c>
      <c r="B145" s="68" t="str">
        <f t="shared" si="32"/>
        <v>1.37, Grain Drill 15'</v>
      </c>
      <c r="C145" s="103">
        <v>1.37</v>
      </c>
      <c r="D145" s="68" t="s">
        <v>151</v>
      </c>
      <c r="E145" s="68" t="s">
        <v>234</v>
      </c>
      <c r="F145" s="68" t="s">
        <v>204</v>
      </c>
      <c r="G145" s="68" t="str">
        <f t="shared" si="33"/>
        <v>Grain Drill 15'</v>
      </c>
      <c r="H145" s="85">
        <v>49900</v>
      </c>
      <c r="I145" s="221">
        <v>15</v>
      </c>
      <c r="J145" s="221">
        <v>6.25</v>
      </c>
      <c r="K145" s="221">
        <v>70</v>
      </c>
      <c r="L145" s="86">
        <f t="shared" si="34"/>
        <v>0.12571428571428572</v>
      </c>
      <c r="M145" s="221">
        <v>45</v>
      </c>
      <c r="N145" s="221">
        <v>45</v>
      </c>
      <c r="O145" s="221">
        <v>8</v>
      </c>
      <c r="P145" s="221">
        <v>150</v>
      </c>
      <c r="Q145" s="221">
        <v>0</v>
      </c>
      <c r="R145" s="104">
        <f t="shared" si="35"/>
        <v>1200</v>
      </c>
      <c r="S145" s="104">
        <v>1</v>
      </c>
      <c r="T145" s="104">
        <v>0.27</v>
      </c>
      <c r="U145" s="104">
        <v>1.4</v>
      </c>
      <c r="V145" s="219">
        <f t="shared" si="36"/>
        <v>946.21988906673801</v>
      </c>
      <c r="W145" s="106">
        <f t="shared" si="37"/>
        <v>6.3081325937782537</v>
      </c>
      <c r="X145" s="107">
        <f t="shared" si="38"/>
        <v>2806.875</v>
      </c>
      <c r="Y145" s="108">
        <f t="shared" si="39"/>
        <v>18.712499999999999</v>
      </c>
      <c r="Z145" s="88">
        <f t="shared" si="40"/>
        <v>22455</v>
      </c>
      <c r="AA145" s="88">
        <f t="shared" si="41"/>
        <v>3430.625</v>
      </c>
      <c r="AB145" s="88">
        <f t="shared" si="42"/>
        <v>36177.5</v>
      </c>
      <c r="AC145" s="109">
        <f t="shared" si="30"/>
        <v>3255.9749999999999</v>
      </c>
      <c r="AD145" s="109">
        <f t="shared" si="31"/>
        <v>868.26</v>
      </c>
      <c r="AE145" s="109">
        <f t="shared" si="43"/>
        <v>7554.8600000000006</v>
      </c>
      <c r="AF145" s="73">
        <f t="shared" si="44"/>
        <v>50.365733333333338</v>
      </c>
    </row>
    <row r="146" spans="1:32" x14ac:dyDescent="0.25">
      <c r="A146" s="102">
        <v>107</v>
      </c>
      <c r="B146" s="68" t="str">
        <f t="shared" si="32"/>
        <v>1.38, Grain Drill 20'</v>
      </c>
      <c r="C146" s="103">
        <v>1.38</v>
      </c>
      <c r="D146" s="68" t="s">
        <v>151</v>
      </c>
      <c r="E146" s="68" t="s">
        <v>234</v>
      </c>
      <c r="F146" s="68" t="s">
        <v>205</v>
      </c>
      <c r="G146" s="68" t="str">
        <f t="shared" si="33"/>
        <v>Grain Drill 20'</v>
      </c>
      <c r="H146" s="85">
        <v>55100</v>
      </c>
      <c r="I146" s="221">
        <v>20</v>
      </c>
      <c r="J146" s="221">
        <v>6.25</v>
      </c>
      <c r="K146" s="221">
        <v>70</v>
      </c>
      <c r="L146" s="86">
        <f t="shared" si="34"/>
        <v>9.4285714285714292E-2</v>
      </c>
      <c r="M146" s="221">
        <v>45</v>
      </c>
      <c r="N146" s="221">
        <v>45</v>
      </c>
      <c r="O146" s="221">
        <v>8</v>
      </c>
      <c r="P146" s="221">
        <v>150</v>
      </c>
      <c r="Q146" s="221">
        <v>0</v>
      </c>
      <c r="R146" s="104">
        <f t="shared" si="35"/>
        <v>1200</v>
      </c>
      <c r="S146" s="104">
        <v>1</v>
      </c>
      <c r="T146" s="104">
        <v>0.27</v>
      </c>
      <c r="U146" s="104">
        <v>1.4</v>
      </c>
      <c r="V146" s="219">
        <f t="shared" si="36"/>
        <v>1044.8239656829112</v>
      </c>
      <c r="W146" s="106">
        <f t="shared" si="37"/>
        <v>6.9654931045527411</v>
      </c>
      <c r="X146" s="107">
        <f t="shared" si="38"/>
        <v>3099.375</v>
      </c>
      <c r="Y146" s="108">
        <f t="shared" si="39"/>
        <v>20.662500000000001</v>
      </c>
      <c r="Z146" s="88">
        <f t="shared" si="40"/>
        <v>24795</v>
      </c>
      <c r="AA146" s="88">
        <f t="shared" si="41"/>
        <v>3788.125</v>
      </c>
      <c r="AB146" s="88">
        <f t="shared" si="42"/>
        <v>39947.5</v>
      </c>
      <c r="AC146" s="109">
        <f t="shared" si="30"/>
        <v>3595.2750000000001</v>
      </c>
      <c r="AD146" s="109">
        <f t="shared" si="31"/>
        <v>958.74</v>
      </c>
      <c r="AE146" s="109">
        <f t="shared" si="43"/>
        <v>8342.14</v>
      </c>
      <c r="AF146" s="73">
        <f t="shared" si="44"/>
        <v>55.614266666666666</v>
      </c>
    </row>
    <row r="147" spans="1:32" x14ac:dyDescent="0.25">
      <c r="A147" s="102">
        <v>209</v>
      </c>
      <c r="B147" s="68" t="str">
        <f t="shared" si="32"/>
        <v>1.39, Grain Drill 24'</v>
      </c>
      <c r="C147" s="103">
        <v>1.39</v>
      </c>
      <c r="D147" s="68" t="s">
        <v>151</v>
      </c>
      <c r="E147" s="68" t="s">
        <v>234</v>
      </c>
      <c r="F147" s="68" t="s">
        <v>197</v>
      </c>
      <c r="G147" s="68" t="str">
        <f t="shared" si="33"/>
        <v>Grain Drill 24'</v>
      </c>
      <c r="H147" s="85">
        <v>86500</v>
      </c>
      <c r="I147" s="221">
        <v>24</v>
      </c>
      <c r="J147" s="221">
        <v>6.25</v>
      </c>
      <c r="K147" s="221">
        <v>70</v>
      </c>
      <c r="L147" s="86">
        <f t="shared" si="34"/>
        <v>7.857142857142857E-2</v>
      </c>
      <c r="M147" s="221">
        <v>45</v>
      </c>
      <c r="N147" s="221">
        <v>45</v>
      </c>
      <c r="O147" s="221">
        <v>8</v>
      </c>
      <c r="P147" s="221">
        <v>150</v>
      </c>
      <c r="Q147" s="221">
        <v>0</v>
      </c>
      <c r="R147" s="104">
        <f t="shared" si="35"/>
        <v>1200</v>
      </c>
      <c r="S147" s="104">
        <v>1</v>
      </c>
      <c r="T147" s="104">
        <v>0.27</v>
      </c>
      <c r="U147" s="104">
        <v>1.4</v>
      </c>
      <c r="V147" s="219">
        <f t="shared" si="36"/>
        <v>1640.2408898651872</v>
      </c>
      <c r="W147" s="106">
        <f t="shared" si="37"/>
        <v>10.934939265767914</v>
      </c>
      <c r="X147" s="107">
        <f t="shared" si="38"/>
        <v>4865.625</v>
      </c>
      <c r="Y147" s="108">
        <f t="shared" si="39"/>
        <v>32.4375</v>
      </c>
      <c r="Z147" s="88">
        <f t="shared" si="40"/>
        <v>38925</v>
      </c>
      <c r="AA147" s="88">
        <f t="shared" si="41"/>
        <v>5946.875</v>
      </c>
      <c r="AB147" s="88">
        <f t="shared" si="42"/>
        <v>62712.5</v>
      </c>
      <c r="AC147" s="109">
        <f t="shared" si="30"/>
        <v>5644.125</v>
      </c>
      <c r="AD147" s="109">
        <f t="shared" si="31"/>
        <v>1505.1000000000001</v>
      </c>
      <c r="AE147" s="109">
        <f t="shared" si="43"/>
        <v>13096.1</v>
      </c>
      <c r="AF147" s="73">
        <f t="shared" si="44"/>
        <v>87.307333333333332</v>
      </c>
    </row>
    <row r="148" spans="1:32" x14ac:dyDescent="0.25">
      <c r="A148" s="102">
        <v>108</v>
      </c>
      <c r="B148" s="68" t="str">
        <f t="shared" si="32"/>
        <v>1.4, Grain Drill 30'</v>
      </c>
      <c r="C148" s="103">
        <v>1.4</v>
      </c>
      <c r="D148" s="68" t="s">
        <v>151</v>
      </c>
      <c r="E148" s="68" t="s">
        <v>234</v>
      </c>
      <c r="F148" s="68" t="s">
        <v>236</v>
      </c>
      <c r="G148" s="68" t="str">
        <f t="shared" si="33"/>
        <v>Grain Drill 30'</v>
      </c>
      <c r="H148" s="85">
        <v>101500</v>
      </c>
      <c r="I148" s="221">
        <v>30</v>
      </c>
      <c r="J148" s="221">
        <v>6.25</v>
      </c>
      <c r="K148" s="221">
        <v>70</v>
      </c>
      <c r="L148" s="86">
        <f t="shared" si="34"/>
        <v>6.2857142857142861E-2</v>
      </c>
      <c r="M148" s="221">
        <v>45</v>
      </c>
      <c r="N148" s="221">
        <v>45</v>
      </c>
      <c r="O148" s="221">
        <v>8</v>
      </c>
      <c r="P148" s="221">
        <v>150</v>
      </c>
      <c r="Q148" s="221">
        <v>0</v>
      </c>
      <c r="R148" s="104">
        <f t="shared" si="35"/>
        <v>1200</v>
      </c>
      <c r="S148" s="104">
        <v>1</v>
      </c>
      <c r="T148" s="104">
        <v>0.27</v>
      </c>
      <c r="U148" s="104">
        <v>1.4</v>
      </c>
      <c r="V148" s="219">
        <f t="shared" si="36"/>
        <v>1924.6757262579943</v>
      </c>
      <c r="W148" s="106">
        <f t="shared" si="37"/>
        <v>12.831171508386628</v>
      </c>
      <c r="X148" s="107">
        <f t="shared" si="38"/>
        <v>5709.375</v>
      </c>
      <c r="Y148" s="108">
        <f t="shared" si="39"/>
        <v>38.0625</v>
      </c>
      <c r="Z148" s="88">
        <f t="shared" si="40"/>
        <v>45675</v>
      </c>
      <c r="AA148" s="88">
        <f t="shared" si="41"/>
        <v>6978.125</v>
      </c>
      <c r="AB148" s="88">
        <f t="shared" si="42"/>
        <v>73587.5</v>
      </c>
      <c r="AC148" s="109">
        <f t="shared" si="30"/>
        <v>6622.875</v>
      </c>
      <c r="AD148" s="109">
        <f t="shared" si="31"/>
        <v>1766.1000000000001</v>
      </c>
      <c r="AE148" s="109">
        <f t="shared" si="43"/>
        <v>15367.1</v>
      </c>
      <c r="AF148" s="73">
        <f t="shared" si="44"/>
        <v>102.44733333333333</v>
      </c>
    </row>
    <row r="149" spans="1:32" x14ac:dyDescent="0.25">
      <c r="A149" s="102">
        <v>560</v>
      </c>
      <c r="B149" s="68" t="str">
        <f t="shared" si="32"/>
        <v>1.41, Grain Drill 35'</v>
      </c>
      <c r="C149" s="103">
        <v>1.41</v>
      </c>
      <c r="D149" s="68" t="s">
        <v>151</v>
      </c>
      <c r="E149" s="68" t="s">
        <v>234</v>
      </c>
      <c r="F149" s="68" t="s">
        <v>237</v>
      </c>
      <c r="G149" s="68" t="str">
        <f t="shared" si="33"/>
        <v>Grain Drill 35'</v>
      </c>
      <c r="H149" s="85">
        <v>117000</v>
      </c>
      <c r="I149" s="221">
        <v>35</v>
      </c>
      <c r="J149" s="221">
        <v>6.25</v>
      </c>
      <c r="K149" s="221">
        <v>70</v>
      </c>
      <c r="L149" s="86">
        <f t="shared" si="34"/>
        <v>5.3877551020408157E-2</v>
      </c>
      <c r="M149" s="221">
        <v>45</v>
      </c>
      <c r="N149" s="221">
        <v>45</v>
      </c>
      <c r="O149" s="221">
        <v>8</v>
      </c>
      <c r="P149" s="221">
        <v>150</v>
      </c>
      <c r="Q149" s="221">
        <v>0</v>
      </c>
      <c r="R149" s="104">
        <f t="shared" si="35"/>
        <v>1200</v>
      </c>
      <c r="S149" s="104">
        <v>1</v>
      </c>
      <c r="T149" s="104">
        <v>0.27</v>
      </c>
      <c r="U149" s="104">
        <v>1.4</v>
      </c>
      <c r="V149" s="219">
        <f t="shared" si="36"/>
        <v>2218.5917238638949</v>
      </c>
      <c r="W149" s="106">
        <f t="shared" si="37"/>
        <v>14.790611492425967</v>
      </c>
      <c r="X149" s="107">
        <f t="shared" si="38"/>
        <v>6581.25</v>
      </c>
      <c r="Y149" s="108">
        <f t="shared" si="39"/>
        <v>43.875</v>
      </c>
      <c r="Z149" s="88">
        <f t="shared" si="40"/>
        <v>52650</v>
      </c>
      <c r="AA149" s="88">
        <f t="shared" si="41"/>
        <v>8043.75</v>
      </c>
      <c r="AB149" s="88">
        <f t="shared" si="42"/>
        <v>84825</v>
      </c>
      <c r="AC149" s="109">
        <f t="shared" si="30"/>
        <v>7634.25</v>
      </c>
      <c r="AD149" s="109">
        <f t="shared" si="31"/>
        <v>2035.8</v>
      </c>
      <c r="AE149" s="109">
        <f t="shared" si="43"/>
        <v>17713.8</v>
      </c>
      <c r="AF149" s="73">
        <f t="shared" si="44"/>
        <v>118.092</v>
      </c>
    </row>
    <row r="150" spans="1:32" x14ac:dyDescent="0.25">
      <c r="A150" s="102">
        <v>557</v>
      </c>
      <c r="B150" s="68" t="str">
        <f t="shared" si="32"/>
        <v>1.42, Grain Drill &amp; Pre  8'</v>
      </c>
      <c r="C150" s="103">
        <v>1.42</v>
      </c>
      <c r="D150" s="68" t="s">
        <v>151</v>
      </c>
      <c r="E150" s="68" t="s">
        <v>238</v>
      </c>
      <c r="F150" s="68" t="s">
        <v>235</v>
      </c>
      <c r="G150" s="68" t="str">
        <f t="shared" si="33"/>
        <v>Grain Drill &amp; Pre  8'</v>
      </c>
      <c r="H150" s="85">
        <v>30000</v>
      </c>
      <c r="I150" s="221">
        <v>8</v>
      </c>
      <c r="J150" s="221">
        <v>6.25</v>
      </c>
      <c r="K150" s="221">
        <v>65</v>
      </c>
      <c r="L150" s="86">
        <f t="shared" si="34"/>
        <v>0.25384615384615383</v>
      </c>
      <c r="M150" s="221">
        <v>45</v>
      </c>
      <c r="N150" s="221">
        <v>45</v>
      </c>
      <c r="O150" s="221">
        <v>8</v>
      </c>
      <c r="P150" s="221">
        <v>150</v>
      </c>
      <c r="Q150" s="221">
        <v>0</v>
      </c>
      <c r="R150" s="104">
        <f t="shared" si="35"/>
        <v>1200</v>
      </c>
      <c r="S150" s="104">
        <v>1</v>
      </c>
      <c r="T150" s="104">
        <v>0.27</v>
      </c>
      <c r="U150" s="104">
        <v>1.4</v>
      </c>
      <c r="V150" s="219">
        <f t="shared" si="36"/>
        <v>568.86967278561417</v>
      </c>
      <c r="W150" s="106">
        <f t="shared" si="37"/>
        <v>3.7924644852374279</v>
      </c>
      <c r="X150" s="107">
        <f t="shared" si="38"/>
        <v>1687.5</v>
      </c>
      <c r="Y150" s="108">
        <f t="shared" si="39"/>
        <v>11.25</v>
      </c>
      <c r="Z150" s="88">
        <f t="shared" si="40"/>
        <v>13500</v>
      </c>
      <c r="AA150" s="88">
        <f t="shared" si="41"/>
        <v>2062.5</v>
      </c>
      <c r="AB150" s="88">
        <f t="shared" si="42"/>
        <v>21750</v>
      </c>
      <c r="AC150" s="109">
        <f t="shared" si="30"/>
        <v>1957.5</v>
      </c>
      <c r="AD150" s="109">
        <f t="shared" si="31"/>
        <v>522</v>
      </c>
      <c r="AE150" s="109">
        <f t="shared" si="43"/>
        <v>4542</v>
      </c>
      <c r="AF150" s="73">
        <f t="shared" si="44"/>
        <v>30.28</v>
      </c>
    </row>
    <row r="151" spans="1:32" x14ac:dyDescent="0.25">
      <c r="A151" s="102">
        <v>559</v>
      </c>
      <c r="B151" s="68" t="str">
        <f t="shared" si="32"/>
        <v>1.43, Grain Drill &amp; Pre 10'</v>
      </c>
      <c r="C151" s="103">
        <v>1.43</v>
      </c>
      <c r="D151" s="68" t="s">
        <v>151</v>
      </c>
      <c r="E151" s="68" t="s">
        <v>238</v>
      </c>
      <c r="F151" s="68" t="s">
        <v>203</v>
      </c>
      <c r="G151" s="68" t="str">
        <f t="shared" si="33"/>
        <v>Grain Drill &amp; Pre 10'</v>
      </c>
      <c r="H151" s="85">
        <v>52200</v>
      </c>
      <c r="I151" s="221">
        <v>10</v>
      </c>
      <c r="J151" s="221">
        <v>6.25</v>
      </c>
      <c r="K151" s="221">
        <v>65</v>
      </c>
      <c r="L151" s="86">
        <f t="shared" si="34"/>
        <v>0.2030769230769231</v>
      </c>
      <c r="M151" s="221">
        <v>45</v>
      </c>
      <c r="N151" s="221">
        <v>45</v>
      </c>
      <c r="O151" s="221">
        <v>8</v>
      </c>
      <c r="P151" s="221">
        <v>150</v>
      </c>
      <c r="Q151" s="221">
        <v>0</v>
      </c>
      <c r="R151" s="104">
        <f t="shared" si="35"/>
        <v>1200</v>
      </c>
      <c r="S151" s="104">
        <v>1</v>
      </c>
      <c r="T151" s="104">
        <v>0.27</v>
      </c>
      <c r="U151" s="104">
        <v>1.4</v>
      </c>
      <c r="V151" s="219">
        <f t="shared" si="36"/>
        <v>989.83323064696856</v>
      </c>
      <c r="W151" s="106">
        <f t="shared" si="37"/>
        <v>6.5988882043131234</v>
      </c>
      <c r="X151" s="107">
        <f t="shared" si="38"/>
        <v>2936.25</v>
      </c>
      <c r="Y151" s="108">
        <f t="shared" si="39"/>
        <v>19.574999999999999</v>
      </c>
      <c r="Z151" s="88">
        <f t="shared" si="40"/>
        <v>23490</v>
      </c>
      <c r="AA151" s="88">
        <f t="shared" si="41"/>
        <v>3588.75</v>
      </c>
      <c r="AB151" s="88">
        <f t="shared" si="42"/>
        <v>37845</v>
      </c>
      <c r="AC151" s="109">
        <f t="shared" si="30"/>
        <v>3406.0499999999997</v>
      </c>
      <c r="AD151" s="109">
        <f t="shared" si="31"/>
        <v>908.28</v>
      </c>
      <c r="AE151" s="109">
        <f t="shared" si="43"/>
        <v>7903.079999999999</v>
      </c>
      <c r="AF151" s="73">
        <f t="shared" si="44"/>
        <v>52.68719999999999</v>
      </c>
    </row>
    <row r="152" spans="1:32" x14ac:dyDescent="0.25">
      <c r="A152" s="102">
        <v>396</v>
      </c>
      <c r="B152" s="68" t="str">
        <f t="shared" si="32"/>
        <v>1.44, Grain Drill &amp; Pre 12'</v>
      </c>
      <c r="C152" s="103">
        <v>1.44</v>
      </c>
      <c r="D152" s="68" t="s">
        <v>151</v>
      </c>
      <c r="E152" s="68" t="s">
        <v>238</v>
      </c>
      <c r="F152" s="68" t="s">
        <v>231</v>
      </c>
      <c r="G152" s="68" t="str">
        <f t="shared" si="33"/>
        <v>Grain Drill &amp; Pre 12'</v>
      </c>
      <c r="H152" s="85">
        <v>61200</v>
      </c>
      <c r="I152" s="221">
        <v>12</v>
      </c>
      <c r="J152" s="221">
        <v>6.25</v>
      </c>
      <c r="K152" s="221">
        <v>65</v>
      </c>
      <c r="L152" s="86">
        <f t="shared" si="34"/>
        <v>0.16923076923076924</v>
      </c>
      <c r="M152" s="221">
        <v>45</v>
      </c>
      <c r="N152" s="221">
        <v>45</v>
      </c>
      <c r="O152" s="221">
        <v>8</v>
      </c>
      <c r="P152" s="221">
        <v>150</v>
      </c>
      <c r="Q152" s="221">
        <v>0</v>
      </c>
      <c r="R152" s="104">
        <f t="shared" si="35"/>
        <v>1200</v>
      </c>
      <c r="S152" s="104">
        <v>1</v>
      </c>
      <c r="T152" s="104">
        <v>0.27</v>
      </c>
      <c r="U152" s="104">
        <v>1.4</v>
      </c>
      <c r="V152" s="219">
        <f t="shared" si="36"/>
        <v>1160.4941324826527</v>
      </c>
      <c r="W152" s="106">
        <f t="shared" si="37"/>
        <v>7.7366275498843518</v>
      </c>
      <c r="X152" s="107">
        <f t="shared" si="38"/>
        <v>3442.5</v>
      </c>
      <c r="Y152" s="108">
        <f t="shared" si="39"/>
        <v>22.95</v>
      </c>
      <c r="Z152" s="88">
        <f t="shared" si="40"/>
        <v>27540</v>
      </c>
      <c r="AA152" s="88">
        <f t="shared" si="41"/>
        <v>4207.5</v>
      </c>
      <c r="AB152" s="88">
        <f t="shared" si="42"/>
        <v>44370</v>
      </c>
      <c r="AC152" s="109">
        <f t="shared" si="30"/>
        <v>3993.2999999999997</v>
      </c>
      <c r="AD152" s="109">
        <f t="shared" si="31"/>
        <v>1064.8800000000001</v>
      </c>
      <c r="AE152" s="109">
        <f t="shared" si="43"/>
        <v>9265.68</v>
      </c>
      <c r="AF152" s="73">
        <f t="shared" si="44"/>
        <v>61.7712</v>
      </c>
    </row>
    <row r="153" spans="1:32" x14ac:dyDescent="0.25">
      <c r="A153" s="102">
        <v>397</v>
      </c>
      <c r="B153" s="68" t="str">
        <f t="shared" si="32"/>
        <v>1.45, Grain Drill &amp; Pre 15'</v>
      </c>
      <c r="C153" s="103">
        <v>1.45</v>
      </c>
      <c r="D153" s="68" t="s">
        <v>151</v>
      </c>
      <c r="E153" s="68" t="s">
        <v>238</v>
      </c>
      <c r="F153" s="68" t="s">
        <v>204</v>
      </c>
      <c r="G153" s="68" t="str">
        <f t="shared" si="33"/>
        <v>Grain Drill &amp; Pre 15'</v>
      </c>
      <c r="H153" s="85">
        <v>55700</v>
      </c>
      <c r="I153" s="221">
        <v>15</v>
      </c>
      <c r="J153" s="221">
        <v>6.25</v>
      </c>
      <c r="K153" s="221">
        <v>65</v>
      </c>
      <c r="L153" s="86">
        <f t="shared" si="34"/>
        <v>0.13538461538461538</v>
      </c>
      <c r="M153" s="221">
        <v>45</v>
      </c>
      <c r="N153" s="221">
        <v>45</v>
      </c>
      <c r="O153" s="221">
        <v>8</v>
      </c>
      <c r="P153" s="221">
        <v>150</v>
      </c>
      <c r="Q153" s="221">
        <v>0</v>
      </c>
      <c r="R153" s="104">
        <f t="shared" si="35"/>
        <v>1200</v>
      </c>
      <c r="S153" s="104">
        <v>1</v>
      </c>
      <c r="T153" s="104">
        <v>0.27</v>
      </c>
      <c r="U153" s="104">
        <v>1.4</v>
      </c>
      <c r="V153" s="219">
        <f t="shared" si="36"/>
        <v>1056.2013591386235</v>
      </c>
      <c r="W153" s="106">
        <f t="shared" si="37"/>
        <v>7.04134239425749</v>
      </c>
      <c r="X153" s="107">
        <f t="shared" si="38"/>
        <v>3133.125</v>
      </c>
      <c r="Y153" s="108">
        <f t="shared" si="39"/>
        <v>20.887499999999999</v>
      </c>
      <c r="Z153" s="88">
        <f t="shared" si="40"/>
        <v>25065</v>
      </c>
      <c r="AA153" s="88">
        <f t="shared" si="41"/>
        <v>3829.375</v>
      </c>
      <c r="AB153" s="88">
        <f t="shared" si="42"/>
        <v>40382.5</v>
      </c>
      <c r="AC153" s="109">
        <f t="shared" si="30"/>
        <v>3634.4249999999997</v>
      </c>
      <c r="AD153" s="109">
        <f t="shared" si="31"/>
        <v>969.18000000000006</v>
      </c>
      <c r="AE153" s="109">
        <f t="shared" si="43"/>
        <v>8432.98</v>
      </c>
      <c r="AF153" s="73">
        <f t="shared" si="44"/>
        <v>56.219866666666661</v>
      </c>
    </row>
    <row r="154" spans="1:32" x14ac:dyDescent="0.25">
      <c r="A154" s="102">
        <v>398</v>
      </c>
      <c r="B154" s="68" t="str">
        <f t="shared" si="32"/>
        <v>1.46, Grain Drill &amp; Pre 20'</v>
      </c>
      <c r="C154" s="103">
        <v>1.46</v>
      </c>
      <c r="D154" s="68" t="s">
        <v>151</v>
      </c>
      <c r="E154" s="68" t="s">
        <v>238</v>
      </c>
      <c r="F154" s="68" t="s">
        <v>205</v>
      </c>
      <c r="G154" s="68" t="str">
        <f t="shared" si="33"/>
        <v>Grain Drill &amp; Pre 20'</v>
      </c>
      <c r="H154" s="85">
        <v>60900</v>
      </c>
      <c r="I154" s="221">
        <v>20</v>
      </c>
      <c r="J154" s="221">
        <v>6.25</v>
      </c>
      <c r="K154" s="221">
        <v>65</v>
      </c>
      <c r="L154" s="86">
        <f t="shared" si="34"/>
        <v>0.10153846153846155</v>
      </c>
      <c r="M154" s="221">
        <v>45</v>
      </c>
      <c r="N154" s="221">
        <v>45</v>
      </c>
      <c r="O154" s="221">
        <v>8</v>
      </c>
      <c r="P154" s="221">
        <v>150</v>
      </c>
      <c r="Q154" s="221">
        <v>0</v>
      </c>
      <c r="R154" s="104">
        <f t="shared" si="35"/>
        <v>1200</v>
      </c>
      <c r="S154" s="104">
        <v>1</v>
      </c>
      <c r="T154" s="104">
        <v>0.27</v>
      </c>
      <c r="U154" s="104">
        <v>1.4</v>
      </c>
      <c r="V154" s="219">
        <f t="shared" si="36"/>
        <v>1154.8054357547965</v>
      </c>
      <c r="W154" s="106">
        <f t="shared" si="37"/>
        <v>7.6987029050319764</v>
      </c>
      <c r="X154" s="107">
        <f t="shared" si="38"/>
        <v>3425.625</v>
      </c>
      <c r="Y154" s="108">
        <f t="shared" si="39"/>
        <v>22.837499999999999</v>
      </c>
      <c r="Z154" s="88">
        <f t="shared" si="40"/>
        <v>27405</v>
      </c>
      <c r="AA154" s="88">
        <f t="shared" si="41"/>
        <v>4186.875</v>
      </c>
      <c r="AB154" s="88">
        <f t="shared" si="42"/>
        <v>44152.5</v>
      </c>
      <c r="AC154" s="109">
        <f t="shared" si="30"/>
        <v>3973.7249999999999</v>
      </c>
      <c r="AD154" s="109">
        <f t="shared" si="31"/>
        <v>1059.6600000000001</v>
      </c>
      <c r="AE154" s="109">
        <f t="shared" si="43"/>
        <v>9220.26</v>
      </c>
      <c r="AF154" s="73">
        <f t="shared" si="44"/>
        <v>61.468400000000003</v>
      </c>
    </row>
    <row r="155" spans="1:32" x14ac:dyDescent="0.25">
      <c r="A155" s="102">
        <v>399</v>
      </c>
      <c r="B155" s="68" t="str">
        <f t="shared" si="32"/>
        <v>1.47, Grain Drill &amp; Pre 24'</v>
      </c>
      <c r="C155" s="103">
        <v>1.47</v>
      </c>
      <c r="D155" s="68" t="s">
        <v>151</v>
      </c>
      <c r="E155" s="68" t="s">
        <v>238</v>
      </c>
      <c r="F155" s="68" t="s">
        <v>197</v>
      </c>
      <c r="G155" s="68" t="str">
        <f t="shared" si="33"/>
        <v>Grain Drill &amp; Pre 24'</v>
      </c>
      <c r="H155" s="85">
        <v>92300</v>
      </c>
      <c r="I155" s="221">
        <v>24</v>
      </c>
      <c r="J155" s="221">
        <v>6.25</v>
      </c>
      <c r="K155" s="221">
        <v>65</v>
      </c>
      <c r="L155" s="86">
        <f t="shared" si="34"/>
        <v>8.461538461538462E-2</v>
      </c>
      <c r="M155" s="221">
        <v>45</v>
      </c>
      <c r="N155" s="221">
        <v>45</v>
      </c>
      <c r="O155" s="221">
        <v>8</v>
      </c>
      <c r="P155" s="221">
        <v>150</v>
      </c>
      <c r="Q155" s="221">
        <v>0</v>
      </c>
      <c r="R155" s="104">
        <f t="shared" si="35"/>
        <v>1200</v>
      </c>
      <c r="S155" s="104">
        <v>1</v>
      </c>
      <c r="T155" s="104">
        <v>0.27</v>
      </c>
      <c r="U155" s="104">
        <v>1.4</v>
      </c>
      <c r="V155" s="219">
        <f t="shared" si="36"/>
        <v>1750.2223599370725</v>
      </c>
      <c r="W155" s="106">
        <f t="shared" si="37"/>
        <v>11.66814906624715</v>
      </c>
      <c r="X155" s="107">
        <f t="shared" si="38"/>
        <v>5191.875</v>
      </c>
      <c r="Y155" s="108">
        <f t="shared" si="39"/>
        <v>34.612499999999997</v>
      </c>
      <c r="Z155" s="88">
        <f t="shared" si="40"/>
        <v>41535</v>
      </c>
      <c r="AA155" s="88">
        <f t="shared" si="41"/>
        <v>6345.625</v>
      </c>
      <c r="AB155" s="88">
        <f t="shared" si="42"/>
        <v>66917.5</v>
      </c>
      <c r="AC155" s="109">
        <f t="shared" si="30"/>
        <v>6022.5749999999998</v>
      </c>
      <c r="AD155" s="109">
        <f t="shared" si="31"/>
        <v>1606.02</v>
      </c>
      <c r="AE155" s="109">
        <f t="shared" si="43"/>
        <v>13974.220000000001</v>
      </c>
      <c r="AF155" s="73">
        <f t="shared" si="44"/>
        <v>93.161466666666669</v>
      </c>
    </row>
    <row r="156" spans="1:32" x14ac:dyDescent="0.25">
      <c r="A156" s="102">
        <v>400</v>
      </c>
      <c r="B156" s="68" t="str">
        <f t="shared" si="32"/>
        <v>1.48, Grain Drill &amp; Pre 30'</v>
      </c>
      <c r="C156" s="103">
        <v>1.48</v>
      </c>
      <c r="D156" s="68" t="s">
        <v>151</v>
      </c>
      <c r="E156" s="68" t="s">
        <v>238</v>
      </c>
      <c r="F156" s="68" t="s">
        <v>236</v>
      </c>
      <c r="G156" s="68" t="str">
        <f t="shared" si="33"/>
        <v>Grain Drill &amp; Pre 30'</v>
      </c>
      <c r="H156" s="85">
        <v>107000</v>
      </c>
      <c r="I156" s="221">
        <v>30</v>
      </c>
      <c r="J156" s="221">
        <v>6.25</v>
      </c>
      <c r="K156" s="221">
        <v>65</v>
      </c>
      <c r="L156" s="86">
        <f t="shared" si="34"/>
        <v>6.7692307692307691E-2</v>
      </c>
      <c r="M156" s="221">
        <v>45</v>
      </c>
      <c r="N156" s="221">
        <v>45</v>
      </c>
      <c r="O156" s="221">
        <v>8</v>
      </c>
      <c r="P156" s="221">
        <v>150</v>
      </c>
      <c r="Q156" s="221">
        <v>0</v>
      </c>
      <c r="R156" s="104">
        <f t="shared" si="35"/>
        <v>1200</v>
      </c>
      <c r="S156" s="104">
        <v>1</v>
      </c>
      <c r="T156" s="104">
        <v>0.27</v>
      </c>
      <c r="U156" s="104">
        <v>1.4</v>
      </c>
      <c r="V156" s="219">
        <f t="shared" si="36"/>
        <v>2028.9684996020237</v>
      </c>
      <c r="W156" s="106">
        <f t="shared" si="37"/>
        <v>13.526456664013491</v>
      </c>
      <c r="X156" s="107">
        <f t="shared" si="38"/>
        <v>6018.75</v>
      </c>
      <c r="Y156" s="108">
        <f t="shared" si="39"/>
        <v>40.125</v>
      </c>
      <c r="Z156" s="88">
        <f t="shared" si="40"/>
        <v>48150</v>
      </c>
      <c r="AA156" s="88">
        <f t="shared" si="41"/>
        <v>7356.25</v>
      </c>
      <c r="AB156" s="88">
        <f t="shared" si="42"/>
        <v>77575</v>
      </c>
      <c r="AC156" s="109">
        <f t="shared" si="30"/>
        <v>6981.75</v>
      </c>
      <c r="AD156" s="109">
        <f t="shared" si="31"/>
        <v>1861.8</v>
      </c>
      <c r="AE156" s="109">
        <f t="shared" si="43"/>
        <v>16199.8</v>
      </c>
      <c r="AF156" s="73">
        <f t="shared" si="44"/>
        <v>107.99866666666667</v>
      </c>
    </row>
    <row r="157" spans="1:32" x14ac:dyDescent="0.25">
      <c r="A157" s="102">
        <v>561</v>
      </c>
      <c r="B157" s="68" t="str">
        <f t="shared" si="32"/>
        <v>1.49, Grain Drill &amp; Pre 35'</v>
      </c>
      <c r="C157" s="103">
        <v>1.49</v>
      </c>
      <c r="D157" s="68" t="s">
        <v>151</v>
      </c>
      <c r="E157" s="68" t="s">
        <v>238</v>
      </c>
      <c r="F157" s="68" t="s">
        <v>237</v>
      </c>
      <c r="G157" s="68" t="str">
        <f t="shared" si="33"/>
        <v>Grain Drill &amp; Pre 35'</v>
      </c>
      <c r="H157" s="85">
        <v>123000</v>
      </c>
      <c r="I157" s="221">
        <v>35</v>
      </c>
      <c r="J157" s="221">
        <v>6.25</v>
      </c>
      <c r="K157" s="221">
        <v>65</v>
      </c>
      <c r="L157" s="86">
        <f t="shared" si="34"/>
        <v>5.8021978021978025E-2</v>
      </c>
      <c r="M157" s="221">
        <v>45</v>
      </c>
      <c r="N157" s="221">
        <v>45</v>
      </c>
      <c r="O157" s="221">
        <v>8</v>
      </c>
      <c r="P157" s="221">
        <v>150</v>
      </c>
      <c r="Q157" s="221">
        <v>0</v>
      </c>
      <c r="R157" s="104">
        <f t="shared" si="35"/>
        <v>1200</v>
      </c>
      <c r="S157" s="104">
        <v>1</v>
      </c>
      <c r="T157" s="104">
        <v>0.27</v>
      </c>
      <c r="U157" s="104">
        <v>1.4</v>
      </c>
      <c r="V157" s="219">
        <f t="shared" si="36"/>
        <v>2332.3656584210175</v>
      </c>
      <c r="W157" s="106">
        <f t="shared" si="37"/>
        <v>15.549104389473451</v>
      </c>
      <c r="X157" s="107">
        <f t="shared" si="38"/>
        <v>6918.75</v>
      </c>
      <c r="Y157" s="108">
        <f t="shared" si="39"/>
        <v>46.125</v>
      </c>
      <c r="Z157" s="88">
        <f t="shared" si="40"/>
        <v>55350</v>
      </c>
      <c r="AA157" s="88">
        <f t="shared" si="41"/>
        <v>8456.25</v>
      </c>
      <c r="AB157" s="88">
        <f t="shared" si="42"/>
        <v>89175</v>
      </c>
      <c r="AC157" s="109">
        <f t="shared" si="30"/>
        <v>8025.75</v>
      </c>
      <c r="AD157" s="109">
        <f t="shared" si="31"/>
        <v>2140.1999999999998</v>
      </c>
      <c r="AE157" s="109">
        <f t="shared" si="43"/>
        <v>18622.2</v>
      </c>
      <c r="AF157" s="73">
        <f t="shared" si="44"/>
        <v>124.14800000000001</v>
      </c>
    </row>
    <row r="158" spans="1:32" x14ac:dyDescent="0.25">
      <c r="A158" s="102">
        <v>711</v>
      </c>
      <c r="B158" s="68" t="str">
        <f t="shared" si="32"/>
        <v>1.5, Grain Drill &amp; Pre T 8R-36</v>
      </c>
      <c r="C158" s="103">
        <v>1.5</v>
      </c>
      <c r="D158" s="68" t="s">
        <v>151</v>
      </c>
      <c r="E158" s="68" t="s">
        <v>239</v>
      </c>
      <c r="F158" s="68" t="s">
        <v>166</v>
      </c>
      <c r="G158" s="68" t="str">
        <f t="shared" si="33"/>
        <v>Grain Drill &amp; Pre T 8R-36</v>
      </c>
      <c r="H158" s="110">
        <v>57000</v>
      </c>
      <c r="I158" s="221">
        <v>25</v>
      </c>
      <c r="J158" s="221">
        <v>6.25</v>
      </c>
      <c r="K158" s="221">
        <v>65</v>
      </c>
      <c r="L158" s="86">
        <f t="shared" si="34"/>
        <v>8.1230769230769231E-2</v>
      </c>
      <c r="M158" s="221">
        <v>45</v>
      </c>
      <c r="N158" s="221">
        <v>45</v>
      </c>
      <c r="O158" s="221">
        <v>8</v>
      </c>
      <c r="P158" s="221">
        <v>150</v>
      </c>
      <c r="Q158" s="221">
        <v>0</v>
      </c>
      <c r="R158" s="104">
        <f t="shared" si="35"/>
        <v>1200</v>
      </c>
      <c r="S158" s="104">
        <v>1</v>
      </c>
      <c r="T158" s="104">
        <v>0.27</v>
      </c>
      <c r="U158" s="104">
        <v>1.4</v>
      </c>
      <c r="V158" s="219">
        <f t="shared" si="36"/>
        <v>1080.8523782926668</v>
      </c>
      <c r="W158" s="106">
        <f t="shared" si="37"/>
        <v>7.205682521951112</v>
      </c>
      <c r="X158" s="107">
        <f t="shared" si="38"/>
        <v>3206.25</v>
      </c>
      <c r="Y158" s="108">
        <f t="shared" si="39"/>
        <v>21.375</v>
      </c>
      <c r="Z158" s="88">
        <f t="shared" si="40"/>
        <v>25650</v>
      </c>
      <c r="AA158" s="88">
        <f t="shared" si="41"/>
        <v>3918.75</v>
      </c>
      <c r="AB158" s="88">
        <f t="shared" si="42"/>
        <v>41325</v>
      </c>
      <c r="AC158" s="109">
        <f t="shared" si="30"/>
        <v>3719.25</v>
      </c>
      <c r="AD158" s="109">
        <f t="shared" si="31"/>
        <v>991.80000000000007</v>
      </c>
      <c r="AE158" s="109">
        <f t="shared" si="43"/>
        <v>8629.7999999999993</v>
      </c>
      <c r="AF158" s="73">
        <f t="shared" si="44"/>
        <v>57.531999999999996</v>
      </c>
    </row>
    <row r="159" spans="1:32" x14ac:dyDescent="0.25">
      <c r="A159" s="102">
        <v>186</v>
      </c>
      <c r="B159" s="68" t="str">
        <f t="shared" si="32"/>
        <v>1.51, Harrow -  Rigid 21'</v>
      </c>
      <c r="C159" s="103">
        <v>1.51</v>
      </c>
      <c r="D159" s="68" t="s">
        <v>151</v>
      </c>
      <c r="E159" s="68" t="s">
        <v>240</v>
      </c>
      <c r="F159" s="68" t="s">
        <v>241</v>
      </c>
      <c r="G159" s="68" t="str">
        <f t="shared" si="33"/>
        <v>Harrow -  Rigid 21'</v>
      </c>
      <c r="H159" s="85">
        <v>10000</v>
      </c>
      <c r="I159" s="221">
        <v>21</v>
      </c>
      <c r="J159" s="221">
        <v>6.25</v>
      </c>
      <c r="K159" s="221">
        <v>85</v>
      </c>
      <c r="L159" s="86">
        <f t="shared" si="34"/>
        <v>7.3949579831932774E-2</v>
      </c>
      <c r="M159" s="221">
        <v>30</v>
      </c>
      <c r="N159" s="221">
        <v>70</v>
      </c>
      <c r="O159" s="221">
        <v>10</v>
      </c>
      <c r="P159" s="221">
        <v>200</v>
      </c>
      <c r="Q159" s="221">
        <v>0</v>
      </c>
      <c r="R159" s="104">
        <f t="shared" si="35"/>
        <v>2000</v>
      </c>
      <c r="S159" s="104">
        <v>1</v>
      </c>
      <c r="T159" s="104">
        <v>0.27</v>
      </c>
      <c r="U159" s="104">
        <v>1.4</v>
      </c>
      <c r="V159" s="219">
        <f t="shared" si="36"/>
        <v>283.66500287560689</v>
      </c>
      <c r="W159" s="106">
        <f t="shared" si="37"/>
        <v>1.4183250143780344</v>
      </c>
      <c r="X159" s="107">
        <f t="shared" si="38"/>
        <v>700</v>
      </c>
      <c r="Y159" s="108">
        <f t="shared" si="39"/>
        <v>3.5</v>
      </c>
      <c r="Z159" s="88">
        <f t="shared" si="40"/>
        <v>3000</v>
      </c>
      <c r="AA159" s="88">
        <f t="shared" si="41"/>
        <v>700</v>
      </c>
      <c r="AB159" s="88">
        <f t="shared" si="42"/>
        <v>6500</v>
      </c>
      <c r="AC159" s="109">
        <f t="shared" si="30"/>
        <v>585</v>
      </c>
      <c r="AD159" s="109">
        <f t="shared" si="31"/>
        <v>156</v>
      </c>
      <c r="AE159" s="109">
        <f t="shared" si="43"/>
        <v>1441</v>
      </c>
      <c r="AF159" s="73">
        <f t="shared" si="44"/>
        <v>7.2050000000000001</v>
      </c>
    </row>
    <row r="160" spans="1:32" x14ac:dyDescent="0.25">
      <c r="A160" s="102">
        <v>739</v>
      </c>
      <c r="B160" s="68" t="str">
        <f t="shared" si="32"/>
        <v>1.52, Harrow - Folding 16'</v>
      </c>
      <c r="C160" s="103">
        <v>1.52</v>
      </c>
      <c r="D160" s="68" t="s">
        <v>151</v>
      </c>
      <c r="E160" s="68" t="s">
        <v>242</v>
      </c>
      <c r="F160" s="68" t="s">
        <v>196</v>
      </c>
      <c r="G160" s="68" t="str">
        <f t="shared" si="33"/>
        <v>Harrow - Folding 16'</v>
      </c>
      <c r="H160" s="85">
        <v>9500</v>
      </c>
      <c r="I160" s="221">
        <v>16</v>
      </c>
      <c r="J160" s="221">
        <v>6.25</v>
      </c>
      <c r="K160" s="221">
        <v>85</v>
      </c>
      <c r="L160" s="86">
        <f t="shared" si="34"/>
        <v>9.7058823529411767E-2</v>
      </c>
      <c r="M160" s="221">
        <v>30</v>
      </c>
      <c r="N160" s="221">
        <v>70</v>
      </c>
      <c r="O160" s="221">
        <v>10</v>
      </c>
      <c r="P160" s="221">
        <v>200</v>
      </c>
      <c r="Q160" s="221">
        <v>0</v>
      </c>
      <c r="R160" s="104">
        <f t="shared" si="35"/>
        <v>2000</v>
      </c>
      <c r="S160" s="104">
        <v>1</v>
      </c>
      <c r="T160" s="104">
        <v>0.27</v>
      </c>
      <c r="U160" s="104">
        <v>1.4</v>
      </c>
      <c r="V160" s="219">
        <f t="shared" si="36"/>
        <v>269.48175273182653</v>
      </c>
      <c r="W160" s="106">
        <f t="shared" si="37"/>
        <v>1.3474087636591328</v>
      </c>
      <c r="X160" s="107">
        <f t="shared" si="38"/>
        <v>665</v>
      </c>
      <c r="Y160" s="108">
        <f t="shared" si="39"/>
        <v>3.3250000000000002</v>
      </c>
      <c r="Z160" s="88">
        <f t="shared" si="40"/>
        <v>2850</v>
      </c>
      <c r="AA160" s="88">
        <f t="shared" si="41"/>
        <v>665</v>
      </c>
      <c r="AB160" s="88">
        <f t="shared" si="42"/>
        <v>6175</v>
      </c>
      <c r="AC160" s="109">
        <f t="shared" si="30"/>
        <v>555.75</v>
      </c>
      <c r="AD160" s="109">
        <f t="shared" si="31"/>
        <v>148.20000000000002</v>
      </c>
      <c r="AE160" s="109">
        <f t="shared" si="43"/>
        <v>1368.95</v>
      </c>
      <c r="AF160" s="73">
        <f t="shared" si="44"/>
        <v>6.8447500000000003</v>
      </c>
    </row>
    <row r="161" spans="1:32" x14ac:dyDescent="0.25">
      <c r="A161" s="102">
        <v>740</v>
      </c>
      <c r="B161" s="68" t="str">
        <f t="shared" si="32"/>
        <v>1.53, Harrow - Folding 24'</v>
      </c>
      <c r="C161" s="103">
        <v>1.53</v>
      </c>
      <c r="D161" s="68" t="s">
        <v>151</v>
      </c>
      <c r="E161" s="68" t="s">
        <v>242</v>
      </c>
      <c r="F161" s="68" t="s">
        <v>197</v>
      </c>
      <c r="G161" s="68" t="str">
        <f t="shared" si="33"/>
        <v>Harrow - Folding 24'</v>
      </c>
      <c r="H161" s="85">
        <v>13800</v>
      </c>
      <c r="I161" s="221">
        <v>24</v>
      </c>
      <c r="J161" s="221">
        <v>6.25</v>
      </c>
      <c r="K161" s="221">
        <v>85</v>
      </c>
      <c r="L161" s="86">
        <f t="shared" si="34"/>
        <v>6.4705882352941169E-2</v>
      </c>
      <c r="M161" s="221">
        <v>30</v>
      </c>
      <c r="N161" s="221">
        <v>70</v>
      </c>
      <c r="O161" s="221">
        <v>10</v>
      </c>
      <c r="P161" s="221">
        <v>200</v>
      </c>
      <c r="Q161" s="221">
        <v>0</v>
      </c>
      <c r="R161" s="104">
        <f t="shared" si="35"/>
        <v>2000</v>
      </c>
      <c r="S161" s="104">
        <v>1</v>
      </c>
      <c r="T161" s="104">
        <v>0.27</v>
      </c>
      <c r="U161" s="104">
        <v>1.4</v>
      </c>
      <c r="V161" s="219">
        <f t="shared" si="36"/>
        <v>391.45770396833757</v>
      </c>
      <c r="W161" s="106">
        <f t="shared" si="37"/>
        <v>1.9572885198416878</v>
      </c>
      <c r="X161" s="107">
        <f t="shared" si="38"/>
        <v>966</v>
      </c>
      <c r="Y161" s="108">
        <f t="shared" si="39"/>
        <v>4.83</v>
      </c>
      <c r="Z161" s="88">
        <f t="shared" si="40"/>
        <v>4140</v>
      </c>
      <c r="AA161" s="88">
        <f t="shared" si="41"/>
        <v>966</v>
      </c>
      <c r="AB161" s="88">
        <f t="shared" si="42"/>
        <v>8970</v>
      </c>
      <c r="AC161" s="109">
        <f t="shared" si="30"/>
        <v>807.3</v>
      </c>
      <c r="AD161" s="109">
        <f t="shared" si="31"/>
        <v>215.28</v>
      </c>
      <c r="AE161" s="109">
        <f t="shared" si="43"/>
        <v>1988.58</v>
      </c>
      <c r="AF161" s="73">
        <f t="shared" si="44"/>
        <v>9.9428999999999998</v>
      </c>
    </row>
    <row r="162" spans="1:32" x14ac:dyDescent="0.25">
      <c r="A162" s="102">
        <v>566</v>
      </c>
      <c r="B162" s="68" t="str">
        <f t="shared" si="32"/>
        <v>1.54, Harrow - Folding 30'</v>
      </c>
      <c r="C162" s="103">
        <v>1.54</v>
      </c>
      <c r="D162" s="68" t="s">
        <v>151</v>
      </c>
      <c r="E162" s="68" t="s">
        <v>242</v>
      </c>
      <c r="F162" s="68" t="s">
        <v>236</v>
      </c>
      <c r="G162" s="68" t="str">
        <f t="shared" si="33"/>
        <v>Harrow - Folding 30'</v>
      </c>
      <c r="H162" s="85">
        <v>15300</v>
      </c>
      <c r="I162" s="221">
        <v>30</v>
      </c>
      <c r="J162" s="221">
        <v>6.25</v>
      </c>
      <c r="K162" s="221">
        <v>85</v>
      </c>
      <c r="L162" s="86">
        <f t="shared" si="34"/>
        <v>5.1764705882352949E-2</v>
      </c>
      <c r="M162" s="221">
        <v>30</v>
      </c>
      <c r="N162" s="221">
        <v>70</v>
      </c>
      <c r="O162" s="221">
        <v>10</v>
      </c>
      <c r="P162" s="221">
        <v>200</v>
      </c>
      <c r="Q162" s="221">
        <v>0</v>
      </c>
      <c r="R162" s="104">
        <f t="shared" si="35"/>
        <v>2000</v>
      </c>
      <c r="S162" s="104">
        <v>1</v>
      </c>
      <c r="T162" s="104">
        <v>0.27</v>
      </c>
      <c r="U162" s="104">
        <v>1.4</v>
      </c>
      <c r="V162" s="219">
        <f t="shared" si="36"/>
        <v>434.00745439967858</v>
      </c>
      <c r="W162" s="106">
        <f t="shared" si="37"/>
        <v>2.1700372719983929</v>
      </c>
      <c r="X162" s="107">
        <f t="shared" si="38"/>
        <v>1071</v>
      </c>
      <c r="Y162" s="108">
        <f t="shared" si="39"/>
        <v>5.3550000000000004</v>
      </c>
      <c r="Z162" s="88">
        <f t="shared" si="40"/>
        <v>4590</v>
      </c>
      <c r="AA162" s="88">
        <f t="shared" si="41"/>
        <v>1071</v>
      </c>
      <c r="AB162" s="88">
        <f t="shared" si="42"/>
        <v>9945</v>
      </c>
      <c r="AC162" s="109">
        <f t="shared" si="30"/>
        <v>895.05</v>
      </c>
      <c r="AD162" s="109">
        <f t="shared" si="31"/>
        <v>238.68</v>
      </c>
      <c r="AE162" s="109">
        <f t="shared" si="43"/>
        <v>2204.73</v>
      </c>
      <c r="AF162" s="73">
        <f t="shared" si="44"/>
        <v>11.02365</v>
      </c>
    </row>
    <row r="163" spans="1:32" x14ac:dyDescent="0.25">
      <c r="A163" s="102">
        <v>210</v>
      </c>
      <c r="B163" s="68" t="str">
        <f t="shared" si="32"/>
        <v>1.55, Harrow - Folding 40'</v>
      </c>
      <c r="C163" s="103">
        <v>1.55</v>
      </c>
      <c r="D163" s="68" t="s">
        <v>151</v>
      </c>
      <c r="E163" s="68" t="s">
        <v>242</v>
      </c>
      <c r="F163" s="68" t="s">
        <v>243</v>
      </c>
      <c r="G163" s="68" t="str">
        <f t="shared" si="33"/>
        <v>Harrow - Folding 40'</v>
      </c>
      <c r="H163" s="85">
        <v>21300</v>
      </c>
      <c r="I163" s="221">
        <v>40</v>
      </c>
      <c r="J163" s="221">
        <v>6.25</v>
      </c>
      <c r="K163" s="221">
        <v>85</v>
      </c>
      <c r="L163" s="86">
        <f t="shared" si="34"/>
        <v>3.8823529411764708E-2</v>
      </c>
      <c r="M163" s="221">
        <v>30</v>
      </c>
      <c r="N163" s="221">
        <v>70</v>
      </c>
      <c r="O163" s="221">
        <v>10</v>
      </c>
      <c r="P163" s="221">
        <v>200</v>
      </c>
      <c r="Q163" s="221">
        <v>0</v>
      </c>
      <c r="R163" s="104">
        <f t="shared" si="35"/>
        <v>2000</v>
      </c>
      <c r="S163" s="104">
        <v>1</v>
      </c>
      <c r="T163" s="104">
        <v>0.27</v>
      </c>
      <c r="U163" s="104">
        <v>1.4</v>
      </c>
      <c r="V163" s="219">
        <f t="shared" si="36"/>
        <v>604.20645612504268</v>
      </c>
      <c r="W163" s="106">
        <f t="shared" si="37"/>
        <v>3.0210322806252132</v>
      </c>
      <c r="X163" s="107">
        <f t="shared" si="38"/>
        <v>1491</v>
      </c>
      <c r="Y163" s="108">
        <f t="shared" si="39"/>
        <v>7.4550000000000001</v>
      </c>
      <c r="Z163" s="88">
        <f t="shared" si="40"/>
        <v>6390</v>
      </c>
      <c r="AA163" s="88">
        <f t="shared" si="41"/>
        <v>1491</v>
      </c>
      <c r="AB163" s="88">
        <f t="shared" si="42"/>
        <v>13845</v>
      </c>
      <c r="AC163" s="109">
        <f t="shared" si="30"/>
        <v>1246.05</v>
      </c>
      <c r="AD163" s="109">
        <f t="shared" si="31"/>
        <v>332.28000000000003</v>
      </c>
      <c r="AE163" s="109">
        <f t="shared" si="43"/>
        <v>3069.3300000000004</v>
      </c>
      <c r="AF163" s="73">
        <f t="shared" si="44"/>
        <v>15.346650000000002</v>
      </c>
    </row>
    <row r="164" spans="1:32" x14ac:dyDescent="0.25">
      <c r="A164" s="102">
        <v>741</v>
      </c>
      <c r="B164" s="68" t="str">
        <f t="shared" si="32"/>
        <v>1.56, Harrow - Folding 48'</v>
      </c>
      <c r="C164" s="103">
        <v>1.56</v>
      </c>
      <c r="D164" s="68" t="s">
        <v>151</v>
      </c>
      <c r="E164" s="68" t="s">
        <v>242</v>
      </c>
      <c r="F164" s="68" t="s">
        <v>244</v>
      </c>
      <c r="G164" s="68" t="str">
        <f t="shared" si="33"/>
        <v>Harrow - Folding 48'</v>
      </c>
      <c r="H164" s="85">
        <v>36000</v>
      </c>
      <c r="I164" s="221">
        <v>48</v>
      </c>
      <c r="J164" s="221">
        <v>6.25</v>
      </c>
      <c r="K164" s="221">
        <v>85</v>
      </c>
      <c r="L164" s="86">
        <f t="shared" si="34"/>
        <v>3.2352941176470584E-2</v>
      </c>
      <c r="M164" s="221">
        <v>30</v>
      </c>
      <c r="N164" s="221">
        <v>70</v>
      </c>
      <c r="O164" s="221">
        <v>10</v>
      </c>
      <c r="P164" s="221">
        <v>200</v>
      </c>
      <c r="Q164" s="221">
        <v>0</v>
      </c>
      <c r="R164" s="104">
        <f t="shared" si="35"/>
        <v>2000</v>
      </c>
      <c r="S164" s="104">
        <v>1</v>
      </c>
      <c r="T164" s="104">
        <v>0.27</v>
      </c>
      <c r="U164" s="104">
        <v>1.4</v>
      </c>
      <c r="V164" s="219">
        <f t="shared" si="36"/>
        <v>1021.1940103521848</v>
      </c>
      <c r="W164" s="106">
        <f t="shared" si="37"/>
        <v>5.1059700517609237</v>
      </c>
      <c r="X164" s="107">
        <f t="shared" si="38"/>
        <v>2520</v>
      </c>
      <c r="Y164" s="108">
        <f t="shared" si="39"/>
        <v>12.6</v>
      </c>
      <c r="Z164" s="88">
        <f t="shared" si="40"/>
        <v>10800</v>
      </c>
      <c r="AA164" s="88">
        <f t="shared" si="41"/>
        <v>2520</v>
      </c>
      <c r="AB164" s="88">
        <f t="shared" si="42"/>
        <v>23400</v>
      </c>
      <c r="AC164" s="109">
        <f t="shared" si="30"/>
        <v>2106</v>
      </c>
      <c r="AD164" s="109">
        <f t="shared" si="31"/>
        <v>561.6</v>
      </c>
      <c r="AE164" s="109">
        <f t="shared" si="43"/>
        <v>5187.6000000000004</v>
      </c>
      <c r="AF164" s="73">
        <f t="shared" si="44"/>
        <v>25.938000000000002</v>
      </c>
    </row>
    <row r="165" spans="1:32" x14ac:dyDescent="0.25">
      <c r="A165" s="102">
        <v>185</v>
      </c>
      <c r="B165" s="68" t="str">
        <f t="shared" si="32"/>
        <v>1.57, Harrow - Rigid 13'</v>
      </c>
      <c r="C165" s="103">
        <v>1.57</v>
      </c>
      <c r="D165" s="68" t="s">
        <v>151</v>
      </c>
      <c r="E165" s="68" t="s">
        <v>245</v>
      </c>
      <c r="F165" s="68" t="s">
        <v>246</v>
      </c>
      <c r="G165" s="68" t="str">
        <f t="shared" si="33"/>
        <v>Harrow - Rigid 13'</v>
      </c>
      <c r="H165" s="85">
        <v>8500</v>
      </c>
      <c r="I165" s="221">
        <v>13</v>
      </c>
      <c r="J165" s="221">
        <v>6.25</v>
      </c>
      <c r="K165" s="221">
        <v>85</v>
      </c>
      <c r="L165" s="86">
        <f t="shared" si="34"/>
        <v>0.11945701357466064</v>
      </c>
      <c r="M165" s="221">
        <v>30</v>
      </c>
      <c r="N165" s="221">
        <v>70</v>
      </c>
      <c r="O165" s="221">
        <v>10</v>
      </c>
      <c r="P165" s="221">
        <v>200</v>
      </c>
      <c r="Q165" s="221">
        <v>0</v>
      </c>
      <c r="R165" s="104">
        <f t="shared" si="35"/>
        <v>2000</v>
      </c>
      <c r="S165" s="104">
        <v>1</v>
      </c>
      <c r="T165" s="104">
        <v>0.27</v>
      </c>
      <c r="U165" s="104">
        <v>1.4</v>
      </c>
      <c r="V165" s="219">
        <f t="shared" si="36"/>
        <v>241.11525244426588</v>
      </c>
      <c r="W165" s="106">
        <f t="shared" si="37"/>
        <v>1.2055762622213293</v>
      </c>
      <c r="X165" s="107">
        <f t="shared" si="38"/>
        <v>595</v>
      </c>
      <c r="Y165" s="108">
        <f t="shared" si="39"/>
        <v>2.9750000000000001</v>
      </c>
      <c r="Z165" s="88">
        <f t="shared" si="40"/>
        <v>2550</v>
      </c>
      <c r="AA165" s="88">
        <f t="shared" si="41"/>
        <v>595</v>
      </c>
      <c r="AB165" s="88">
        <f t="shared" si="42"/>
        <v>5525</v>
      </c>
      <c r="AC165" s="109">
        <f t="shared" si="30"/>
        <v>497.25</v>
      </c>
      <c r="AD165" s="109">
        <f t="shared" si="31"/>
        <v>132.6</v>
      </c>
      <c r="AE165" s="109">
        <f t="shared" si="43"/>
        <v>1224.8499999999999</v>
      </c>
      <c r="AF165" s="73">
        <f t="shared" si="44"/>
        <v>6.12425</v>
      </c>
    </row>
    <row r="166" spans="1:32" x14ac:dyDescent="0.25">
      <c r="A166" s="102"/>
      <c r="B166" s="68" t="str">
        <f t="shared" si="32"/>
        <v>1.58, Heavy Disk 14'</v>
      </c>
      <c r="C166" s="103">
        <v>1.58</v>
      </c>
      <c r="D166" s="68" t="s">
        <v>151</v>
      </c>
      <c r="E166" s="68" t="s">
        <v>247</v>
      </c>
      <c r="F166" s="68" t="s">
        <v>218</v>
      </c>
      <c r="G166" s="68" t="str">
        <f t="shared" si="33"/>
        <v>Heavy Disk 14'</v>
      </c>
      <c r="H166" s="85">
        <v>36300</v>
      </c>
      <c r="I166" s="221">
        <v>14</v>
      </c>
      <c r="J166" s="221">
        <v>4.75</v>
      </c>
      <c r="K166" s="221">
        <v>85</v>
      </c>
      <c r="L166" s="86">
        <f t="shared" si="34"/>
        <v>0.145953118089341</v>
      </c>
      <c r="M166" s="221">
        <v>30</v>
      </c>
      <c r="N166" s="221">
        <v>50</v>
      </c>
      <c r="O166" s="221">
        <v>10</v>
      </c>
      <c r="P166" s="221">
        <v>180</v>
      </c>
      <c r="Q166" s="221">
        <v>0</v>
      </c>
      <c r="R166" s="104">
        <f t="shared" si="35"/>
        <v>1800</v>
      </c>
      <c r="S166" s="104">
        <v>1</v>
      </c>
      <c r="T166" s="104">
        <v>0.27</v>
      </c>
      <c r="U166" s="104">
        <v>1.4</v>
      </c>
      <c r="V166" s="219">
        <f t="shared" si="36"/>
        <v>888.48867466990271</v>
      </c>
      <c r="W166" s="106">
        <f t="shared" si="37"/>
        <v>4.9360481926105706</v>
      </c>
      <c r="X166" s="107">
        <f t="shared" si="38"/>
        <v>1815</v>
      </c>
      <c r="Y166" s="108">
        <f t="shared" si="39"/>
        <v>10.083333333333334</v>
      </c>
      <c r="Z166" s="88">
        <f t="shared" si="40"/>
        <v>10890</v>
      </c>
      <c r="AA166" s="88">
        <f t="shared" si="41"/>
        <v>2541</v>
      </c>
      <c r="AB166" s="88">
        <f t="shared" si="42"/>
        <v>23595</v>
      </c>
      <c r="AC166" s="109">
        <f t="shared" si="30"/>
        <v>2123.5499999999997</v>
      </c>
      <c r="AD166" s="109">
        <f t="shared" si="31"/>
        <v>566.28</v>
      </c>
      <c r="AE166" s="109">
        <f t="shared" si="43"/>
        <v>5230.829999999999</v>
      </c>
      <c r="AF166" s="73">
        <f t="shared" si="44"/>
        <v>29.06016666666666</v>
      </c>
    </row>
    <row r="167" spans="1:32" x14ac:dyDescent="0.25">
      <c r="A167" s="102"/>
      <c r="B167" s="68" t="str">
        <f t="shared" si="32"/>
        <v>1.59, Heavy Disk 21'</v>
      </c>
      <c r="C167" s="103">
        <v>1.59</v>
      </c>
      <c r="D167" s="68" t="s">
        <v>151</v>
      </c>
      <c r="E167" s="68" t="s">
        <v>247</v>
      </c>
      <c r="F167" s="68" t="s">
        <v>241</v>
      </c>
      <c r="G167" s="68" t="str">
        <f t="shared" si="33"/>
        <v>Heavy Disk 21'</v>
      </c>
      <c r="H167" s="85">
        <v>77500</v>
      </c>
      <c r="I167" s="221">
        <v>21</v>
      </c>
      <c r="J167" s="221">
        <v>4.75</v>
      </c>
      <c r="K167" s="221">
        <v>85</v>
      </c>
      <c r="L167" s="86">
        <f t="shared" si="34"/>
        <v>9.7302078726227342E-2</v>
      </c>
      <c r="M167" s="221">
        <v>30</v>
      </c>
      <c r="N167" s="221">
        <v>50</v>
      </c>
      <c r="O167" s="221">
        <v>10</v>
      </c>
      <c r="P167" s="221">
        <v>180</v>
      </c>
      <c r="Q167" s="221">
        <v>0</v>
      </c>
      <c r="R167" s="104">
        <f t="shared" si="35"/>
        <v>1800</v>
      </c>
      <c r="S167" s="104">
        <v>1</v>
      </c>
      <c r="T167" s="104">
        <v>0.27</v>
      </c>
      <c r="U167" s="104">
        <v>1.4</v>
      </c>
      <c r="V167" s="219">
        <f t="shared" si="36"/>
        <v>1896.9110822842276</v>
      </c>
      <c r="W167" s="106">
        <f t="shared" si="37"/>
        <v>10.538394901579043</v>
      </c>
      <c r="X167" s="107">
        <f t="shared" si="38"/>
        <v>3875</v>
      </c>
      <c r="Y167" s="108">
        <f t="shared" si="39"/>
        <v>21.527777777777779</v>
      </c>
      <c r="Z167" s="88">
        <f t="shared" si="40"/>
        <v>23250</v>
      </c>
      <c r="AA167" s="88">
        <f t="shared" si="41"/>
        <v>5425</v>
      </c>
      <c r="AB167" s="88">
        <f t="shared" si="42"/>
        <v>50375</v>
      </c>
      <c r="AC167" s="109">
        <f t="shared" si="30"/>
        <v>4533.75</v>
      </c>
      <c r="AD167" s="109">
        <f t="shared" si="31"/>
        <v>1209</v>
      </c>
      <c r="AE167" s="109">
        <f t="shared" si="43"/>
        <v>11167.75</v>
      </c>
      <c r="AF167" s="73">
        <f t="shared" si="44"/>
        <v>62.043055555555554</v>
      </c>
    </row>
    <row r="168" spans="1:32" x14ac:dyDescent="0.25">
      <c r="A168" s="102"/>
      <c r="B168" s="68" t="str">
        <f t="shared" si="32"/>
        <v>1.6, Heavy Disk 28'</v>
      </c>
      <c r="C168" s="103">
        <v>1.6</v>
      </c>
      <c r="D168" s="68" t="s">
        <v>151</v>
      </c>
      <c r="E168" s="68" t="s">
        <v>247</v>
      </c>
      <c r="F168" s="68" t="s">
        <v>219</v>
      </c>
      <c r="G168" s="68" t="str">
        <f t="shared" si="33"/>
        <v>Heavy Disk 28'</v>
      </c>
      <c r="H168" s="85">
        <v>76200</v>
      </c>
      <c r="I168" s="221">
        <v>27</v>
      </c>
      <c r="J168" s="221">
        <v>4.75</v>
      </c>
      <c r="K168" s="221">
        <v>85</v>
      </c>
      <c r="L168" s="86">
        <f t="shared" si="34"/>
        <v>7.5679394564843488E-2</v>
      </c>
      <c r="M168" s="221">
        <v>30</v>
      </c>
      <c r="N168" s="221">
        <v>50</v>
      </c>
      <c r="O168" s="221">
        <v>10</v>
      </c>
      <c r="P168" s="221">
        <v>180</v>
      </c>
      <c r="Q168" s="221">
        <v>0</v>
      </c>
      <c r="R168" s="104">
        <f t="shared" si="35"/>
        <v>1800</v>
      </c>
      <c r="S168" s="104">
        <v>1</v>
      </c>
      <c r="T168" s="104">
        <v>0.27</v>
      </c>
      <c r="U168" s="104">
        <v>1.4</v>
      </c>
      <c r="V168" s="219">
        <f t="shared" si="36"/>
        <v>1865.0919286459114</v>
      </c>
      <c r="W168" s="106">
        <f t="shared" si="37"/>
        <v>10.361621825810619</v>
      </c>
      <c r="X168" s="107">
        <f t="shared" si="38"/>
        <v>3810</v>
      </c>
      <c r="Y168" s="108">
        <f t="shared" si="39"/>
        <v>21.166666666666668</v>
      </c>
      <c r="Z168" s="88">
        <f t="shared" si="40"/>
        <v>22860</v>
      </c>
      <c r="AA168" s="88">
        <f t="shared" si="41"/>
        <v>5334</v>
      </c>
      <c r="AB168" s="88">
        <f t="shared" si="42"/>
        <v>49530</v>
      </c>
      <c r="AC168" s="109">
        <f t="shared" si="30"/>
        <v>4457.7</v>
      </c>
      <c r="AD168" s="109">
        <f t="shared" si="31"/>
        <v>1188.72</v>
      </c>
      <c r="AE168" s="109">
        <f t="shared" si="43"/>
        <v>10980.42</v>
      </c>
      <c r="AF168" s="73">
        <f t="shared" si="44"/>
        <v>61.002333333333333</v>
      </c>
    </row>
    <row r="169" spans="1:32" x14ac:dyDescent="0.25">
      <c r="A169" s="102">
        <v>113</v>
      </c>
      <c r="B169" s="68" t="str">
        <f t="shared" si="32"/>
        <v>1.61, Land Plane 50'x16'</v>
      </c>
      <c r="C169" s="103">
        <v>1.61</v>
      </c>
      <c r="D169" s="68" t="s">
        <v>151</v>
      </c>
      <c r="E169" s="68" t="s">
        <v>248</v>
      </c>
      <c r="F169" s="68" t="s">
        <v>249</v>
      </c>
      <c r="G169" s="68" t="str">
        <f t="shared" si="33"/>
        <v>Land Plane 50'x16'</v>
      </c>
      <c r="H169" s="85">
        <v>13500</v>
      </c>
      <c r="I169" s="221">
        <v>16</v>
      </c>
      <c r="J169" s="221">
        <v>4</v>
      </c>
      <c r="K169" s="221">
        <v>85</v>
      </c>
      <c r="L169" s="86">
        <f t="shared" si="34"/>
        <v>0.1516544117647059</v>
      </c>
      <c r="M169" s="221">
        <v>30</v>
      </c>
      <c r="N169" s="221">
        <v>40</v>
      </c>
      <c r="O169" s="221">
        <v>10</v>
      </c>
      <c r="P169" s="221">
        <v>200</v>
      </c>
      <c r="Q169" s="221">
        <v>0</v>
      </c>
      <c r="R169" s="104">
        <f t="shared" si="35"/>
        <v>2000</v>
      </c>
      <c r="S169" s="104">
        <v>1</v>
      </c>
      <c r="T169" s="104">
        <v>0.27</v>
      </c>
      <c r="U169" s="104">
        <v>1.4</v>
      </c>
      <c r="V169" s="219">
        <f t="shared" si="36"/>
        <v>382.94775388206938</v>
      </c>
      <c r="W169" s="106">
        <f t="shared" si="37"/>
        <v>1.9147387694103468</v>
      </c>
      <c r="X169" s="107">
        <f t="shared" si="38"/>
        <v>540</v>
      </c>
      <c r="Y169" s="108">
        <f t="shared" si="39"/>
        <v>2.7</v>
      </c>
      <c r="Z169" s="88">
        <f t="shared" si="40"/>
        <v>4050</v>
      </c>
      <c r="AA169" s="88">
        <f t="shared" si="41"/>
        <v>945</v>
      </c>
      <c r="AB169" s="88">
        <f t="shared" si="42"/>
        <v>8775</v>
      </c>
      <c r="AC169" s="109">
        <f t="shared" si="30"/>
        <v>789.75</v>
      </c>
      <c r="AD169" s="109">
        <f t="shared" si="31"/>
        <v>210.6</v>
      </c>
      <c r="AE169" s="109">
        <f t="shared" si="43"/>
        <v>1945.35</v>
      </c>
      <c r="AF169" s="73">
        <f t="shared" si="44"/>
        <v>9.7267499999999991</v>
      </c>
    </row>
    <row r="170" spans="1:32" x14ac:dyDescent="0.25">
      <c r="A170" s="102">
        <v>720</v>
      </c>
      <c r="B170" s="68" t="str">
        <f t="shared" si="32"/>
        <v>1.62, Levee Pull &amp; Seed 8 Blade</v>
      </c>
      <c r="C170" s="103">
        <v>1.62</v>
      </c>
      <c r="D170" s="68" t="s">
        <v>151</v>
      </c>
      <c r="E170" s="68" t="s">
        <v>250</v>
      </c>
      <c r="F170" s="68" t="s">
        <v>251</v>
      </c>
      <c r="G170" s="68" t="str">
        <f t="shared" si="33"/>
        <v>Levee Pull &amp; Seed 8 Blade</v>
      </c>
      <c r="H170" s="85">
        <v>12300</v>
      </c>
      <c r="I170" s="221">
        <v>24</v>
      </c>
      <c r="J170" s="221">
        <v>4</v>
      </c>
      <c r="K170" s="221">
        <v>85</v>
      </c>
      <c r="L170" s="86">
        <f t="shared" si="34"/>
        <v>0.1011029411764706</v>
      </c>
      <c r="M170" s="221">
        <v>30</v>
      </c>
      <c r="N170" s="221">
        <v>20</v>
      </c>
      <c r="O170" s="221">
        <v>10</v>
      </c>
      <c r="P170" s="221">
        <v>100</v>
      </c>
      <c r="Q170" s="221">
        <v>0</v>
      </c>
      <c r="R170" s="104">
        <f t="shared" si="35"/>
        <v>1000</v>
      </c>
      <c r="S170" s="104">
        <v>1</v>
      </c>
      <c r="T170" s="104">
        <v>0.27</v>
      </c>
      <c r="U170" s="104">
        <v>1.4</v>
      </c>
      <c r="V170" s="219">
        <f t="shared" si="36"/>
        <v>132.2113913408165</v>
      </c>
      <c r="W170" s="106">
        <f t="shared" si="37"/>
        <v>1.322113913408165</v>
      </c>
      <c r="X170" s="107">
        <f t="shared" si="38"/>
        <v>246</v>
      </c>
      <c r="Y170" s="108">
        <f t="shared" si="39"/>
        <v>2.46</v>
      </c>
      <c r="Z170" s="88">
        <f t="shared" si="40"/>
        <v>3690</v>
      </c>
      <c r="AA170" s="88">
        <f t="shared" si="41"/>
        <v>861</v>
      </c>
      <c r="AB170" s="88">
        <f t="shared" si="42"/>
        <v>7995</v>
      </c>
      <c r="AC170" s="109">
        <f t="shared" si="30"/>
        <v>719.55</v>
      </c>
      <c r="AD170" s="109">
        <f t="shared" si="31"/>
        <v>191.88</v>
      </c>
      <c r="AE170" s="109">
        <f t="shared" si="43"/>
        <v>1772.4299999999998</v>
      </c>
      <c r="AF170" s="73">
        <f t="shared" si="44"/>
        <v>17.724299999999999</v>
      </c>
    </row>
    <row r="171" spans="1:32" x14ac:dyDescent="0.25">
      <c r="A171" s="102">
        <v>528</v>
      </c>
      <c r="B171" s="68" t="str">
        <f t="shared" si="32"/>
        <v>1.63, Levee Pull (1m/80a) 8 blade</v>
      </c>
      <c r="C171" s="103">
        <v>1.63</v>
      </c>
      <c r="D171" s="68" t="s">
        <v>151</v>
      </c>
      <c r="E171" s="68" t="s">
        <v>252</v>
      </c>
      <c r="F171" s="68" t="s">
        <v>253</v>
      </c>
      <c r="G171" s="68" t="str">
        <f t="shared" si="33"/>
        <v>Levee Pull (1m/80a) 8 blade</v>
      </c>
      <c r="H171" s="85">
        <v>17600</v>
      </c>
      <c r="I171" s="221">
        <v>24</v>
      </c>
      <c r="J171" s="221">
        <v>4</v>
      </c>
      <c r="K171" s="221">
        <v>85</v>
      </c>
      <c r="L171" s="86">
        <f t="shared" si="34"/>
        <v>0.1011029411764706</v>
      </c>
      <c r="M171" s="221">
        <v>30</v>
      </c>
      <c r="N171" s="221">
        <v>20</v>
      </c>
      <c r="O171" s="221">
        <v>10</v>
      </c>
      <c r="P171" s="221">
        <v>100</v>
      </c>
      <c r="Q171" s="221">
        <v>0</v>
      </c>
      <c r="R171" s="104">
        <f t="shared" si="35"/>
        <v>1000</v>
      </c>
      <c r="S171" s="104">
        <v>1</v>
      </c>
      <c r="T171" s="104">
        <v>0.27</v>
      </c>
      <c r="U171" s="104">
        <v>1.4</v>
      </c>
      <c r="V171" s="219">
        <f t="shared" si="36"/>
        <v>189.180527447022</v>
      </c>
      <c r="W171" s="106">
        <f t="shared" si="37"/>
        <v>1.8918052744702201</v>
      </c>
      <c r="X171" s="107">
        <f t="shared" si="38"/>
        <v>352</v>
      </c>
      <c r="Y171" s="108">
        <f t="shared" si="39"/>
        <v>3.52</v>
      </c>
      <c r="Z171" s="88">
        <f t="shared" si="40"/>
        <v>5280</v>
      </c>
      <c r="AA171" s="88">
        <f t="shared" si="41"/>
        <v>1232</v>
      </c>
      <c r="AB171" s="88">
        <f t="shared" si="42"/>
        <v>11440</v>
      </c>
      <c r="AC171" s="109">
        <f t="shared" si="30"/>
        <v>1029.5999999999999</v>
      </c>
      <c r="AD171" s="109">
        <f t="shared" si="31"/>
        <v>274.56</v>
      </c>
      <c r="AE171" s="109">
        <f t="shared" si="43"/>
        <v>2536.16</v>
      </c>
      <c r="AF171" s="73">
        <f t="shared" si="44"/>
        <v>25.361599999999999</v>
      </c>
    </row>
    <row r="172" spans="1:32" x14ac:dyDescent="0.25">
      <c r="A172" s="102">
        <v>117</v>
      </c>
      <c r="B172" s="68" t="str">
        <f t="shared" si="32"/>
        <v>1.64, Levee Splitter (1/80a) 8 blade</v>
      </c>
      <c r="C172" s="103">
        <v>1.64</v>
      </c>
      <c r="D172" s="68" t="s">
        <v>151</v>
      </c>
      <c r="E172" s="68" t="s">
        <v>254</v>
      </c>
      <c r="F172" s="68" t="s">
        <v>253</v>
      </c>
      <c r="G172" s="68" t="str">
        <f t="shared" si="33"/>
        <v>Levee Splitter (1/80a) 8 blade</v>
      </c>
      <c r="H172" s="85">
        <v>9220</v>
      </c>
      <c r="I172" s="221">
        <v>24</v>
      </c>
      <c r="J172" s="221">
        <v>4</v>
      </c>
      <c r="K172" s="221">
        <v>85</v>
      </c>
      <c r="L172" s="86">
        <f t="shared" si="34"/>
        <v>0.1011029411764706</v>
      </c>
      <c r="M172" s="221">
        <v>30</v>
      </c>
      <c r="N172" s="221">
        <v>20</v>
      </c>
      <c r="O172" s="221">
        <v>10</v>
      </c>
      <c r="P172" s="221">
        <v>100</v>
      </c>
      <c r="Q172" s="221">
        <v>0</v>
      </c>
      <c r="R172" s="104">
        <f t="shared" si="35"/>
        <v>1000</v>
      </c>
      <c r="S172" s="104">
        <v>1</v>
      </c>
      <c r="T172" s="104">
        <v>0.27</v>
      </c>
      <c r="U172" s="104">
        <v>1.4</v>
      </c>
      <c r="V172" s="219">
        <f t="shared" si="36"/>
        <v>99.104799037587668</v>
      </c>
      <c r="W172" s="106">
        <f t="shared" si="37"/>
        <v>0.99104799037587665</v>
      </c>
      <c r="X172" s="107">
        <f t="shared" si="38"/>
        <v>184.4</v>
      </c>
      <c r="Y172" s="108">
        <f t="shared" si="39"/>
        <v>1.8440000000000001</v>
      </c>
      <c r="Z172" s="88">
        <f t="shared" si="40"/>
        <v>2766</v>
      </c>
      <c r="AA172" s="88">
        <f t="shared" si="41"/>
        <v>645.4</v>
      </c>
      <c r="AB172" s="88">
        <f t="shared" si="42"/>
        <v>5993</v>
      </c>
      <c r="AC172" s="109">
        <f t="shared" si="30"/>
        <v>539.37</v>
      </c>
      <c r="AD172" s="109">
        <f t="shared" si="31"/>
        <v>143.83199999999999</v>
      </c>
      <c r="AE172" s="109">
        <f t="shared" si="43"/>
        <v>1328.6019999999999</v>
      </c>
      <c r="AF172" s="73">
        <f t="shared" si="44"/>
        <v>13.286019999999999</v>
      </c>
    </row>
    <row r="173" spans="1:32" x14ac:dyDescent="0.25">
      <c r="A173" s="102">
        <v>723</v>
      </c>
      <c r="B173" s="68" t="str">
        <f t="shared" si="32"/>
        <v>1.65, NT Grain Drill  6'</v>
      </c>
      <c r="C173" s="103">
        <v>1.65</v>
      </c>
      <c r="D173" s="68" t="s">
        <v>151</v>
      </c>
      <c r="E173" s="68" t="s">
        <v>255</v>
      </c>
      <c r="F173" s="68" t="s">
        <v>256</v>
      </c>
      <c r="G173" s="68" t="str">
        <f t="shared" si="33"/>
        <v>NT Grain Drill  6'</v>
      </c>
      <c r="H173" s="85">
        <v>30000</v>
      </c>
      <c r="I173" s="221">
        <v>6</v>
      </c>
      <c r="J173" s="221">
        <v>6</v>
      </c>
      <c r="K173" s="221">
        <v>70</v>
      </c>
      <c r="L173" s="86">
        <f t="shared" si="34"/>
        <v>0.32738095238095238</v>
      </c>
      <c r="M173" s="221">
        <v>45</v>
      </c>
      <c r="N173" s="221">
        <v>45</v>
      </c>
      <c r="O173" s="221">
        <v>8</v>
      </c>
      <c r="P173" s="221">
        <v>150</v>
      </c>
      <c r="Q173" s="221">
        <v>0</v>
      </c>
      <c r="R173" s="104">
        <f t="shared" si="35"/>
        <v>1200</v>
      </c>
      <c r="S173" s="104">
        <v>1</v>
      </c>
      <c r="T173" s="104">
        <v>0.27</v>
      </c>
      <c r="U173" s="104">
        <v>1.4</v>
      </c>
      <c r="V173" s="219">
        <f t="shared" si="36"/>
        <v>568.86967278561417</v>
      </c>
      <c r="W173" s="106">
        <f t="shared" si="37"/>
        <v>3.7924644852374279</v>
      </c>
      <c r="X173" s="107">
        <f t="shared" si="38"/>
        <v>1687.5</v>
      </c>
      <c r="Y173" s="108">
        <f t="shared" si="39"/>
        <v>11.25</v>
      </c>
      <c r="Z173" s="88">
        <f t="shared" si="40"/>
        <v>13500</v>
      </c>
      <c r="AA173" s="88">
        <f t="shared" si="41"/>
        <v>2062.5</v>
      </c>
      <c r="AB173" s="88">
        <f t="shared" si="42"/>
        <v>21750</v>
      </c>
      <c r="AC173" s="109">
        <f t="shared" si="30"/>
        <v>1957.5</v>
      </c>
      <c r="AD173" s="109">
        <f t="shared" si="31"/>
        <v>522</v>
      </c>
      <c r="AE173" s="109">
        <f t="shared" si="43"/>
        <v>4542</v>
      </c>
      <c r="AF173" s="73">
        <f t="shared" si="44"/>
        <v>30.28</v>
      </c>
    </row>
    <row r="174" spans="1:32" x14ac:dyDescent="0.25">
      <c r="A174" s="102">
        <v>554</v>
      </c>
      <c r="B174" s="68" t="str">
        <f t="shared" si="32"/>
        <v>1.66, NT Grain Drill 10'</v>
      </c>
      <c r="C174" s="103">
        <v>1.66</v>
      </c>
      <c r="D174" s="68" t="s">
        <v>151</v>
      </c>
      <c r="E174" s="68" t="s">
        <v>255</v>
      </c>
      <c r="F174" s="68" t="s">
        <v>203</v>
      </c>
      <c r="G174" s="68" t="str">
        <f t="shared" si="33"/>
        <v>NT Grain Drill 10'</v>
      </c>
      <c r="H174" s="85">
        <v>47600</v>
      </c>
      <c r="I174" s="221">
        <v>10</v>
      </c>
      <c r="J174" s="221">
        <v>6</v>
      </c>
      <c r="K174" s="221">
        <v>70</v>
      </c>
      <c r="L174" s="86">
        <f t="shared" si="34"/>
        <v>0.19642857142857142</v>
      </c>
      <c r="M174" s="221">
        <v>45</v>
      </c>
      <c r="N174" s="221">
        <v>45</v>
      </c>
      <c r="O174" s="221">
        <v>8</v>
      </c>
      <c r="P174" s="221">
        <v>150</v>
      </c>
      <c r="Q174" s="221">
        <v>0</v>
      </c>
      <c r="R174" s="104">
        <f t="shared" si="35"/>
        <v>1200</v>
      </c>
      <c r="S174" s="104">
        <v>1</v>
      </c>
      <c r="T174" s="104">
        <v>0.27</v>
      </c>
      <c r="U174" s="104">
        <v>1.4</v>
      </c>
      <c r="V174" s="219">
        <f t="shared" si="36"/>
        <v>902.60654748650768</v>
      </c>
      <c r="W174" s="106">
        <f t="shared" si="37"/>
        <v>6.0173769832433841</v>
      </c>
      <c r="X174" s="107">
        <f t="shared" si="38"/>
        <v>2677.5</v>
      </c>
      <c r="Y174" s="108">
        <f t="shared" si="39"/>
        <v>17.850000000000001</v>
      </c>
      <c r="Z174" s="88">
        <f t="shared" si="40"/>
        <v>21420</v>
      </c>
      <c r="AA174" s="88">
        <f t="shared" si="41"/>
        <v>3272.5</v>
      </c>
      <c r="AB174" s="88">
        <f t="shared" si="42"/>
        <v>34510</v>
      </c>
      <c r="AC174" s="109">
        <f t="shared" si="30"/>
        <v>3105.9</v>
      </c>
      <c r="AD174" s="109">
        <f t="shared" si="31"/>
        <v>828.24</v>
      </c>
      <c r="AE174" s="109">
        <f t="shared" si="43"/>
        <v>7206.6399999999994</v>
      </c>
      <c r="AF174" s="73">
        <f t="shared" si="44"/>
        <v>48.044266666666665</v>
      </c>
    </row>
    <row r="175" spans="1:32" x14ac:dyDescent="0.25">
      <c r="A175" s="102">
        <v>127</v>
      </c>
      <c r="B175" s="68" t="str">
        <f t="shared" si="32"/>
        <v>1.67, NT Grain Drill 12'</v>
      </c>
      <c r="C175" s="103">
        <v>1.67</v>
      </c>
      <c r="D175" s="68" t="s">
        <v>151</v>
      </c>
      <c r="E175" s="68" t="s">
        <v>255</v>
      </c>
      <c r="F175" s="68" t="s">
        <v>231</v>
      </c>
      <c r="G175" s="68" t="str">
        <f t="shared" si="33"/>
        <v>NT Grain Drill 12'</v>
      </c>
      <c r="H175" s="85">
        <v>63700</v>
      </c>
      <c r="I175" s="221">
        <v>12</v>
      </c>
      <c r="J175" s="221">
        <v>6</v>
      </c>
      <c r="K175" s="221">
        <v>70</v>
      </c>
      <c r="L175" s="86">
        <f t="shared" si="34"/>
        <v>0.16369047619047619</v>
      </c>
      <c r="M175" s="221">
        <v>45</v>
      </c>
      <c r="N175" s="221">
        <v>45</v>
      </c>
      <c r="O175" s="221">
        <v>8</v>
      </c>
      <c r="P175" s="221">
        <v>150</v>
      </c>
      <c r="Q175" s="221">
        <v>0</v>
      </c>
      <c r="R175" s="104">
        <f t="shared" si="35"/>
        <v>1200</v>
      </c>
      <c r="S175" s="104">
        <v>1</v>
      </c>
      <c r="T175" s="104">
        <v>0.27</v>
      </c>
      <c r="U175" s="104">
        <v>1.4</v>
      </c>
      <c r="V175" s="219">
        <f t="shared" si="36"/>
        <v>1207.8999385481204</v>
      </c>
      <c r="W175" s="106">
        <f t="shared" si="37"/>
        <v>8.0526662569874699</v>
      </c>
      <c r="X175" s="107">
        <f t="shared" si="38"/>
        <v>3583.125</v>
      </c>
      <c r="Y175" s="108">
        <f t="shared" si="39"/>
        <v>23.887499999999999</v>
      </c>
      <c r="Z175" s="88">
        <f t="shared" si="40"/>
        <v>28665</v>
      </c>
      <c r="AA175" s="88">
        <f t="shared" si="41"/>
        <v>4379.375</v>
      </c>
      <c r="AB175" s="88">
        <f t="shared" si="42"/>
        <v>46182.5</v>
      </c>
      <c r="AC175" s="109">
        <f t="shared" si="30"/>
        <v>4156.4250000000002</v>
      </c>
      <c r="AD175" s="109">
        <f t="shared" si="31"/>
        <v>1108.3800000000001</v>
      </c>
      <c r="AE175" s="109">
        <f t="shared" si="43"/>
        <v>9644.18</v>
      </c>
      <c r="AF175" s="73">
        <f t="shared" si="44"/>
        <v>64.294533333333334</v>
      </c>
    </row>
    <row r="176" spans="1:32" x14ac:dyDescent="0.25">
      <c r="A176" s="102">
        <v>328</v>
      </c>
      <c r="B176" s="68" t="str">
        <f t="shared" si="32"/>
        <v>1.68, NT Grain Drill 15'</v>
      </c>
      <c r="C176" s="103">
        <v>1.68</v>
      </c>
      <c r="D176" s="68" t="s">
        <v>151</v>
      </c>
      <c r="E176" s="68" t="s">
        <v>255</v>
      </c>
      <c r="F176" s="68" t="s">
        <v>204</v>
      </c>
      <c r="G176" s="68" t="str">
        <f t="shared" si="33"/>
        <v>NT Grain Drill 15'</v>
      </c>
      <c r="H176" s="85">
        <v>76100</v>
      </c>
      <c r="I176" s="221">
        <v>15</v>
      </c>
      <c r="J176" s="221">
        <v>6</v>
      </c>
      <c r="K176" s="221">
        <v>70</v>
      </c>
      <c r="L176" s="86">
        <f t="shared" si="34"/>
        <v>0.13095238095238096</v>
      </c>
      <c r="M176" s="221">
        <v>45</v>
      </c>
      <c r="N176" s="221">
        <v>45</v>
      </c>
      <c r="O176" s="221">
        <v>8</v>
      </c>
      <c r="P176" s="221">
        <v>150</v>
      </c>
      <c r="Q176" s="221">
        <v>0</v>
      </c>
      <c r="R176" s="104">
        <f t="shared" si="35"/>
        <v>1200</v>
      </c>
      <c r="S176" s="104">
        <v>1</v>
      </c>
      <c r="T176" s="104">
        <v>0.27</v>
      </c>
      <c r="U176" s="104">
        <v>1.4</v>
      </c>
      <c r="V176" s="219">
        <f t="shared" si="36"/>
        <v>1443.0327366328411</v>
      </c>
      <c r="W176" s="106">
        <f t="shared" si="37"/>
        <v>9.6202182442189397</v>
      </c>
      <c r="X176" s="107">
        <f t="shared" si="38"/>
        <v>4280.625</v>
      </c>
      <c r="Y176" s="108">
        <f t="shared" si="39"/>
        <v>28.537500000000001</v>
      </c>
      <c r="Z176" s="88">
        <f t="shared" si="40"/>
        <v>34245</v>
      </c>
      <c r="AA176" s="88">
        <f t="shared" si="41"/>
        <v>5231.875</v>
      </c>
      <c r="AB176" s="88">
        <f t="shared" si="42"/>
        <v>55172.5</v>
      </c>
      <c r="AC176" s="109">
        <f t="shared" si="30"/>
        <v>4965.5249999999996</v>
      </c>
      <c r="AD176" s="109">
        <f t="shared" si="31"/>
        <v>1324.14</v>
      </c>
      <c r="AE176" s="109">
        <f t="shared" si="43"/>
        <v>11521.539999999999</v>
      </c>
      <c r="AF176" s="73">
        <f t="shared" si="44"/>
        <v>76.810266666666664</v>
      </c>
    </row>
    <row r="177" spans="1:32" x14ac:dyDescent="0.25">
      <c r="A177" s="102">
        <v>128</v>
      </c>
      <c r="B177" s="68" t="str">
        <f t="shared" si="32"/>
        <v>1.69, NT Grain Drill 20'</v>
      </c>
      <c r="C177" s="103">
        <v>1.69</v>
      </c>
      <c r="D177" s="68" t="s">
        <v>151</v>
      </c>
      <c r="E177" s="68" t="s">
        <v>255</v>
      </c>
      <c r="F177" s="68" t="s">
        <v>205</v>
      </c>
      <c r="G177" s="68" t="str">
        <f t="shared" si="33"/>
        <v>NT Grain Drill 20'</v>
      </c>
      <c r="H177" s="85">
        <v>101000</v>
      </c>
      <c r="I177" s="221">
        <v>20</v>
      </c>
      <c r="J177" s="221">
        <v>6</v>
      </c>
      <c r="K177" s="221">
        <v>70</v>
      </c>
      <c r="L177" s="86">
        <f t="shared" si="34"/>
        <v>9.8214285714285712E-2</v>
      </c>
      <c r="M177" s="221">
        <v>45</v>
      </c>
      <c r="N177" s="221">
        <v>45</v>
      </c>
      <c r="O177" s="221">
        <v>8</v>
      </c>
      <c r="P177" s="221">
        <v>150</v>
      </c>
      <c r="Q177" s="221">
        <v>0</v>
      </c>
      <c r="R177" s="104">
        <f t="shared" si="35"/>
        <v>1200</v>
      </c>
      <c r="S177" s="104">
        <v>1</v>
      </c>
      <c r="T177" s="104">
        <v>0.27</v>
      </c>
      <c r="U177" s="104">
        <v>1.4</v>
      </c>
      <c r="V177" s="219">
        <f t="shared" si="36"/>
        <v>1915.1945650449006</v>
      </c>
      <c r="W177" s="106">
        <f t="shared" si="37"/>
        <v>12.767963766966004</v>
      </c>
      <c r="X177" s="107">
        <f t="shared" si="38"/>
        <v>5681.25</v>
      </c>
      <c r="Y177" s="108">
        <f t="shared" si="39"/>
        <v>37.875</v>
      </c>
      <c r="Z177" s="88">
        <f t="shared" si="40"/>
        <v>45450</v>
      </c>
      <c r="AA177" s="88">
        <f t="shared" si="41"/>
        <v>6943.75</v>
      </c>
      <c r="AB177" s="88">
        <f t="shared" si="42"/>
        <v>73225</v>
      </c>
      <c r="AC177" s="109">
        <f t="shared" si="30"/>
        <v>6590.25</v>
      </c>
      <c r="AD177" s="109">
        <f t="shared" si="31"/>
        <v>1757.4</v>
      </c>
      <c r="AE177" s="109">
        <f t="shared" si="43"/>
        <v>15291.4</v>
      </c>
      <c r="AF177" s="73">
        <f t="shared" si="44"/>
        <v>101.94266666666667</v>
      </c>
    </row>
    <row r="178" spans="1:32" x14ac:dyDescent="0.25">
      <c r="A178" s="102">
        <v>329</v>
      </c>
      <c r="B178" s="68" t="str">
        <f t="shared" si="32"/>
        <v>1.7, NT Grain Drill 24'</v>
      </c>
      <c r="C178" s="103">
        <v>1.7</v>
      </c>
      <c r="D178" s="68" t="s">
        <v>151</v>
      </c>
      <c r="E178" s="68" t="s">
        <v>255</v>
      </c>
      <c r="F178" s="68" t="s">
        <v>197</v>
      </c>
      <c r="G178" s="68" t="str">
        <f t="shared" si="33"/>
        <v>NT Grain Drill 24'</v>
      </c>
      <c r="H178" s="85">
        <v>111300</v>
      </c>
      <c r="I178" s="221">
        <v>24</v>
      </c>
      <c r="J178" s="221">
        <v>6</v>
      </c>
      <c r="K178" s="221">
        <v>70</v>
      </c>
      <c r="L178" s="86">
        <f t="shared" si="34"/>
        <v>8.1845238095238096E-2</v>
      </c>
      <c r="M178" s="221">
        <v>45</v>
      </c>
      <c r="N178" s="221">
        <v>45</v>
      </c>
      <c r="O178" s="221">
        <v>8</v>
      </c>
      <c r="P178" s="221">
        <v>150</v>
      </c>
      <c r="Q178" s="221">
        <v>0</v>
      </c>
      <c r="R178" s="104">
        <f t="shared" si="35"/>
        <v>1200</v>
      </c>
      <c r="S178" s="104">
        <v>1</v>
      </c>
      <c r="T178" s="104">
        <v>0.27</v>
      </c>
      <c r="U178" s="104">
        <v>1.4</v>
      </c>
      <c r="V178" s="219">
        <f t="shared" si="36"/>
        <v>2110.5064860346283</v>
      </c>
      <c r="W178" s="106">
        <f t="shared" si="37"/>
        <v>14.070043240230856</v>
      </c>
      <c r="X178" s="107">
        <f t="shared" si="38"/>
        <v>6260.625</v>
      </c>
      <c r="Y178" s="108">
        <f t="shared" si="39"/>
        <v>41.737499999999997</v>
      </c>
      <c r="Z178" s="88">
        <f t="shared" si="40"/>
        <v>50085</v>
      </c>
      <c r="AA178" s="88">
        <f t="shared" si="41"/>
        <v>7651.875</v>
      </c>
      <c r="AB178" s="88">
        <f t="shared" si="42"/>
        <v>80692.5</v>
      </c>
      <c r="AC178" s="109">
        <f t="shared" si="30"/>
        <v>7262.3249999999998</v>
      </c>
      <c r="AD178" s="109">
        <f t="shared" si="31"/>
        <v>1936.6200000000001</v>
      </c>
      <c r="AE178" s="109">
        <f t="shared" si="43"/>
        <v>16850.82</v>
      </c>
      <c r="AF178" s="73">
        <f t="shared" si="44"/>
        <v>112.33879999999999</v>
      </c>
    </row>
    <row r="179" spans="1:32" x14ac:dyDescent="0.25">
      <c r="A179" s="102">
        <v>129</v>
      </c>
      <c r="B179" s="68" t="str">
        <f t="shared" si="32"/>
        <v>1.71, NT Grain Drill 30'</v>
      </c>
      <c r="C179" s="103">
        <v>1.71</v>
      </c>
      <c r="D179" s="68" t="s">
        <v>151</v>
      </c>
      <c r="E179" s="68" t="s">
        <v>255</v>
      </c>
      <c r="F179" s="68" t="s">
        <v>236</v>
      </c>
      <c r="G179" s="68" t="str">
        <f t="shared" si="33"/>
        <v>NT Grain Drill 30'</v>
      </c>
      <c r="H179" s="85">
        <v>110200</v>
      </c>
      <c r="I179" s="221">
        <v>30</v>
      </c>
      <c r="J179" s="221">
        <v>6</v>
      </c>
      <c r="K179" s="221">
        <v>70</v>
      </c>
      <c r="L179" s="86">
        <f t="shared" si="34"/>
        <v>6.5476190476190479E-2</v>
      </c>
      <c r="M179" s="221">
        <v>45</v>
      </c>
      <c r="N179" s="221">
        <v>45</v>
      </c>
      <c r="O179" s="221">
        <v>8</v>
      </c>
      <c r="P179" s="221">
        <v>150</v>
      </c>
      <c r="Q179" s="221">
        <v>0</v>
      </c>
      <c r="R179" s="104">
        <f t="shared" si="35"/>
        <v>1200</v>
      </c>
      <c r="S179" s="104">
        <v>1</v>
      </c>
      <c r="T179" s="104">
        <v>0.27</v>
      </c>
      <c r="U179" s="104">
        <v>1.4</v>
      </c>
      <c r="V179" s="219">
        <f t="shared" si="36"/>
        <v>2089.6479313658224</v>
      </c>
      <c r="W179" s="106">
        <f t="shared" si="37"/>
        <v>13.930986209105482</v>
      </c>
      <c r="X179" s="107">
        <f t="shared" si="38"/>
        <v>6198.75</v>
      </c>
      <c r="Y179" s="108">
        <f t="shared" si="39"/>
        <v>41.325000000000003</v>
      </c>
      <c r="Z179" s="88">
        <f t="shared" si="40"/>
        <v>49590</v>
      </c>
      <c r="AA179" s="88">
        <f t="shared" si="41"/>
        <v>7576.25</v>
      </c>
      <c r="AB179" s="88">
        <f t="shared" si="42"/>
        <v>79895</v>
      </c>
      <c r="AC179" s="109">
        <f t="shared" si="30"/>
        <v>7190.55</v>
      </c>
      <c r="AD179" s="109">
        <f t="shared" si="31"/>
        <v>1917.48</v>
      </c>
      <c r="AE179" s="109">
        <f t="shared" si="43"/>
        <v>16684.28</v>
      </c>
      <c r="AF179" s="73">
        <f t="shared" si="44"/>
        <v>111.22853333333333</v>
      </c>
    </row>
    <row r="180" spans="1:32" x14ac:dyDescent="0.25">
      <c r="A180" s="102">
        <v>724</v>
      </c>
      <c r="B180" s="68" t="str">
        <f t="shared" si="32"/>
        <v>1.72, NT Grain Drill &amp; Pre  6'</v>
      </c>
      <c r="C180" s="103">
        <v>1.72</v>
      </c>
      <c r="D180" s="68" t="s">
        <v>151</v>
      </c>
      <c r="E180" s="68" t="s">
        <v>257</v>
      </c>
      <c r="F180" s="68" t="s">
        <v>256</v>
      </c>
      <c r="G180" s="68" t="str">
        <f t="shared" si="33"/>
        <v>NT Grain Drill &amp; Pre  6'</v>
      </c>
      <c r="H180" s="85">
        <v>36000</v>
      </c>
      <c r="I180" s="221">
        <v>6</v>
      </c>
      <c r="J180" s="221">
        <v>6</v>
      </c>
      <c r="K180" s="221">
        <v>65</v>
      </c>
      <c r="L180" s="86">
        <f t="shared" si="34"/>
        <v>0.35256410256410259</v>
      </c>
      <c r="M180" s="221">
        <v>45</v>
      </c>
      <c r="N180" s="221">
        <v>45</v>
      </c>
      <c r="O180" s="221">
        <v>8</v>
      </c>
      <c r="P180" s="221">
        <v>150</v>
      </c>
      <c r="Q180" s="221">
        <v>0</v>
      </c>
      <c r="R180" s="104">
        <f t="shared" si="35"/>
        <v>1200</v>
      </c>
      <c r="S180" s="104">
        <v>1</v>
      </c>
      <c r="T180" s="104">
        <v>0.27</v>
      </c>
      <c r="U180" s="104">
        <v>1.4</v>
      </c>
      <c r="V180" s="219">
        <f t="shared" si="36"/>
        <v>682.64360734273691</v>
      </c>
      <c r="W180" s="106">
        <f t="shared" si="37"/>
        <v>4.5509573822849125</v>
      </c>
      <c r="X180" s="107">
        <f t="shared" si="38"/>
        <v>2025</v>
      </c>
      <c r="Y180" s="108">
        <f t="shared" si="39"/>
        <v>13.5</v>
      </c>
      <c r="Z180" s="88">
        <f t="shared" si="40"/>
        <v>16200</v>
      </c>
      <c r="AA180" s="88">
        <f t="shared" si="41"/>
        <v>2475</v>
      </c>
      <c r="AB180" s="88">
        <f t="shared" si="42"/>
        <v>26100</v>
      </c>
      <c r="AC180" s="109">
        <f t="shared" si="30"/>
        <v>2349</v>
      </c>
      <c r="AD180" s="109">
        <f t="shared" si="31"/>
        <v>626.4</v>
      </c>
      <c r="AE180" s="109">
        <f t="shared" si="43"/>
        <v>5450.4</v>
      </c>
      <c r="AF180" s="73">
        <f t="shared" si="44"/>
        <v>36.335999999999999</v>
      </c>
    </row>
    <row r="181" spans="1:32" x14ac:dyDescent="0.25">
      <c r="A181" s="102">
        <v>555</v>
      </c>
      <c r="B181" s="68" t="str">
        <f t="shared" si="32"/>
        <v>1.73, NT Grain Drill &amp; Pre 10'</v>
      </c>
      <c r="C181" s="103">
        <v>1.73</v>
      </c>
      <c r="D181" s="68" t="s">
        <v>151</v>
      </c>
      <c r="E181" s="68" t="s">
        <v>257</v>
      </c>
      <c r="F181" s="68" t="s">
        <v>203</v>
      </c>
      <c r="G181" s="68" t="str">
        <f t="shared" si="33"/>
        <v>NT Grain Drill &amp; Pre 10'</v>
      </c>
      <c r="H181" s="85">
        <v>53400</v>
      </c>
      <c r="I181" s="221">
        <v>10</v>
      </c>
      <c r="J181" s="221">
        <v>6</v>
      </c>
      <c r="K181" s="221">
        <v>65</v>
      </c>
      <c r="L181" s="86">
        <f t="shared" si="34"/>
        <v>0.21153846153846154</v>
      </c>
      <c r="M181" s="221">
        <v>45</v>
      </c>
      <c r="N181" s="221">
        <v>45</v>
      </c>
      <c r="O181" s="221">
        <v>8</v>
      </c>
      <c r="P181" s="221">
        <v>150</v>
      </c>
      <c r="Q181" s="221">
        <v>0</v>
      </c>
      <c r="R181" s="104">
        <f t="shared" si="35"/>
        <v>1200</v>
      </c>
      <c r="S181" s="104">
        <v>1</v>
      </c>
      <c r="T181" s="104">
        <v>0.27</v>
      </c>
      <c r="U181" s="104">
        <v>1.4</v>
      </c>
      <c r="V181" s="219">
        <f t="shared" si="36"/>
        <v>1012.5880175583932</v>
      </c>
      <c r="W181" s="106">
        <f t="shared" si="37"/>
        <v>6.7505867837226212</v>
      </c>
      <c r="X181" s="107">
        <f t="shared" si="38"/>
        <v>3003.75</v>
      </c>
      <c r="Y181" s="108">
        <f t="shared" si="39"/>
        <v>20.024999999999999</v>
      </c>
      <c r="Z181" s="88">
        <f t="shared" si="40"/>
        <v>24030</v>
      </c>
      <c r="AA181" s="88">
        <f t="shared" si="41"/>
        <v>3671.25</v>
      </c>
      <c r="AB181" s="88">
        <f t="shared" si="42"/>
        <v>38715</v>
      </c>
      <c r="AC181" s="109">
        <f t="shared" si="30"/>
        <v>3484.35</v>
      </c>
      <c r="AD181" s="109">
        <f t="shared" si="31"/>
        <v>929.16</v>
      </c>
      <c r="AE181" s="109">
        <f t="shared" si="43"/>
        <v>8084.76</v>
      </c>
      <c r="AF181" s="73">
        <f t="shared" si="44"/>
        <v>53.898400000000002</v>
      </c>
    </row>
    <row r="182" spans="1:32" x14ac:dyDescent="0.25">
      <c r="A182" s="102">
        <v>403</v>
      </c>
      <c r="B182" s="68" t="str">
        <f t="shared" si="32"/>
        <v>1.74, NT Grain Drill &amp; Pre 12'</v>
      </c>
      <c r="C182" s="103">
        <v>1.74</v>
      </c>
      <c r="D182" s="68" t="s">
        <v>151</v>
      </c>
      <c r="E182" s="68" t="s">
        <v>257</v>
      </c>
      <c r="F182" s="68" t="s">
        <v>231</v>
      </c>
      <c r="G182" s="68" t="str">
        <f t="shared" si="33"/>
        <v>NT Grain Drill &amp; Pre 12'</v>
      </c>
      <c r="H182" s="85">
        <v>69500</v>
      </c>
      <c r="I182" s="221">
        <v>12</v>
      </c>
      <c r="J182" s="221">
        <v>6</v>
      </c>
      <c r="K182" s="221">
        <v>65</v>
      </c>
      <c r="L182" s="86">
        <f t="shared" si="34"/>
        <v>0.17628205128205129</v>
      </c>
      <c r="M182" s="221">
        <v>45</v>
      </c>
      <c r="N182" s="221">
        <v>45</v>
      </c>
      <c r="O182" s="221">
        <v>8</v>
      </c>
      <c r="P182" s="221">
        <v>150</v>
      </c>
      <c r="Q182" s="221">
        <v>0</v>
      </c>
      <c r="R182" s="104">
        <f t="shared" si="35"/>
        <v>1200</v>
      </c>
      <c r="S182" s="104">
        <v>1</v>
      </c>
      <c r="T182" s="104">
        <v>0.27</v>
      </c>
      <c r="U182" s="104">
        <v>1.4</v>
      </c>
      <c r="V182" s="219">
        <f t="shared" si="36"/>
        <v>1317.8814086200059</v>
      </c>
      <c r="W182" s="106">
        <f t="shared" si="37"/>
        <v>8.785876057466707</v>
      </c>
      <c r="X182" s="107">
        <f t="shared" si="38"/>
        <v>3909.375</v>
      </c>
      <c r="Y182" s="108">
        <f t="shared" si="39"/>
        <v>26.0625</v>
      </c>
      <c r="Z182" s="88">
        <f t="shared" si="40"/>
        <v>31275</v>
      </c>
      <c r="AA182" s="88">
        <f t="shared" si="41"/>
        <v>4778.125</v>
      </c>
      <c r="AB182" s="88">
        <f t="shared" si="42"/>
        <v>50387.5</v>
      </c>
      <c r="AC182" s="109">
        <f t="shared" si="30"/>
        <v>4534.875</v>
      </c>
      <c r="AD182" s="109">
        <f t="shared" si="31"/>
        <v>1209.3</v>
      </c>
      <c r="AE182" s="109">
        <f t="shared" si="43"/>
        <v>10522.3</v>
      </c>
      <c r="AF182" s="73">
        <f t="shared" si="44"/>
        <v>70.148666666666657</v>
      </c>
    </row>
    <row r="183" spans="1:32" x14ac:dyDescent="0.25">
      <c r="A183" s="102">
        <v>404</v>
      </c>
      <c r="B183" s="68" t="str">
        <f t="shared" si="32"/>
        <v>1.75, NT Grain Drill &amp; Pre 15'</v>
      </c>
      <c r="C183" s="103">
        <v>1.75</v>
      </c>
      <c r="D183" s="68" t="s">
        <v>151</v>
      </c>
      <c r="E183" s="68" t="s">
        <v>257</v>
      </c>
      <c r="F183" s="68" t="s">
        <v>204</v>
      </c>
      <c r="G183" s="68" t="str">
        <f t="shared" si="33"/>
        <v>NT Grain Drill &amp; Pre 15'</v>
      </c>
      <c r="H183" s="85">
        <v>81900</v>
      </c>
      <c r="I183" s="221">
        <v>15</v>
      </c>
      <c r="J183" s="221">
        <v>6</v>
      </c>
      <c r="K183" s="221">
        <v>65</v>
      </c>
      <c r="L183" s="86">
        <f t="shared" si="34"/>
        <v>0.14102564102564102</v>
      </c>
      <c r="M183" s="221">
        <v>45</v>
      </c>
      <c r="N183" s="221">
        <v>45</v>
      </c>
      <c r="O183" s="221">
        <v>8</v>
      </c>
      <c r="P183" s="221">
        <v>150</v>
      </c>
      <c r="Q183" s="221">
        <v>0</v>
      </c>
      <c r="R183" s="104">
        <f t="shared" si="35"/>
        <v>1200</v>
      </c>
      <c r="S183" s="104">
        <v>1</v>
      </c>
      <c r="T183" s="104">
        <v>0.27</v>
      </c>
      <c r="U183" s="104">
        <v>1.4</v>
      </c>
      <c r="V183" s="219">
        <f t="shared" si="36"/>
        <v>1553.0142067047263</v>
      </c>
      <c r="W183" s="106">
        <f t="shared" si="37"/>
        <v>10.353428044698175</v>
      </c>
      <c r="X183" s="107">
        <f t="shared" si="38"/>
        <v>4606.875</v>
      </c>
      <c r="Y183" s="108">
        <f t="shared" si="39"/>
        <v>30.712499999999999</v>
      </c>
      <c r="Z183" s="88">
        <f t="shared" si="40"/>
        <v>36855</v>
      </c>
      <c r="AA183" s="88">
        <f t="shared" si="41"/>
        <v>5630.625</v>
      </c>
      <c r="AB183" s="88">
        <f t="shared" si="42"/>
        <v>59377.5</v>
      </c>
      <c r="AC183" s="109">
        <f t="shared" si="30"/>
        <v>5343.9749999999995</v>
      </c>
      <c r="AD183" s="109">
        <f t="shared" si="31"/>
        <v>1425.06</v>
      </c>
      <c r="AE183" s="109">
        <f t="shared" si="43"/>
        <v>12399.659999999998</v>
      </c>
      <c r="AF183" s="73">
        <f t="shared" si="44"/>
        <v>82.664399999999986</v>
      </c>
    </row>
    <row r="184" spans="1:32" x14ac:dyDescent="0.25">
      <c r="A184" s="102">
        <v>405</v>
      </c>
      <c r="B184" s="68" t="str">
        <f t="shared" si="32"/>
        <v>1.76, NT Grain Drill &amp; Pre 20'</v>
      </c>
      <c r="C184" s="103">
        <v>1.76</v>
      </c>
      <c r="D184" s="68" t="s">
        <v>151</v>
      </c>
      <c r="E184" s="68" t="s">
        <v>257</v>
      </c>
      <c r="F184" s="68" t="s">
        <v>205</v>
      </c>
      <c r="G184" s="68" t="str">
        <f t="shared" si="33"/>
        <v>NT Grain Drill &amp; Pre 20'</v>
      </c>
      <c r="H184" s="85">
        <v>107000</v>
      </c>
      <c r="I184" s="221">
        <v>20</v>
      </c>
      <c r="J184" s="221">
        <v>6</v>
      </c>
      <c r="K184" s="221">
        <v>65</v>
      </c>
      <c r="L184" s="86">
        <f t="shared" si="34"/>
        <v>0.10576923076923077</v>
      </c>
      <c r="M184" s="221">
        <v>45</v>
      </c>
      <c r="N184" s="221">
        <v>45</v>
      </c>
      <c r="O184" s="221">
        <v>8</v>
      </c>
      <c r="P184" s="221">
        <v>150</v>
      </c>
      <c r="Q184" s="221">
        <v>0</v>
      </c>
      <c r="R184" s="104">
        <f t="shared" si="35"/>
        <v>1200</v>
      </c>
      <c r="S184" s="104">
        <v>1</v>
      </c>
      <c r="T184" s="104">
        <v>0.27</v>
      </c>
      <c r="U184" s="104">
        <v>1.4</v>
      </c>
      <c r="V184" s="219">
        <f t="shared" si="36"/>
        <v>2028.9684996020237</v>
      </c>
      <c r="W184" s="106">
        <f t="shared" si="37"/>
        <v>13.526456664013491</v>
      </c>
      <c r="X184" s="107">
        <f t="shared" si="38"/>
        <v>6018.75</v>
      </c>
      <c r="Y184" s="108">
        <f t="shared" si="39"/>
        <v>40.125</v>
      </c>
      <c r="Z184" s="88">
        <f t="shared" si="40"/>
        <v>48150</v>
      </c>
      <c r="AA184" s="88">
        <f t="shared" si="41"/>
        <v>7356.25</v>
      </c>
      <c r="AB184" s="88">
        <f t="shared" si="42"/>
        <v>77575</v>
      </c>
      <c r="AC184" s="109">
        <f t="shared" si="30"/>
        <v>6981.75</v>
      </c>
      <c r="AD184" s="109">
        <f t="shared" si="31"/>
        <v>1861.8</v>
      </c>
      <c r="AE184" s="109">
        <f t="shared" si="43"/>
        <v>16199.8</v>
      </c>
      <c r="AF184" s="73">
        <f t="shared" si="44"/>
        <v>107.99866666666667</v>
      </c>
    </row>
    <row r="185" spans="1:32" x14ac:dyDescent="0.25">
      <c r="A185" s="102">
        <v>406</v>
      </c>
      <c r="B185" s="68" t="str">
        <f t="shared" si="32"/>
        <v>1.77, NT Grain Drill &amp; Pre 24'</v>
      </c>
      <c r="C185" s="103">
        <v>1.77</v>
      </c>
      <c r="D185" s="68" t="s">
        <v>151</v>
      </c>
      <c r="E185" s="68" t="s">
        <v>257</v>
      </c>
      <c r="F185" s="68" t="s">
        <v>197</v>
      </c>
      <c r="G185" s="68" t="str">
        <f t="shared" si="33"/>
        <v>NT Grain Drill &amp; Pre 24'</v>
      </c>
      <c r="H185" s="85">
        <v>117000</v>
      </c>
      <c r="I185" s="221">
        <v>24</v>
      </c>
      <c r="J185" s="221">
        <v>6</v>
      </c>
      <c r="K185" s="221">
        <v>65</v>
      </c>
      <c r="L185" s="86">
        <f t="shared" si="34"/>
        <v>8.8141025641025647E-2</v>
      </c>
      <c r="M185" s="221">
        <v>45</v>
      </c>
      <c r="N185" s="221">
        <v>45</v>
      </c>
      <c r="O185" s="221">
        <v>8</v>
      </c>
      <c r="P185" s="221">
        <v>150</v>
      </c>
      <c r="Q185" s="221">
        <v>0</v>
      </c>
      <c r="R185" s="104">
        <f t="shared" si="35"/>
        <v>1200</v>
      </c>
      <c r="S185" s="104">
        <v>1</v>
      </c>
      <c r="T185" s="104">
        <v>0.27</v>
      </c>
      <c r="U185" s="104">
        <v>1.4</v>
      </c>
      <c r="V185" s="219">
        <f t="shared" si="36"/>
        <v>2218.5917238638949</v>
      </c>
      <c r="W185" s="106">
        <f t="shared" si="37"/>
        <v>14.790611492425967</v>
      </c>
      <c r="X185" s="107">
        <f t="shared" si="38"/>
        <v>6581.25</v>
      </c>
      <c r="Y185" s="108">
        <f t="shared" si="39"/>
        <v>43.875</v>
      </c>
      <c r="Z185" s="88">
        <f t="shared" si="40"/>
        <v>52650</v>
      </c>
      <c r="AA185" s="88">
        <f t="shared" si="41"/>
        <v>8043.75</v>
      </c>
      <c r="AB185" s="88">
        <f t="shared" si="42"/>
        <v>84825</v>
      </c>
      <c r="AC185" s="109">
        <f t="shared" si="30"/>
        <v>7634.25</v>
      </c>
      <c r="AD185" s="109">
        <f t="shared" si="31"/>
        <v>2035.8</v>
      </c>
      <c r="AE185" s="109">
        <f t="shared" si="43"/>
        <v>17713.8</v>
      </c>
      <c r="AF185" s="73">
        <f t="shared" si="44"/>
        <v>118.092</v>
      </c>
    </row>
    <row r="186" spans="1:32" x14ac:dyDescent="0.25">
      <c r="A186" s="102">
        <v>407</v>
      </c>
      <c r="B186" s="68" t="str">
        <f t="shared" si="32"/>
        <v>1.78, NT Grain Drill &amp; Pre 30'</v>
      </c>
      <c r="C186" s="103">
        <v>1.78</v>
      </c>
      <c r="D186" s="68" t="s">
        <v>151</v>
      </c>
      <c r="E186" s="68" t="s">
        <v>257</v>
      </c>
      <c r="F186" s="68" t="s">
        <v>236</v>
      </c>
      <c r="G186" s="68" t="str">
        <f t="shared" si="33"/>
        <v>NT Grain Drill &amp; Pre 30'</v>
      </c>
      <c r="H186" s="85">
        <v>116000</v>
      </c>
      <c r="I186" s="221">
        <v>30</v>
      </c>
      <c r="J186" s="221">
        <v>6</v>
      </c>
      <c r="K186" s="221">
        <v>65</v>
      </c>
      <c r="L186" s="86">
        <f t="shared" si="34"/>
        <v>7.0512820512820512E-2</v>
      </c>
      <c r="M186" s="221">
        <v>45</v>
      </c>
      <c r="N186" s="221">
        <v>45</v>
      </c>
      <c r="O186" s="221">
        <v>8</v>
      </c>
      <c r="P186" s="221">
        <v>150</v>
      </c>
      <c r="Q186" s="221">
        <v>0</v>
      </c>
      <c r="R186" s="104">
        <f t="shared" si="35"/>
        <v>1200</v>
      </c>
      <c r="S186" s="104">
        <v>1</v>
      </c>
      <c r="T186" s="104">
        <v>0.27</v>
      </c>
      <c r="U186" s="104">
        <v>1.4</v>
      </c>
      <c r="V186" s="219">
        <f t="shared" si="36"/>
        <v>2199.6294014377081</v>
      </c>
      <c r="W186" s="106">
        <f t="shared" si="37"/>
        <v>14.664196009584721</v>
      </c>
      <c r="X186" s="107">
        <f t="shared" si="38"/>
        <v>6525</v>
      </c>
      <c r="Y186" s="108">
        <f t="shared" si="39"/>
        <v>43.5</v>
      </c>
      <c r="Z186" s="88">
        <f t="shared" si="40"/>
        <v>52200</v>
      </c>
      <c r="AA186" s="88">
        <f t="shared" si="41"/>
        <v>7975</v>
      </c>
      <c r="AB186" s="88">
        <f t="shared" si="42"/>
        <v>84100</v>
      </c>
      <c r="AC186" s="109">
        <f t="shared" si="30"/>
        <v>7569</v>
      </c>
      <c r="AD186" s="109">
        <f t="shared" si="31"/>
        <v>2018.4</v>
      </c>
      <c r="AE186" s="109">
        <f t="shared" si="43"/>
        <v>17562.400000000001</v>
      </c>
      <c r="AF186" s="73">
        <f t="shared" si="44"/>
        <v>117.08266666666668</v>
      </c>
    </row>
    <row r="187" spans="1:32" x14ac:dyDescent="0.25">
      <c r="A187" s="102">
        <v>389</v>
      </c>
      <c r="B187" s="68" t="str">
        <f t="shared" si="32"/>
        <v>1.79, NT Plant &amp; Pre-Folding 12R-20</v>
      </c>
      <c r="C187" s="103">
        <v>1.79</v>
      </c>
      <c r="D187" s="68" t="s">
        <v>151</v>
      </c>
      <c r="E187" s="68" t="s">
        <v>258</v>
      </c>
      <c r="F187" s="68" t="s">
        <v>259</v>
      </c>
      <c r="G187" s="68" t="str">
        <f t="shared" si="33"/>
        <v>NT Plant &amp; Pre-Folding 12R-20</v>
      </c>
      <c r="H187" s="85">
        <v>82800</v>
      </c>
      <c r="I187" s="221">
        <v>20</v>
      </c>
      <c r="J187" s="221">
        <v>6</v>
      </c>
      <c r="K187" s="221">
        <v>65</v>
      </c>
      <c r="L187" s="86">
        <f t="shared" si="34"/>
        <v>0.10576923076923077</v>
      </c>
      <c r="M187" s="221">
        <v>45</v>
      </c>
      <c r="N187" s="221">
        <v>45</v>
      </c>
      <c r="O187" s="221">
        <v>8</v>
      </c>
      <c r="P187" s="221">
        <v>150</v>
      </c>
      <c r="Q187" s="221">
        <v>0</v>
      </c>
      <c r="R187" s="104">
        <f t="shared" si="35"/>
        <v>1200</v>
      </c>
      <c r="S187" s="104">
        <v>1</v>
      </c>
      <c r="T187" s="104">
        <v>0.27</v>
      </c>
      <c r="U187" s="104">
        <v>1.4</v>
      </c>
      <c r="V187" s="219">
        <f t="shared" si="36"/>
        <v>1570.0802968882947</v>
      </c>
      <c r="W187" s="106">
        <f t="shared" si="37"/>
        <v>10.467201979255298</v>
      </c>
      <c r="X187" s="107">
        <f t="shared" si="38"/>
        <v>4657.5</v>
      </c>
      <c r="Y187" s="108">
        <f t="shared" si="39"/>
        <v>31.05</v>
      </c>
      <c r="Z187" s="88">
        <f t="shared" si="40"/>
        <v>37260</v>
      </c>
      <c r="AA187" s="88">
        <f t="shared" si="41"/>
        <v>5692.5</v>
      </c>
      <c r="AB187" s="88">
        <f t="shared" si="42"/>
        <v>60030</v>
      </c>
      <c r="AC187" s="109">
        <f t="shared" si="30"/>
        <v>5402.7</v>
      </c>
      <c r="AD187" s="109">
        <f t="shared" si="31"/>
        <v>1440.72</v>
      </c>
      <c r="AE187" s="109">
        <f t="shared" si="43"/>
        <v>12535.92</v>
      </c>
      <c r="AF187" s="73">
        <f t="shared" si="44"/>
        <v>83.572800000000001</v>
      </c>
    </row>
    <row r="188" spans="1:32" x14ac:dyDescent="0.25">
      <c r="A188" s="102">
        <v>395</v>
      </c>
      <c r="B188" s="68" t="str">
        <f t="shared" si="32"/>
        <v>1.8, NT Plant &amp; Pre-Folding  8R-36</v>
      </c>
      <c r="C188" s="103">
        <v>1.8</v>
      </c>
      <c r="D188" s="68" t="s">
        <v>151</v>
      </c>
      <c r="E188" s="68" t="s">
        <v>258</v>
      </c>
      <c r="F188" s="68" t="s">
        <v>160</v>
      </c>
      <c r="G188" s="68" t="str">
        <f t="shared" si="33"/>
        <v>NT Plant &amp; Pre-Folding  8R-36</v>
      </c>
      <c r="H188" s="85">
        <v>86700</v>
      </c>
      <c r="I188" s="221">
        <v>24</v>
      </c>
      <c r="J188" s="221">
        <v>6</v>
      </c>
      <c r="K188" s="221">
        <v>65</v>
      </c>
      <c r="L188" s="86">
        <f t="shared" si="34"/>
        <v>8.8141025641025647E-2</v>
      </c>
      <c r="M188" s="221">
        <v>45</v>
      </c>
      <c r="N188" s="221">
        <v>45</v>
      </c>
      <c r="O188" s="221">
        <v>8</v>
      </c>
      <c r="P188" s="221">
        <v>150</v>
      </c>
      <c r="Q188" s="221">
        <v>0</v>
      </c>
      <c r="R188" s="104">
        <f t="shared" si="35"/>
        <v>1200</v>
      </c>
      <c r="S188" s="104">
        <v>1</v>
      </c>
      <c r="T188" s="104">
        <v>0.27</v>
      </c>
      <c r="U188" s="104">
        <v>1.4</v>
      </c>
      <c r="V188" s="219">
        <f t="shared" si="36"/>
        <v>1644.0333543504246</v>
      </c>
      <c r="W188" s="106">
        <f t="shared" si="37"/>
        <v>10.960222362336165</v>
      </c>
      <c r="X188" s="107">
        <f t="shared" si="38"/>
        <v>4876.875</v>
      </c>
      <c r="Y188" s="108">
        <f t="shared" si="39"/>
        <v>32.512500000000003</v>
      </c>
      <c r="Z188" s="88">
        <f t="shared" si="40"/>
        <v>39015</v>
      </c>
      <c r="AA188" s="88">
        <f t="shared" si="41"/>
        <v>5960.625</v>
      </c>
      <c r="AB188" s="88">
        <f t="shared" si="42"/>
        <v>62857.5</v>
      </c>
      <c r="AC188" s="109">
        <f t="shared" si="30"/>
        <v>5657.1750000000002</v>
      </c>
      <c r="AD188" s="109">
        <f t="shared" si="31"/>
        <v>1508.58</v>
      </c>
      <c r="AE188" s="109">
        <f t="shared" si="43"/>
        <v>13126.38</v>
      </c>
      <c r="AF188" s="73">
        <f t="shared" si="44"/>
        <v>87.509199999999993</v>
      </c>
    </row>
    <row r="189" spans="1:32" x14ac:dyDescent="0.25">
      <c r="A189" s="102">
        <v>392</v>
      </c>
      <c r="B189" s="68" t="str">
        <f t="shared" si="32"/>
        <v>1.81, NT Plant &amp; Pre-Folding 23R-15</v>
      </c>
      <c r="C189" s="103">
        <v>1.81</v>
      </c>
      <c r="D189" s="68" t="s">
        <v>151</v>
      </c>
      <c r="E189" s="68" t="s">
        <v>258</v>
      </c>
      <c r="F189" s="68" t="s">
        <v>260</v>
      </c>
      <c r="G189" s="68" t="str">
        <f t="shared" si="33"/>
        <v>NT Plant &amp; Pre-Folding 23R-15</v>
      </c>
      <c r="H189" s="85">
        <v>218000</v>
      </c>
      <c r="I189" s="221">
        <v>28.8</v>
      </c>
      <c r="J189" s="221">
        <v>6</v>
      </c>
      <c r="K189" s="221">
        <v>65</v>
      </c>
      <c r="L189" s="86">
        <f t="shared" si="34"/>
        <v>7.3450854700854704E-2</v>
      </c>
      <c r="M189" s="221">
        <v>45</v>
      </c>
      <c r="N189" s="221">
        <v>45</v>
      </c>
      <c r="O189" s="221">
        <v>8</v>
      </c>
      <c r="P189" s="221">
        <v>150</v>
      </c>
      <c r="Q189" s="221">
        <v>0</v>
      </c>
      <c r="R189" s="104">
        <f t="shared" si="35"/>
        <v>1200</v>
      </c>
      <c r="S189" s="104">
        <v>1</v>
      </c>
      <c r="T189" s="104">
        <v>0.27</v>
      </c>
      <c r="U189" s="104">
        <v>1.4</v>
      </c>
      <c r="V189" s="219">
        <f t="shared" si="36"/>
        <v>4133.7862889087955</v>
      </c>
      <c r="W189" s="106">
        <f t="shared" si="37"/>
        <v>27.558575259391969</v>
      </c>
      <c r="X189" s="107">
        <f t="shared" si="38"/>
        <v>12262.5</v>
      </c>
      <c r="Y189" s="108">
        <f t="shared" si="39"/>
        <v>81.75</v>
      </c>
      <c r="Z189" s="88">
        <f t="shared" si="40"/>
        <v>98100</v>
      </c>
      <c r="AA189" s="88">
        <f t="shared" si="41"/>
        <v>14987.5</v>
      </c>
      <c r="AB189" s="88">
        <f t="shared" si="42"/>
        <v>158050</v>
      </c>
      <c r="AC189" s="109">
        <f t="shared" si="30"/>
        <v>14224.5</v>
      </c>
      <c r="AD189" s="109">
        <f t="shared" si="31"/>
        <v>3793.2000000000003</v>
      </c>
      <c r="AE189" s="109">
        <f t="shared" si="43"/>
        <v>33005.199999999997</v>
      </c>
      <c r="AF189" s="73">
        <f t="shared" si="44"/>
        <v>220.03466666666665</v>
      </c>
    </row>
    <row r="190" spans="1:32" x14ac:dyDescent="0.25">
      <c r="A190" s="102">
        <v>390</v>
      </c>
      <c r="B190" s="68" t="str">
        <f t="shared" si="32"/>
        <v>1.82, NT Plant &amp; Pre-Folding 12R-30</v>
      </c>
      <c r="C190" s="103">
        <v>1.82</v>
      </c>
      <c r="D190" s="68" t="s">
        <v>151</v>
      </c>
      <c r="E190" s="68" t="s">
        <v>258</v>
      </c>
      <c r="F190" s="68" t="s">
        <v>156</v>
      </c>
      <c r="G190" s="68" t="str">
        <f t="shared" si="33"/>
        <v>NT Plant &amp; Pre-Folding 12R-30</v>
      </c>
      <c r="H190" s="85">
        <v>110000</v>
      </c>
      <c r="I190" s="221">
        <v>30</v>
      </c>
      <c r="J190" s="221">
        <v>6</v>
      </c>
      <c r="K190" s="221">
        <v>65</v>
      </c>
      <c r="L190" s="86">
        <f t="shared" si="34"/>
        <v>7.0512820512820512E-2</v>
      </c>
      <c r="M190" s="221">
        <v>45</v>
      </c>
      <c r="N190" s="221">
        <v>45</v>
      </c>
      <c r="O190" s="221">
        <v>8</v>
      </c>
      <c r="P190" s="221">
        <v>150</v>
      </c>
      <c r="Q190" s="221">
        <v>0</v>
      </c>
      <c r="R190" s="104">
        <f t="shared" si="35"/>
        <v>1200</v>
      </c>
      <c r="S190" s="104">
        <v>1</v>
      </c>
      <c r="T190" s="104">
        <v>0.27</v>
      </c>
      <c r="U190" s="104">
        <v>1.4</v>
      </c>
      <c r="V190" s="219">
        <f t="shared" si="36"/>
        <v>2085.855466880585</v>
      </c>
      <c r="W190" s="106">
        <f t="shared" si="37"/>
        <v>13.905703112537234</v>
      </c>
      <c r="X190" s="107">
        <f t="shared" si="38"/>
        <v>6187.5</v>
      </c>
      <c r="Y190" s="108">
        <f t="shared" si="39"/>
        <v>41.25</v>
      </c>
      <c r="Z190" s="88">
        <f t="shared" si="40"/>
        <v>49500</v>
      </c>
      <c r="AA190" s="88">
        <f t="shared" si="41"/>
        <v>7562.5</v>
      </c>
      <c r="AB190" s="88">
        <f t="shared" si="42"/>
        <v>79750</v>
      </c>
      <c r="AC190" s="109">
        <f t="shared" si="30"/>
        <v>7177.5</v>
      </c>
      <c r="AD190" s="109">
        <f t="shared" si="31"/>
        <v>1914</v>
      </c>
      <c r="AE190" s="109">
        <f t="shared" si="43"/>
        <v>16654</v>
      </c>
      <c r="AF190" s="73">
        <f t="shared" si="44"/>
        <v>111.02666666666667</v>
      </c>
    </row>
    <row r="191" spans="1:32" x14ac:dyDescent="0.25">
      <c r="A191" s="102">
        <v>549</v>
      </c>
      <c r="B191" s="68" t="str">
        <f t="shared" si="32"/>
        <v>1.83, NT Plant &amp; Pre-Folding 24R-15</v>
      </c>
      <c r="C191" s="103">
        <v>1.83</v>
      </c>
      <c r="D191" s="68" t="s">
        <v>151</v>
      </c>
      <c r="E191" s="68" t="s">
        <v>258</v>
      </c>
      <c r="F191" s="68" t="s">
        <v>261</v>
      </c>
      <c r="G191" s="68" t="str">
        <f t="shared" si="33"/>
        <v>NT Plant &amp; Pre-Folding 24R-15</v>
      </c>
      <c r="H191" s="85">
        <v>200000</v>
      </c>
      <c r="I191" s="221">
        <v>30</v>
      </c>
      <c r="J191" s="221">
        <v>6</v>
      </c>
      <c r="K191" s="221">
        <v>65</v>
      </c>
      <c r="L191" s="86">
        <f t="shared" si="34"/>
        <v>7.0512820512820512E-2</v>
      </c>
      <c r="M191" s="221">
        <v>45</v>
      </c>
      <c r="N191" s="221">
        <v>45</v>
      </c>
      <c r="O191" s="221">
        <v>8</v>
      </c>
      <c r="P191" s="221">
        <v>150</v>
      </c>
      <c r="Q191" s="221">
        <v>0</v>
      </c>
      <c r="R191" s="104">
        <f t="shared" si="35"/>
        <v>1200</v>
      </c>
      <c r="S191" s="104">
        <v>1</v>
      </c>
      <c r="T191" s="104">
        <v>0.27</v>
      </c>
      <c r="U191" s="104">
        <v>1.4</v>
      </c>
      <c r="V191" s="219">
        <f t="shared" si="36"/>
        <v>3792.4644852374272</v>
      </c>
      <c r="W191" s="106">
        <f t="shared" si="37"/>
        <v>25.283096568249515</v>
      </c>
      <c r="X191" s="107">
        <f t="shared" si="38"/>
        <v>11250</v>
      </c>
      <c r="Y191" s="108">
        <f t="shared" si="39"/>
        <v>75</v>
      </c>
      <c r="Z191" s="88">
        <f t="shared" si="40"/>
        <v>90000</v>
      </c>
      <c r="AA191" s="88">
        <f t="shared" si="41"/>
        <v>13750</v>
      </c>
      <c r="AB191" s="88">
        <f t="shared" si="42"/>
        <v>145000</v>
      </c>
      <c r="AC191" s="109">
        <f t="shared" si="30"/>
        <v>13050</v>
      </c>
      <c r="AD191" s="109">
        <f t="shared" si="31"/>
        <v>3480</v>
      </c>
      <c r="AE191" s="109">
        <f t="shared" si="43"/>
        <v>30280</v>
      </c>
      <c r="AF191" s="73">
        <f t="shared" si="44"/>
        <v>201.86666666666667</v>
      </c>
    </row>
    <row r="192" spans="1:32" x14ac:dyDescent="0.25">
      <c r="A192" s="102">
        <v>386</v>
      </c>
      <c r="B192" s="68" t="str">
        <f t="shared" si="32"/>
        <v>1.84, NT Plant &amp; Pre-Folding  8R-36 2x1</v>
      </c>
      <c r="C192" s="103">
        <v>1.84</v>
      </c>
      <c r="D192" s="68" t="s">
        <v>151</v>
      </c>
      <c r="E192" s="68" t="s">
        <v>258</v>
      </c>
      <c r="F192" s="68" t="s">
        <v>157</v>
      </c>
      <c r="G192" s="68" t="str">
        <f t="shared" si="33"/>
        <v>NT Plant &amp; Pre-Folding  8R-36 2x1</v>
      </c>
      <c r="H192" s="85">
        <v>123000</v>
      </c>
      <c r="I192" s="221">
        <v>36</v>
      </c>
      <c r="J192" s="221">
        <v>6</v>
      </c>
      <c r="K192" s="221">
        <v>65</v>
      </c>
      <c r="L192" s="86">
        <f t="shared" si="34"/>
        <v>5.8760683760683753E-2</v>
      </c>
      <c r="M192" s="221">
        <v>45</v>
      </c>
      <c r="N192" s="221">
        <v>45</v>
      </c>
      <c r="O192" s="221">
        <v>8</v>
      </c>
      <c r="P192" s="221">
        <v>150</v>
      </c>
      <c r="Q192" s="221">
        <v>0</v>
      </c>
      <c r="R192" s="104">
        <f t="shared" si="35"/>
        <v>1200</v>
      </c>
      <c r="S192" s="104">
        <v>1</v>
      </c>
      <c r="T192" s="104">
        <v>0.27</v>
      </c>
      <c r="U192" s="104">
        <v>1.4</v>
      </c>
      <c r="V192" s="219">
        <f t="shared" si="36"/>
        <v>2332.3656584210175</v>
      </c>
      <c r="W192" s="106">
        <f t="shared" si="37"/>
        <v>15.549104389473451</v>
      </c>
      <c r="X192" s="107">
        <f t="shared" si="38"/>
        <v>6918.75</v>
      </c>
      <c r="Y192" s="108">
        <f t="shared" si="39"/>
        <v>46.125</v>
      </c>
      <c r="Z192" s="88">
        <f t="shared" si="40"/>
        <v>55350</v>
      </c>
      <c r="AA192" s="88">
        <f t="shared" si="41"/>
        <v>8456.25</v>
      </c>
      <c r="AB192" s="88">
        <f t="shared" si="42"/>
        <v>89175</v>
      </c>
      <c r="AC192" s="109">
        <f t="shared" si="30"/>
        <v>8025.75</v>
      </c>
      <c r="AD192" s="109">
        <f t="shared" si="31"/>
        <v>2140.1999999999998</v>
      </c>
      <c r="AE192" s="109">
        <f t="shared" si="43"/>
        <v>18622.2</v>
      </c>
      <c r="AF192" s="73">
        <f t="shared" si="44"/>
        <v>124.14800000000001</v>
      </c>
    </row>
    <row r="193" spans="1:32" x14ac:dyDescent="0.25">
      <c r="A193" s="102">
        <v>257</v>
      </c>
      <c r="B193" s="68" t="str">
        <f t="shared" si="32"/>
        <v>1.85, NT Plant &amp; Pre-Folding 12R-36</v>
      </c>
      <c r="C193" s="103">
        <v>1.85</v>
      </c>
      <c r="D193" s="68" t="s">
        <v>151</v>
      </c>
      <c r="E193" s="68" t="s">
        <v>258</v>
      </c>
      <c r="F193" s="68" t="s">
        <v>158</v>
      </c>
      <c r="G193" s="68" t="str">
        <f t="shared" si="33"/>
        <v>NT Plant &amp; Pre-Folding 12R-36</v>
      </c>
      <c r="H193" s="85">
        <v>123000</v>
      </c>
      <c r="I193" s="221">
        <v>36</v>
      </c>
      <c r="J193" s="221">
        <v>6</v>
      </c>
      <c r="K193" s="221">
        <v>65</v>
      </c>
      <c r="L193" s="86">
        <f t="shared" si="34"/>
        <v>5.8760683760683753E-2</v>
      </c>
      <c r="M193" s="221">
        <v>45</v>
      </c>
      <c r="N193" s="221">
        <v>45</v>
      </c>
      <c r="O193" s="221">
        <v>8</v>
      </c>
      <c r="P193" s="221">
        <v>150</v>
      </c>
      <c r="Q193" s="221">
        <v>0</v>
      </c>
      <c r="R193" s="104">
        <f t="shared" si="35"/>
        <v>1200</v>
      </c>
      <c r="S193" s="104">
        <v>1</v>
      </c>
      <c r="T193" s="104">
        <v>0.27</v>
      </c>
      <c r="U193" s="104">
        <v>1.4</v>
      </c>
      <c r="V193" s="219">
        <f t="shared" si="36"/>
        <v>2332.3656584210175</v>
      </c>
      <c r="W193" s="106">
        <f t="shared" si="37"/>
        <v>15.549104389473451</v>
      </c>
      <c r="X193" s="107">
        <f t="shared" si="38"/>
        <v>6918.75</v>
      </c>
      <c r="Y193" s="108">
        <f t="shared" si="39"/>
        <v>46.125</v>
      </c>
      <c r="Z193" s="88">
        <f t="shared" si="40"/>
        <v>55350</v>
      </c>
      <c r="AA193" s="88">
        <f t="shared" si="41"/>
        <v>8456.25</v>
      </c>
      <c r="AB193" s="88">
        <f t="shared" si="42"/>
        <v>89175</v>
      </c>
      <c r="AC193" s="109">
        <f t="shared" si="30"/>
        <v>8025.75</v>
      </c>
      <c r="AD193" s="109">
        <f t="shared" si="31"/>
        <v>2140.1999999999998</v>
      </c>
      <c r="AE193" s="109">
        <f t="shared" si="43"/>
        <v>18622.2</v>
      </c>
      <c r="AF193" s="73">
        <f t="shared" si="44"/>
        <v>124.14800000000001</v>
      </c>
    </row>
    <row r="194" spans="1:32" x14ac:dyDescent="0.25">
      <c r="A194" s="102">
        <v>553</v>
      </c>
      <c r="B194" s="68" t="str">
        <f t="shared" si="32"/>
        <v>1.86, NT Plant &amp; Pre-Folding 31R-15</v>
      </c>
      <c r="C194" s="103">
        <v>1.86</v>
      </c>
      <c r="D194" s="68" t="s">
        <v>151</v>
      </c>
      <c r="E194" s="68" t="s">
        <v>258</v>
      </c>
      <c r="F194" s="68" t="s">
        <v>262</v>
      </c>
      <c r="G194" s="68" t="str">
        <f t="shared" si="33"/>
        <v>NT Plant &amp; Pre-Folding 31R-15</v>
      </c>
      <c r="H194" s="85">
        <v>267000</v>
      </c>
      <c r="I194" s="221">
        <v>38.700000000000003</v>
      </c>
      <c r="J194" s="221">
        <v>6</v>
      </c>
      <c r="K194" s="221">
        <v>65</v>
      </c>
      <c r="L194" s="86">
        <f t="shared" si="34"/>
        <v>5.4661101172729071E-2</v>
      </c>
      <c r="M194" s="221">
        <v>45</v>
      </c>
      <c r="N194" s="221">
        <v>45</v>
      </c>
      <c r="O194" s="221">
        <v>8</v>
      </c>
      <c r="P194" s="221">
        <v>150</v>
      </c>
      <c r="Q194" s="221">
        <v>0</v>
      </c>
      <c r="R194" s="104">
        <f t="shared" si="35"/>
        <v>1200</v>
      </c>
      <c r="S194" s="104">
        <v>1</v>
      </c>
      <c r="T194" s="104">
        <v>0.27</v>
      </c>
      <c r="U194" s="104">
        <v>1.4</v>
      </c>
      <c r="V194" s="219">
        <f t="shared" si="36"/>
        <v>5062.9400877919652</v>
      </c>
      <c r="W194" s="106">
        <f t="shared" si="37"/>
        <v>33.752933918613103</v>
      </c>
      <c r="X194" s="107">
        <f t="shared" si="38"/>
        <v>15018.75</v>
      </c>
      <c r="Y194" s="108">
        <f t="shared" si="39"/>
        <v>100.125</v>
      </c>
      <c r="Z194" s="88">
        <f t="shared" si="40"/>
        <v>120150</v>
      </c>
      <c r="AA194" s="88">
        <f t="shared" si="41"/>
        <v>18356.25</v>
      </c>
      <c r="AB194" s="88">
        <f t="shared" si="42"/>
        <v>193575</v>
      </c>
      <c r="AC194" s="109">
        <f t="shared" si="30"/>
        <v>17421.75</v>
      </c>
      <c r="AD194" s="109">
        <f t="shared" si="31"/>
        <v>4645.8</v>
      </c>
      <c r="AE194" s="109">
        <f t="shared" si="43"/>
        <v>40423.800000000003</v>
      </c>
      <c r="AF194" s="73">
        <f t="shared" si="44"/>
        <v>269.49200000000002</v>
      </c>
    </row>
    <row r="195" spans="1:32" x14ac:dyDescent="0.25">
      <c r="A195" s="102">
        <v>391</v>
      </c>
      <c r="B195" s="68" t="str">
        <f t="shared" si="32"/>
        <v>1.87, NT Plant &amp; Pre-Folding 16R-30</v>
      </c>
      <c r="C195" s="103">
        <v>1.87</v>
      </c>
      <c r="D195" s="68" t="s">
        <v>151</v>
      </c>
      <c r="E195" s="68" t="s">
        <v>258</v>
      </c>
      <c r="F195" s="68" t="s">
        <v>167</v>
      </c>
      <c r="G195" s="68" t="str">
        <f t="shared" si="33"/>
        <v>NT Plant &amp; Pre-Folding 16R-30</v>
      </c>
      <c r="H195" s="85">
        <v>217000</v>
      </c>
      <c r="I195" s="221">
        <v>40</v>
      </c>
      <c r="J195" s="221">
        <v>6</v>
      </c>
      <c r="K195" s="221">
        <v>65</v>
      </c>
      <c r="L195" s="86">
        <f t="shared" si="34"/>
        <v>5.2884615384615384E-2</v>
      </c>
      <c r="M195" s="221">
        <v>45</v>
      </c>
      <c r="N195" s="221">
        <v>45</v>
      </c>
      <c r="O195" s="221">
        <v>8</v>
      </c>
      <c r="P195" s="221">
        <v>150</v>
      </c>
      <c r="Q195" s="221">
        <v>0</v>
      </c>
      <c r="R195" s="104">
        <f t="shared" si="35"/>
        <v>1200</v>
      </c>
      <c r="S195" s="104">
        <v>1</v>
      </c>
      <c r="T195" s="104">
        <v>0.27</v>
      </c>
      <c r="U195" s="104">
        <v>1.4</v>
      </c>
      <c r="V195" s="219">
        <f t="shared" si="36"/>
        <v>4114.8239664826087</v>
      </c>
      <c r="W195" s="106">
        <f t="shared" si="37"/>
        <v>27.432159776550726</v>
      </c>
      <c r="X195" s="107">
        <f t="shared" si="38"/>
        <v>12206.25</v>
      </c>
      <c r="Y195" s="108">
        <f t="shared" si="39"/>
        <v>81.375</v>
      </c>
      <c r="Z195" s="88">
        <f t="shared" si="40"/>
        <v>97650</v>
      </c>
      <c r="AA195" s="88">
        <f t="shared" si="41"/>
        <v>14918.75</v>
      </c>
      <c r="AB195" s="88">
        <f t="shared" si="42"/>
        <v>157325</v>
      </c>
      <c r="AC195" s="109">
        <f t="shared" si="30"/>
        <v>14159.25</v>
      </c>
      <c r="AD195" s="109">
        <f t="shared" si="31"/>
        <v>3775.8</v>
      </c>
      <c r="AE195" s="109">
        <f t="shared" si="43"/>
        <v>32853.800000000003</v>
      </c>
      <c r="AF195" s="73">
        <f t="shared" si="44"/>
        <v>219.02533333333335</v>
      </c>
    </row>
    <row r="196" spans="1:32" x14ac:dyDescent="0.25">
      <c r="A196" s="102">
        <v>393</v>
      </c>
      <c r="B196" s="68" t="str">
        <f t="shared" si="32"/>
        <v>1.88, NT Plant &amp; Pre-Folding 24R-20</v>
      </c>
      <c r="C196" s="103">
        <v>1.88</v>
      </c>
      <c r="D196" s="68" t="s">
        <v>151</v>
      </c>
      <c r="E196" s="68" t="s">
        <v>258</v>
      </c>
      <c r="F196" s="68" t="s">
        <v>263</v>
      </c>
      <c r="G196" s="68" t="str">
        <f t="shared" si="33"/>
        <v>NT Plant &amp; Pre-Folding 24R-20</v>
      </c>
      <c r="H196" s="85">
        <v>268000</v>
      </c>
      <c r="I196" s="221">
        <v>40</v>
      </c>
      <c r="J196" s="221">
        <v>6</v>
      </c>
      <c r="K196" s="221">
        <v>65</v>
      </c>
      <c r="L196" s="86">
        <f t="shared" si="34"/>
        <v>5.2884615384615384E-2</v>
      </c>
      <c r="M196" s="221">
        <v>45</v>
      </c>
      <c r="N196" s="221">
        <v>45</v>
      </c>
      <c r="O196" s="221">
        <v>8</v>
      </c>
      <c r="P196" s="221">
        <v>150</v>
      </c>
      <c r="Q196" s="221">
        <v>0</v>
      </c>
      <c r="R196" s="104">
        <f t="shared" si="35"/>
        <v>1200</v>
      </c>
      <c r="S196" s="104">
        <v>1</v>
      </c>
      <c r="T196" s="104">
        <v>0.27</v>
      </c>
      <c r="U196" s="104">
        <v>1.4</v>
      </c>
      <c r="V196" s="219">
        <f t="shared" si="36"/>
        <v>5081.902410218152</v>
      </c>
      <c r="W196" s="106">
        <f t="shared" si="37"/>
        <v>33.879349401454348</v>
      </c>
      <c r="X196" s="107">
        <f t="shared" si="38"/>
        <v>15075</v>
      </c>
      <c r="Y196" s="108">
        <f t="shared" si="39"/>
        <v>100.5</v>
      </c>
      <c r="Z196" s="88">
        <f t="shared" si="40"/>
        <v>120600</v>
      </c>
      <c r="AA196" s="88">
        <f t="shared" si="41"/>
        <v>18425</v>
      </c>
      <c r="AB196" s="88">
        <f t="shared" si="42"/>
        <v>194300</v>
      </c>
      <c r="AC196" s="109">
        <f t="shared" si="30"/>
        <v>17487</v>
      </c>
      <c r="AD196" s="109">
        <f t="shared" si="31"/>
        <v>4663.2</v>
      </c>
      <c r="AE196" s="109">
        <f t="shared" si="43"/>
        <v>40575.199999999997</v>
      </c>
      <c r="AF196" s="73">
        <f t="shared" si="44"/>
        <v>270.50133333333332</v>
      </c>
    </row>
    <row r="197" spans="1:32" x14ac:dyDescent="0.25">
      <c r="A197" s="102">
        <v>597</v>
      </c>
      <c r="B197" s="68" t="str">
        <f t="shared" si="32"/>
        <v>1.89, NT Plant &amp; Pre-Folding 32R-15</v>
      </c>
      <c r="C197" s="103">
        <v>1.89</v>
      </c>
      <c r="D197" s="68" t="s">
        <v>151</v>
      </c>
      <c r="E197" s="68" t="s">
        <v>258</v>
      </c>
      <c r="F197" s="68" t="s">
        <v>264</v>
      </c>
      <c r="G197" s="68" t="str">
        <f t="shared" si="33"/>
        <v>NT Plant &amp; Pre-Folding 32R-15</v>
      </c>
      <c r="H197" s="85">
        <v>272000</v>
      </c>
      <c r="I197" s="221">
        <v>40</v>
      </c>
      <c r="J197" s="221">
        <v>6</v>
      </c>
      <c r="K197" s="221">
        <v>65</v>
      </c>
      <c r="L197" s="86">
        <f t="shared" si="34"/>
        <v>5.2884615384615384E-2</v>
      </c>
      <c r="M197" s="221">
        <v>45</v>
      </c>
      <c r="N197" s="221">
        <v>45</v>
      </c>
      <c r="O197" s="221">
        <v>8</v>
      </c>
      <c r="P197" s="221">
        <v>150</v>
      </c>
      <c r="Q197" s="221">
        <v>0</v>
      </c>
      <c r="R197" s="104">
        <f t="shared" si="35"/>
        <v>1200</v>
      </c>
      <c r="S197" s="104">
        <v>1</v>
      </c>
      <c r="T197" s="104">
        <v>0.27</v>
      </c>
      <c r="U197" s="104">
        <v>1.4</v>
      </c>
      <c r="V197" s="219">
        <f t="shared" si="36"/>
        <v>5157.751699922901</v>
      </c>
      <c r="W197" s="106">
        <f t="shared" si="37"/>
        <v>34.385011332819339</v>
      </c>
      <c r="X197" s="107">
        <f t="shared" si="38"/>
        <v>15300</v>
      </c>
      <c r="Y197" s="108">
        <f t="shared" si="39"/>
        <v>102</v>
      </c>
      <c r="Z197" s="88">
        <f t="shared" si="40"/>
        <v>122400</v>
      </c>
      <c r="AA197" s="88">
        <f t="shared" si="41"/>
        <v>18700</v>
      </c>
      <c r="AB197" s="88">
        <f t="shared" si="42"/>
        <v>197200</v>
      </c>
      <c r="AC197" s="109">
        <f t="shared" ref="AC197:AC260" si="45">AB197*intir</f>
        <v>17748</v>
      </c>
      <c r="AD197" s="109">
        <f t="shared" ref="AD197:AD260" si="46">AB197*itr</f>
        <v>4732.8</v>
      </c>
      <c r="AE197" s="109">
        <f t="shared" si="43"/>
        <v>41180.800000000003</v>
      </c>
      <c r="AF197" s="73">
        <f t="shared" si="44"/>
        <v>274.5386666666667</v>
      </c>
    </row>
    <row r="198" spans="1:32" x14ac:dyDescent="0.25">
      <c r="A198" s="102">
        <v>394</v>
      </c>
      <c r="B198" s="68" t="str">
        <f t="shared" si="32"/>
        <v>1.9, NT Plant &amp; Pre-Folding 24R-30</v>
      </c>
      <c r="C198" s="103">
        <v>1.9</v>
      </c>
      <c r="D198" s="68" t="s">
        <v>151</v>
      </c>
      <c r="E198" s="68" t="s">
        <v>258</v>
      </c>
      <c r="F198" s="68" t="s">
        <v>265</v>
      </c>
      <c r="G198" s="68" t="str">
        <f t="shared" si="33"/>
        <v>NT Plant &amp; Pre-Folding 24R-30</v>
      </c>
      <c r="H198" s="85">
        <v>227000</v>
      </c>
      <c r="I198" s="221">
        <v>60</v>
      </c>
      <c r="J198" s="221">
        <v>6</v>
      </c>
      <c r="K198" s="221">
        <v>65</v>
      </c>
      <c r="L198" s="86">
        <f t="shared" si="34"/>
        <v>3.5256410256410256E-2</v>
      </c>
      <c r="M198" s="221">
        <v>45</v>
      </c>
      <c r="N198" s="221">
        <v>45</v>
      </c>
      <c r="O198" s="221">
        <v>8</v>
      </c>
      <c r="P198" s="221">
        <v>150</v>
      </c>
      <c r="Q198" s="221">
        <v>0</v>
      </c>
      <c r="R198" s="104">
        <f t="shared" si="35"/>
        <v>1200</v>
      </c>
      <c r="S198" s="104">
        <v>1</v>
      </c>
      <c r="T198" s="104">
        <v>0.27</v>
      </c>
      <c r="U198" s="104">
        <v>1.4</v>
      </c>
      <c r="V198" s="219">
        <f t="shared" si="36"/>
        <v>4304.4471907444804</v>
      </c>
      <c r="W198" s="106">
        <f t="shared" si="37"/>
        <v>28.696314604963202</v>
      </c>
      <c r="X198" s="107">
        <f t="shared" si="38"/>
        <v>12768.75</v>
      </c>
      <c r="Y198" s="108">
        <f t="shared" si="39"/>
        <v>85.125</v>
      </c>
      <c r="Z198" s="88">
        <f t="shared" si="40"/>
        <v>102150</v>
      </c>
      <c r="AA198" s="88">
        <f t="shared" si="41"/>
        <v>15606.25</v>
      </c>
      <c r="AB198" s="88">
        <f t="shared" si="42"/>
        <v>164575</v>
      </c>
      <c r="AC198" s="109">
        <f t="shared" si="45"/>
        <v>14811.75</v>
      </c>
      <c r="AD198" s="109">
        <f t="shared" si="46"/>
        <v>3949.8</v>
      </c>
      <c r="AE198" s="109">
        <f t="shared" si="43"/>
        <v>34367.800000000003</v>
      </c>
      <c r="AF198" s="73">
        <f t="shared" si="44"/>
        <v>229.11866666666668</v>
      </c>
    </row>
    <row r="199" spans="1:32" x14ac:dyDescent="0.25">
      <c r="A199" s="102">
        <v>629</v>
      </c>
      <c r="B199" s="68" t="str">
        <f t="shared" si="32"/>
        <v>1.91, NT Plant &amp; Pre-Folding 36R-20</v>
      </c>
      <c r="C199" s="103">
        <v>1.91</v>
      </c>
      <c r="D199" s="68" t="s">
        <v>151</v>
      </c>
      <c r="E199" s="68" t="s">
        <v>258</v>
      </c>
      <c r="F199" s="68" t="s">
        <v>266</v>
      </c>
      <c r="G199" s="68" t="str">
        <f t="shared" si="33"/>
        <v>NT Plant &amp; Pre-Folding 36R-20</v>
      </c>
      <c r="H199" s="85">
        <v>214000</v>
      </c>
      <c r="I199" s="221">
        <v>60</v>
      </c>
      <c r="J199" s="221">
        <v>6</v>
      </c>
      <c r="K199" s="221">
        <v>65</v>
      </c>
      <c r="L199" s="86">
        <f t="shared" si="34"/>
        <v>3.5256410256410256E-2</v>
      </c>
      <c r="M199" s="221">
        <v>45</v>
      </c>
      <c r="N199" s="221">
        <v>45</v>
      </c>
      <c r="O199" s="221">
        <v>8</v>
      </c>
      <c r="P199" s="221">
        <v>150</v>
      </c>
      <c r="Q199" s="221">
        <v>0</v>
      </c>
      <c r="R199" s="104">
        <f t="shared" si="35"/>
        <v>1200</v>
      </c>
      <c r="S199" s="104">
        <v>1</v>
      </c>
      <c r="T199" s="104">
        <v>0.27</v>
      </c>
      <c r="U199" s="104">
        <v>1.4</v>
      </c>
      <c r="V199" s="219">
        <f t="shared" si="36"/>
        <v>4057.9369992040474</v>
      </c>
      <c r="W199" s="106">
        <f t="shared" si="37"/>
        <v>27.052913328026982</v>
      </c>
      <c r="X199" s="107">
        <f t="shared" si="38"/>
        <v>12037.5</v>
      </c>
      <c r="Y199" s="108">
        <f t="shared" si="39"/>
        <v>80.25</v>
      </c>
      <c r="Z199" s="88">
        <f t="shared" si="40"/>
        <v>96300</v>
      </c>
      <c r="AA199" s="88">
        <f t="shared" si="41"/>
        <v>14712.5</v>
      </c>
      <c r="AB199" s="88">
        <f t="shared" si="42"/>
        <v>155150</v>
      </c>
      <c r="AC199" s="109">
        <f t="shared" si="45"/>
        <v>13963.5</v>
      </c>
      <c r="AD199" s="109">
        <f t="shared" si="46"/>
        <v>3723.6</v>
      </c>
      <c r="AE199" s="109">
        <f t="shared" si="43"/>
        <v>32399.599999999999</v>
      </c>
      <c r="AF199" s="73">
        <f t="shared" si="44"/>
        <v>215.99733333333333</v>
      </c>
    </row>
    <row r="200" spans="1:32" x14ac:dyDescent="0.25">
      <c r="A200" s="102">
        <v>381</v>
      </c>
      <c r="B200" s="68" t="str">
        <f t="shared" si="32"/>
        <v>1.92, NT Plant &amp; Pre-Rigid  4R-30</v>
      </c>
      <c r="C200" s="103">
        <v>1.92</v>
      </c>
      <c r="D200" s="68" t="s">
        <v>151</v>
      </c>
      <c r="E200" s="68" t="s">
        <v>267</v>
      </c>
      <c r="F200" s="68" t="s">
        <v>172</v>
      </c>
      <c r="G200" s="68" t="str">
        <f t="shared" si="33"/>
        <v>NT Plant &amp; Pre-Rigid  4R-30</v>
      </c>
      <c r="H200" s="85">
        <v>43200</v>
      </c>
      <c r="I200" s="221">
        <v>10</v>
      </c>
      <c r="J200" s="221">
        <v>6</v>
      </c>
      <c r="K200" s="221">
        <v>65</v>
      </c>
      <c r="L200" s="86">
        <f t="shared" si="34"/>
        <v>0.21153846153846154</v>
      </c>
      <c r="M200" s="221">
        <v>45</v>
      </c>
      <c r="N200" s="221">
        <v>45</v>
      </c>
      <c r="O200" s="221">
        <v>8</v>
      </c>
      <c r="P200" s="221">
        <v>150</v>
      </c>
      <c r="Q200" s="221">
        <v>0</v>
      </c>
      <c r="R200" s="104">
        <f t="shared" si="35"/>
        <v>1200</v>
      </c>
      <c r="S200" s="104">
        <v>1</v>
      </c>
      <c r="T200" s="104">
        <v>0.27</v>
      </c>
      <c r="U200" s="104">
        <v>1.4</v>
      </c>
      <c r="V200" s="219">
        <f t="shared" si="36"/>
        <v>819.17232881128427</v>
      </c>
      <c r="W200" s="106">
        <f t="shared" si="37"/>
        <v>5.461148858741895</v>
      </c>
      <c r="X200" s="107">
        <f t="shared" si="38"/>
        <v>2430</v>
      </c>
      <c r="Y200" s="108">
        <f t="shared" si="39"/>
        <v>16.2</v>
      </c>
      <c r="Z200" s="88">
        <f t="shared" si="40"/>
        <v>19440</v>
      </c>
      <c r="AA200" s="88">
        <f t="shared" si="41"/>
        <v>2970</v>
      </c>
      <c r="AB200" s="88">
        <f t="shared" si="42"/>
        <v>31320</v>
      </c>
      <c r="AC200" s="109">
        <f t="shared" si="45"/>
        <v>2818.7999999999997</v>
      </c>
      <c r="AD200" s="109">
        <f t="shared" si="46"/>
        <v>751.68000000000006</v>
      </c>
      <c r="AE200" s="109">
        <f t="shared" si="43"/>
        <v>6540.48</v>
      </c>
      <c r="AF200" s="73">
        <f t="shared" si="44"/>
        <v>43.603199999999994</v>
      </c>
    </row>
    <row r="201" spans="1:32" x14ac:dyDescent="0.25">
      <c r="A201" s="102">
        <v>136</v>
      </c>
      <c r="B201" s="68" t="str">
        <f t="shared" ref="B201:B265" si="47">CONCATENATE(C201,D201,E201,F201)</f>
        <v>1.93, NT Plant &amp; Pre-Rigid  4R-36</v>
      </c>
      <c r="C201" s="103">
        <v>1.93</v>
      </c>
      <c r="D201" s="68" t="s">
        <v>151</v>
      </c>
      <c r="E201" s="68" t="s">
        <v>267</v>
      </c>
      <c r="F201" s="68" t="s">
        <v>153</v>
      </c>
      <c r="G201" s="68" t="str">
        <f t="shared" ref="G201:G265" si="48">CONCATENATE(E201,F201)</f>
        <v>NT Plant &amp; Pre-Rigid  4R-36</v>
      </c>
      <c r="H201" s="85">
        <v>38100</v>
      </c>
      <c r="I201" s="221">
        <v>12</v>
      </c>
      <c r="J201" s="221">
        <v>6</v>
      </c>
      <c r="K201" s="221">
        <v>65</v>
      </c>
      <c r="L201" s="86">
        <f t="shared" ref="L201:L265" si="49">1/((I201*J201*K201/100*5280)/43560)</f>
        <v>0.17628205128205129</v>
      </c>
      <c r="M201" s="221">
        <v>45</v>
      </c>
      <c r="N201" s="221">
        <v>45</v>
      </c>
      <c r="O201" s="221">
        <v>8</v>
      </c>
      <c r="P201" s="221">
        <v>150</v>
      </c>
      <c r="Q201" s="221">
        <v>0</v>
      </c>
      <c r="R201" s="104">
        <f t="shared" ref="R201:R265" si="50">P201*O201</f>
        <v>1200</v>
      </c>
      <c r="S201" s="104">
        <v>1</v>
      </c>
      <c r="T201" s="104">
        <v>0.27</v>
      </c>
      <c r="U201" s="104">
        <v>1.4</v>
      </c>
      <c r="V201" s="219">
        <f t="shared" ref="V201:V265" si="51">(T201*H201)*((S201*P201/1000)^U201)</f>
        <v>722.46448443772988</v>
      </c>
      <c r="W201" s="106">
        <f t="shared" ref="W201:W265" si="52">V201/P201</f>
        <v>4.8164298962515328</v>
      </c>
      <c r="X201" s="107">
        <f t="shared" ref="X201:X265" si="53">(H201*N201/100)/O201</f>
        <v>2143.125</v>
      </c>
      <c r="Y201" s="108">
        <f t="shared" ref="Y201:Y265" si="54">X201/P201</f>
        <v>14.2875</v>
      </c>
      <c r="Z201" s="88">
        <f t="shared" ref="Z201:Z265" si="55">H201*M201/100</f>
        <v>17145</v>
      </c>
      <c r="AA201" s="88">
        <f t="shared" ref="AA201:AA265" si="56">(H201-Z201)/O201</f>
        <v>2619.375</v>
      </c>
      <c r="AB201" s="88">
        <f t="shared" ref="AB201:AB265" si="57">(Z201+H201)/2</f>
        <v>27622.5</v>
      </c>
      <c r="AC201" s="109">
        <f t="shared" si="45"/>
        <v>2486.0250000000001</v>
      </c>
      <c r="AD201" s="109">
        <f t="shared" si="46"/>
        <v>662.94</v>
      </c>
      <c r="AE201" s="109">
        <f t="shared" ref="AE201:AE265" si="58">AA201+AC201+AD201</f>
        <v>5768.34</v>
      </c>
      <c r="AF201" s="73">
        <f t="shared" ref="AF201:AF265" si="59">AE201/P201</f>
        <v>38.455600000000004</v>
      </c>
    </row>
    <row r="202" spans="1:32" x14ac:dyDescent="0.25">
      <c r="A202" s="102">
        <v>533</v>
      </c>
      <c r="B202" s="68" t="str">
        <f t="shared" si="47"/>
        <v>1.94, NT Plant &amp; Pre-Rigid 11R-15</v>
      </c>
      <c r="C202" s="103">
        <v>1.94</v>
      </c>
      <c r="D202" s="68" t="s">
        <v>151</v>
      </c>
      <c r="E202" s="68" t="s">
        <v>267</v>
      </c>
      <c r="F202" s="68" t="s">
        <v>268</v>
      </c>
      <c r="G202" s="68" t="str">
        <f t="shared" si="48"/>
        <v>NT Plant &amp; Pre-Rigid 11R-15</v>
      </c>
      <c r="H202" s="85">
        <v>70800</v>
      </c>
      <c r="I202" s="221">
        <v>14.7</v>
      </c>
      <c r="J202" s="221">
        <v>6</v>
      </c>
      <c r="K202" s="221">
        <v>65</v>
      </c>
      <c r="L202" s="86">
        <f t="shared" si="49"/>
        <v>0.14390371533228677</v>
      </c>
      <c r="M202" s="221">
        <v>45</v>
      </c>
      <c r="N202" s="221">
        <v>45</v>
      </c>
      <c r="O202" s="221">
        <v>8</v>
      </c>
      <c r="P202" s="221">
        <v>150</v>
      </c>
      <c r="Q202" s="221">
        <v>0</v>
      </c>
      <c r="R202" s="104">
        <f t="shared" si="50"/>
        <v>1200</v>
      </c>
      <c r="S202" s="104">
        <v>1</v>
      </c>
      <c r="T202" s="104">
        <v>0.27</v>
      </c>
      <c r="U202" s="104">
        <v>1.4</v>
      </c>
      <c r="V202" s="219">
        <f t="shared" si="51"/>
        <v>1342.5324277740492</v>
      </c>
      <c r="W202" s="106">
        <f t="shared" si="52"/>
        <v>8.9502161851603272</v>
      </c>
      <c r="X202" s="107">
        <f t="shared" si="53"/>
        <v>3982.5</v>
      </c>
      <c r="Y202" s="108">
        <f t="shared" si="54"/>
        <v>26.55</v>
      </c>
      <c r="Z202" s="88">
        <f t="shared" si="55"/>
        <v>31860</v>
      </c>
      <c r="AA202" s="88">
        <f t="shared" si="56"/>
        <v>4867.5</v>
      </c>
      <c r="AB202" s="88">
        <f t="shared" si="57"/>
        <v>51330</v>
      </c>
      <c r="AC202" s="109">
        <f t="shared" si="45"/>
        <v>4619.7</v>
      </c>
      <c r="AD202" s="109">
        <f t="shared" si="46"/>
        <v>1231.92</v>
      </c>
      <c r="AE202" s="109">
        <f t="shared" si="58"/>
        <v>10719.12</v>
      </c>
      <c r="AF202" s="73">
        <f t="shared" si="59"/>
        <v>71.460800000000006</v>
      </c>
    </row>
    <row r="203" spans="1:32" x14ac:dyDescent="0.25">
      <c r="A203" s="102">
        <v>137</v>
      </c>
      <c r="B203" s="68" t="str">
        <f t="shared" si="47"/>
        <v>1.95, NT Plant &amp; Pre-Rigid  6R-30</v>
      </c>
      <c r="C203" s="103">
        <v>1.95</v>
      </c>
      <c r="D203" s="68" t="s">
        <v>151</v>
      </c>
      <c r="E203" s="68" t="s">
        <v>267</v>
      </c>
      <c r="F203" s="68" t="s">
        <v>213</v>
      </c>
      <c r="G203" s="68" t="str">
        <f t="shared" si="48"/>
        <v>NT Plant &amp; Pre-Rigid  6R-30</v>
      </c>
      <c r="H203" s="85">
        <v>52300</v>
      </c>
      <c r="I203" s="221">
        <v>15</v>
      </c>
      <c r="J203" s="221">
        <v>6</v>
      </c>
      <c r="K203" s="221">
        <v>65</v>
      </c>
      <c r="L203" s="86">
        <f t="shared" si="49"/>
        <v>0.14102564102564102</v>
      </c>
      <c r="M203" s="221">
        <v>45</v>
      </c>
      <c r="N203" s="221">
        <v>45</v>
      </c>
      <c r="O203" s="221">
        <v>8</v>
      </c>
      <c r="P203" s="221">
        <v>150</v>
      </c>
      <c r="Q203" s="221">
        <v>0</v>
      </c>
      <c r="R203" s="104">
        <f t="shared" si="50"/>
        <v>1200</v>
      </c>
      <c r="S203" s="104">
        <v>1</v>
      </c>
      <c r="T203" s="104">
        <v>0.27</v>
      </c>
      <c r="U203" s="104">
        <v>1.4</v>
      </c>
      <c r="V203" s="219">
        <f t="shared" si="51"/>
        <v>991.72946288958724</v>
      </c>
      <c r="W203" s="106">
        <f t="shared" si="52"/>
        <v>6.6115297525972485</v>
      </c>
      <c r="X203" s="107">
        <f t="shared" si="53"/>
        <v>2941.875</v>
      </c>
      <c r="Y203" s="108">
        <f t="shared" si="54"/>
        <v>19.612500000000001</v>
      </c>
      <c r="Z203" s="88">
        <f t="shared" si="55"/>
        <v>23535</v>
      </c>
      <c r="AA203" s="88">
        <f t="shared" si="56"/>
        <v>3595.625</v>
      </c>
      <c r="AB203" s="88">
        <f t="shared" si="57"/>
        <v>37917.5</v>
      </c>
      <c r="AC203" s="109">
        <f t="shared" si="45"/>
        <v>3412.5749999999998</v>
      </c>
      <c r="AD203" s="109">
        <f t="shared" si="46"/>
        <v>910.02</v>
      </c>
      <c r="AE203" s="109">
        <f t="shared" si="58"/>
        <v>7918.2199999999993</v>
      </c>
      <c r="AF203" s="73">
        <f t="shared" si="59"/>
        <v>52.788133333333327</v>
      </c>
    </row>
    <row r="204" spans="1:32" x14ac:dyDescent="0.25">
      <c r="A204" s="102">
        <v>138</v>
      </c>
      <c r="B204" s="68" t="str">
        <f t="shared" si="47"/>
        <v>1.96, NT Plant &amp; Pre-Rigid  6R-36</v>
      </c>
      <c r="C204" s="103">
        <v>1.96</v>
      </c>
      <c r="D204" s="68" t="s">
        <v>151</v>
      </c>
      <c r="E204" s="68" t="s">
        <v>267</v>
      </c>
      <c r="F204" s="68" t="s">
        <v>154</v>
      </c>
      <c r="G204" s="68" t="str">
        <f t="shared" si="48"/>
        <v>NT Plant &amp; Pre-Rigid  6R-36</v>
      </c>
      <c r="H204" s="85">
        <v>47900</v>
      </c>
      <c r="I204" s="221">
        <v>18</v>
      </c>
      <c r="J204" s="221">
        <v>6</v>
      </c>
      <c r="K204" s="221">
        <v>65</v>
      </c>
      <c r="L204" s="86">
        <f t="shared" si="49"/>
        <v>0.11752136752136751</v>
      </c>
      <c r="M204" s="221">
        <v>45</v>
      </c>
      <c r="N204" s="221">
        <v>45</v>
      </c>
      <c r="O204" s="221">
        <v>8</v>
      </c>
      <c r="P204" s="221">
        <v>150</v>
      </c>
      <c r="Q204" s="221">
        <v>0</v>
      </c>
      <c r="R204" s="104">
        <f t="shared" si="50"/>
        <v>1200</v>
      </c>
      <c r="S204" s="104">
        <v>1</v>
      </c>
      <c r="T204" s="104">
        <v>0.27</v>
      </c>
      <c r="U204" s="104">
        <v>1.4</v>
      </c>
      <c r="V204" s="219">
        <f t="shared" si="51"/>
        <v>908.29524421436372</v>
      </c>
      <c r="W204" s="106">
        <f t="shared" si="52"/>
        <v>6.0553016280957586</v>
      </c>
      <c r="X204" s="107">
        <f t="shared" si="53"/>
        <v>2694.375</v>
      </c>
      <c r="Y204" s="108">
        <f t="shared" si="54"/>
        <v>17.962499999999999</v>
      </c>
      <c r="Z204" s="88">
        <f t="shared" si="55"/>
        <v>21555</v>
      </c>
      <c r="AA204" s="88">
        <f t="shared" si="56"/>
        <v>3293.125</v>
      </c>
      <c r="AB204" s="88">
        <f t="shared" si="57"/>
        <v>34727.5</v>
      </c>
      <c r="AC204" s="109">
        <f t="shared" si="45"/>
        <v>3125.4749999999999</v>
      </c>
      <c r="AD204" s="109">
        <f t="shared" si="46"/>
        <v>833.46</v>
      </c>
      <c r="AE204" s="109">
        <f t="shared" si="58"/>
        <v>7252.06</v>
      </c>
      <c r="AF204" s="73">
        <f t="shared" si="59"/>
        <v>48.34706666666667</v>
      </c>
    </row>
    <row r="205" spans="1:32" x14ac:dyDescent="0.25">
      <c r="A205" s="102">
        <v>537</v>
      </c>
      <c r="B205" s="68" t="str">
        <f t="shared" si="47"/>
        <v>1.97, NT Plant &amp; Pre-Rigid 11R-20</v>
      </c>
      <c r="C205" s="103">
        <v>1.97</v>
      </c>
      <c r="D205" s="68" t="s">
        <v>151</v>
      </c>
      <c r="E205" s="68" t="s">
        <v>267</v>
      </c>
      <c r="F205" s="68" t="s">
        <v>269</v>
      </c>
      <c r="G205" s="68" t="str">
        <f t="shared" si="48"/>
        <v>NT Plant &amp; Pre-Rigid 11R-20</v>
      </c>
      <c r="H205" s="85">
        <v>75500</v>
      </c>
      <c r="I205" s="221">
        <v>18.3</v>
      </c>
      <c r="J205" s="221">
        <v>6</v>
      </c>
      <c r="K205" s="221">
        <v>65</v>
      </c>
      <c r="L205" s="86">
        <f t="shared" si="49"/>
        <v>0.11559478772593525</v>
      </c>
      <c r="M205" s="221">
        <v>45</v>
      </c>
      <c r="N205" s="221">
        <v>45</v>
      </c>
      <c r="O205" s="221">
        <v>8</v>
      </c>
      <c r="P205" s="221">
        <v>150</v>
      </c>
      <c r="Q205" s="221">
        <v>0</v>
      </c>
      <c r="R205" s="104">
        <f t="shared" si="50"/>
        <v>1200</v>
      </c>
      <c r="S205" s="104">
        <v>1</v>
      </c>
      <c r="T205" s="104">
        <v>0.27</v>
      </c>
      <c r="U205" s="104">
        <v>1.4</v>
      </c>
      <c r="V205" s="219">
        <f t="shared" si="51"/>
        <v>1431.6553431771288</v>
      </c>
      <c r="W205" s="106">
        <f t="shared" si="52"/>
        <v>9.5443689545141925</v>
      </c>
      <c r="X205" s="107">
        <f t="shared" si="53"/>
        <v>4246.875</v>
      </c>
      <c r="Y205" s="108">
        <f t="shared" si="54"/>
        <v>28.3125</v>
      </c>
      <c r="Z205" s="88">
        <f t="shared" si="55"/>
        <v>33975</v>
      </c>
      <c r="AA205" s="88">
        <f t="shared" si="56"/>
        <v>5190.625</v>
      </c>
      <c r="AB205" s="88">
        <f t="shared" si="57"/>
        <v>54737.5</v>
      </c>
      <c r="AC205" s="109">
        <f t="shared" si="45"/>
        <v>4926.375</v>
      </c>
      <c r="AD205" s="109">
        <f t="shared" si="46"/>
        <v>1313.7</v>
      </c>
      <c r="AE205" s="109">
        <f t="shared" si="58"/>
        <v>11430.7</v>
      </c>
      <c r="AF205" s="73">
        <f t="shared" si="59"/>
        <v>76.204666666666668</v>
      </c>
    </row>
    <row r="206" spans="1:32" x14ac:dyDescent="0.25">
      <c r="A206" s="102">
        <v>598</v>
      </c>
      <c r="B206" s="68" t="str">
        <f t="shared" si="47"/>
        <v>1.98, NT Plant &amp; Pre-Rigid 15R-15</v>
      </c>
      <c r="C206" s="103">
        <v>1.98</v>
      </c>
      <c r="D206" s="68" t="s">
        <v>151</v>
      </c>
      <c r="E206" s="68" t="s">
        <v>267</v>
      </c>
      <c r="F206" s="68" t="s">
        <v>270</v>
      </c>
      <c r="G206" s="68" t="str">
        <f t="shared" si="48"/>
        <v>NT Plant &amp; Pre-Rigid 15R-15</v>
      </c>
      <c r="H206" s="85">
        <v>98900</v>
      </c>
      <c r="I206" s="221">
        <v>18.7</v>
      </c>
      <c r="J206" s="221">
        <v>6</v>
      </c>
      <c r="K206" s="221">
        <v>65</v>
      </c>
      <c r="L206" s="86">
        <f t="shared" si="49"/>
        <v>0.11312217194570136</v>
      </c>
      <c r="M206" s="221">
        <v>45</v>
      </c>
      <c r="N206" s="221">
        <v>45</v>
      </c>
      <c r="O206" s="221">
        <v>8</v>
      </c>
      <c r="P206" s="221">
        <v>150</v>
      </c>
      <c r="Q206" s="221">
        <v>0</v>
      </c>
      <c r="R206" s="104">
        <f t="shared" si="50"/>
        <v>1200</v>
      </c>
      <c r="S206" s="104">
        <v>1</v>
      </c>
      <c r="T206" s="104">
        <v>0.27</v>
      </c>
      <c r="U206" s="104">
        <v>1.4</v>
      </c>
      <c r="V206" s="219">
        <f t="shared" si="51"/>
        <v>1875.3736879499077</v>
      </c>
      <c r="W206" s="106">
        <f t="shared" si="52"/>
        <v>12.502491252999384</v>
      </c>
      <c r="X206" s="107">
        <f t="shared" si="53"/>
        <v>5563.125</v>
      </c>
      <c r="Y206" s="108">
        <f t="shared" si="54"/>
        <v>37.087499999999999</v>
      </c>
      <c r="Z206" s="88">
        <f t="shared" si="55"/>
        <v>44505</v>
      </c>
      <c r="AA206" s="88">
        <f t="shared" si="56"/>
        <v>6799.375</v>
      </c>
      <c r="AB206" s="88">
        <f t="shared" si="57"/>
        <v>71702.5</v>
      </c>
      <c r="AC206" s="109">
        <f t="shared" si="45"/>
        <v>6453.2249999999995</v>
      </c>
      <c r="AD206" s="109">
        <f t="shared" si="46"/>
        <v>1720.8600000000001</v>
      </c>
      <c r="AE206" s="109">
        <f t="shared" si="58"/>
        <v>14973.46</v>
      </c>
      <c r="AF206" s="73">
        <f t="shared" si="59"/>
        <v>99.823066666666662</v>
      </c>
    </row>
    <row r="207" spans="1:32" x14ac:dyDescent="0.25">
      <c r="A207" s="102">
        <v>139</v>
      </c>
      <c r="B207" s="68" t="str">
        <f t="shared" si="47"/>
        <v>1.99, NT Plant &amp; Pre-Rigid  8R-30</v>
      </c>
      <c r="C207" s="103">
        <v>1.99</v>
      </c>
      <c r="D207" s="68" t="s">
        <v>151</v>
      </c>
      <c r="E207" s="68" t="s">
        <v>267</v>
      </c>
      <c r="F207" s="68" t="s">
        <v>155</v>
      </c>
      <c r="G207" s="68" t="str">
        <f t="shared" si="48"/>
        <v>NT Plant &amp; Pre-Rigid  8R-30</v>
      </c>
      <c r="H207" s="85">
        <v>67600</v>
      </c>
      <c r="I207" s="221">
        <v>20</v>
      </c>
      <c r="J207" s="221">
        <v>6</v>
      </c>
      <c r="K207" s="221">
        <v>65</v>
      </c>
      <c r="L207" s="86">
        <f t="shared" si="49"/>
        <v>0.10576923076923077</v>
      </c>
      <c r="M207" s="221">
        <v>45</v>
      </c>
      <c r="N207" s="221">
        <v>45</v>
      </c>
      <c r="O207" s="221">
        <v>8</v>
      </c>
      <c r="P207" s="221">
        <v>150</v>
      </c>
      <c r="Q207" s="221">
        <v>0</v>
      </c>
      <c r="R207" s="104">
        <f t="shared" si="50"/>
        <v>1200</v>
      </c>
      <c r="S207" s="104">
        <v>1</v>
      </c>
      <c r="T207" s="104">
        <v>0.27</v>
      </c>
      <c r="U207" s="104">
        <v>1.4</v>
      </c>
      <c r="V207" s="219">
        <f t="shared" si="51"/>
        <v>1281.8529960102503</v>
      </c>
      <c r="W207" s="106">
        <f t="shared" si="52"/>
        <v>8.545686640068336</v>
      </c>
      <c r="X207" s="107">
        <f t="shared" si="53"/>
        <v>3802.5</v>
      </c>
      <c r="Y207" s="108">
        <f t="shared" si="54"/>
        <v>25.35</v>
      </c>
      <c r="Z207" s="88">
        <f t="shared" si="55"/>
        <v>30420</v>
      </c>
      <c r="AA207" s="88">
        <f t="shared" si="56"/>
        <v>4647.5</v>
      </c>
      <c r="AB207" s="88">
        <f t="shared" si="57"/>
        <v>49010</v>
      </c>
      <c r="AC207" s="109">
        <f t="shared" si="45"/>
        <v>4410.8999999999996</v>
      </c>
      <c r="AD207" s="109">
        <f t="shared" si="46"/>
        <v>1176.24</v>
      </c>
      <c r="AE207" s="109">
        <f t="shared" si="58"/>
        <v>10234.64</v>
      </c>
      <c r="AF207" s="73">
        <f t="shared" si="59"/>
        <v>68.230933333333326</v>
      </c>
    </row>
    <row r="208" spans="1:32" x14ac:dyDescent="0.25">
      <c r="A208" s="102">
        <v>384</v>
      </c>
      <c r="B208" s="68" t="str">
        <f t="shared" si="47"/>
        <v>2, NT Plant &amp; Pre-Rigid 12R-20</v>
      </c>
      <c r="C208" s="103">
        <v>2</v>
      </c>
      <c r="D208" s="68" t="s">
        <v>151</v>
      </c>
      <c r="E208" s="68" t="s">
        <v>267</v>
      </c>
      <c r="F208" s="68" t="s">
        <v>259</v>
      </c>
      <c r="G208" s="68" t="str">
        <f t="shared" si="48"/>
        <v>NT Plant &amp; Pre-Rigid 12R-20</v>
      </c>
      <c r="H208" s="85">
        <v>80500</v>
      </c>
      <c r="I208" s="221">
        <v>20</v>
      </c>
      <c r="J208" s="221">
        <v>6</v>
      </c>
      <c r="K208" s="221">
        <v>65</v>
      </c>
      <c r="L208" s="86">
        <f t="shared" si="49"/>
        <v>0.10576923076923077</v>
      </c>
      <c r="M208" s="221">
        <v>45</v>
      </c>
      <c r="N208" s="221">
        <v>45</v>
      </c>
      <c r="O208" s="221">
        <v>8</v>
      </c>
      <c r="P208" s="221">
        <v>150</v>
      </c>
      <c r="Q208" s="221">
        <v>0</v>
      </c>
      <c r="R208" s="104">
        <f t="shared" si="50"/>
        <v>1200</v>
      </c>
      <c r="S208" s="104">
        <v>1</v>
      </c>
      <c r="T208" s="104">
        <v>0.27</v>
      </c>
      <c r="U208" s="104">
        <v>1.4</v>
      </c>
      <c r="V208" s="219">
        <f t="shared" si="51"/>
        <v>1526.4669553080644</v>
      </c>
      <c r="W208" s="106">
        <f t="shared" si="52"/>
        <v>10.176446368720429</v>
      </c>
      <c r="X208" s="107">
        <f t="shared" si="53"/>
        <v>4528.125</v>
      </c>
      <c r="Y208" s="108">
        <f t="shared" si="54"/>
        <v>30.1875</v>
      </c>
      <c r="Z208" s="88">
        <f t="shared" si="55"/>
        <v>36225</v>
      </c>
      <c r="AA208" s="88">
        <f t="shared" si="56"/>
        <v>5534.375</v>
      </c>
      <c r="AB208" s="88">
        <f t="shared" si="57"/>
        <v>58362.5</v>
      </c>
      <c r="AC208" s="109">
        <f t="shared" si="45"/>
        <v>5252.625</v>
      </c>
      <c r="AD208" s="109">
        <f t="shared" si="46"/>
        <v>1400.7</v>
      </c>
      <c r="AE208" s="109">
        <f t="shared" si="58"/>
        <v>12187.7</v>
      </c>
      <c r="AF208" s="73">
        <f t="shared" si="59"/>
        <v>81.251333333333335</v>
      </c>
    </row>
    <row r="209" spans="1:32" x14ac:dyDescent="0.25">
      <c r="A209" s="102">
        <v>631</v>
      </c>
      <c r="B209" s="68" t="str">
        <f t="shared" si="47"/>
        <v>2.01, NT Plant &amp; Pre-Rigid 13R-18/20</v>
      </c>
      <c r="C209" s="103">
        <v>2.0099999999999998</v>
      </c>
      <c r="D209" s="68" t="s">
        <v>151</v>
      </c>
      <c r="E209" s="68" t="s">
        <v>267</v>
      </c>
      <c r="F209" s="68" t="s">
        <v>271</v>
      </c>
      <c r="G209" s="68" t="str">
        <f t="shared" si="48"/>
        <v>NT Plant &amp; Pre-Rigid 13R-18/20</v>
      </c>
      <c r="H209" s="85">
        <v>67000</v>
      </c>
      <c r="I209" s="221">
        <v>21.7</v>
      </c>
      <c r="J209" s="221">
        <v>6</v>
      </c>
      <c r="K209" s="221">
        <v>65</v>
      </c>
      <c r="L209" s="86">
        <f t="shared" si="49"/>
        <v>9.7483161999291038E-2</v>
      </c>
      <c r="M209" s="221">
        <v>45</v>
      </c>
      <c r="N209" s="221">
        <v>45</v>
      </c>
      <c r="O209" s="221">
        <v>8</v>
      </c>
      <c r="P209" s="221">
        <v>150</v>
      </c>
      <c r="Q209" s="221">
        <v>0</v>
      </c>
      <c r="R209" s="104">
        <f t="shared" si="50"/>
        <v>1200</v>
      </c>
      <c r="S209" s="104">
        <v>1</v>
      </c>
      <c r="T209" s="104">
        <v>0.27</v>
      </c>
      <c r="U209" s="104">
        <v>1.4</v>
      </c>
      <c r="V209" s="219">
        <f t="shared" si="51"/>
        <v>1270.475602554538</v>
      </c>
      <c r="W209" s="106">
        <f t="shared" si="52"/>
        <v>8.4698373503635871</v>
      </c>
      <c r="X209" s="107">
        <f t="shared" si="53"/>
        <v>3768.75</v>
      </c>
      <c r="Y209" s="108">
        <f t="shared" si="54"/>
        <v>25.125</v>
      </c>
      <c r="Z209" s="88">
        <f t="shared" si="55"/>
        <v>30150</v>
      </c>
      <c r="AA209" s="88">
        <f t="shared" si="56"/>
        <v>4606.25</v>
      </c>
      <c r="AB209" s="88">
        <f t="shared" si="57"/>
        <v>48575</v>
      </c>
      <c r="AC209" s="109">
        <f t="shared" si="45"/>
        <v>4371.75</v>
      </c>
      <c r="AD209" s="109">
        <f t="shared" si="46"/>
        <v>1165.8</v>
      </c>
      <c r="AE209" s="109">
        <f t="shared" si="58"/>
        <v>10143.799999999999</v>
      </c>
      <c r="AF209" s="73">
        <f t="shared" si="59"/>
        <v>67.62533333333333</v>
      </c>
    </row>
    <row r="210" spans="1:32" x14ac:dyDescent="0.25">
      <c r="A210" s="102">
        <v>140</v>
      </c>
      <c r="B210" s="68" t="str">
        <f t="shared" si="47"/>
        <v>2.02, NT Plant &amp; Pre-Rigid  8R-36</v>
      </c>
      <c r="C210" s="103">
        <v>2.02</v>
      </c>
      <c r="D210" s="68" t="s">
        <v>151</v>
      </c>
      <c r="E210" s="68" t="s">
        <v>267</v>
      </c>
      <c r="F210" s="68" t="s">
        <v>160</v>
      </c>
      <c r="G210" s="68" t="str">
        <f t="shared" si="48"/>
        <v>NT Plant &amp; Pre-Rigid  8R-36</v>
      </c>
      <c r="H210" s="85">
        <v>64100</v>
      </c>
      <c r="I210" s="221">
        <v>24</v>
      </c>
      <c r="J210" s="221">
        <v>6</v>
      </c>
      <c r="K210" s="221">
        <v>65</v>
      </c>
      <c r="L210" s="86">
        <f t="shared" si="49"/>
        <v>8.8141025641025647E-2</v>
      </c>
      <c r="M210" s="221">
        <v>45</v>
      </c>
      <c r="N210" s="221">
        <v>45</v>
      </c>
      <c r="O210" s="221">
        <v>8</v>
      </c>
      <c r="P210" s="221">
        <v>150</v>
      </c>
      <c r="Q210" s="221">
        <v>0</v>
      </c>
      <c r="R210" s="104">
        <f t="shared" si="50"/>
        <v>1200</v>
      </c>
      <c r="S210" s="104">
        <v>1</v>
      </c>
      <c r="T210" s="104">
        <v>0.27</v>
      </c>
      <c r="U210" s="104">
        <v>1.4</v>
      </c>
      <c r="V210" s="219">
        <f t="shared" si="51"/>
        <v>1215.4848675185954</v>
      </c>
      <c r="W210" s="106">
        <f t="shared" si="52"/>
        <v>8.1032324501239685</v>
      </c>
      <c r="X210" s="107">
        <f t="shared" si="53"/>
        <v>3605.625</v>
      </c>
      <c r="Y210" s="108">
        <f t="shared" si="54"/>
        <v>24.037500000000001</v>
      </c>
      <c r="Z210" s="88">
        <f t="shared" si="55"/>
        <v>28845</v>
      </c>
      <c r="AA210" s="88">
        <f t="shared" si="56"/>
        <v>4406.875</v>
      </c>
      <c r="AB210" s="88">
        <f t="shared" si="57"/>
        <v>46472.5</v>
      </c>
      <c r="AC210" s="109">
        <f t="shared" si="45"/>
        <v>4182.5249999999996</v>
      </c>
      <c r="AD210" s="109">
        <f t="shared" si="46"/>
        <v>1115.3399999999999</v>
      </c>
      <c r="AE210" s="109">
        <f t="shared" si="58"/>
        <v>9704.74</v>
      </c>
      <c r="AF210" s="73">
        <f t="shared" si="59"/>
        <v>64.698266666666669</v>
      </c>
    </row>
    <row r="211" spans="1:32" x14ac:dyDescent="0.25">
      <c r="A211" s="102">
        <v>141</v>
      </c>
      <c r="B211" s="68" t="str">
        <f t="shared" si="47"/>
        <v>2.03, NT Plant &amp; Pre-Rigid 10R-30</v>
      </c>
      <c r="C211" s="103">
        <v>2.0299999999999998</v>
      </c>
      <c r="D211" s="68" t="s">
        <v>151</v>
      </c>
      <c r="E211" s="68" t="s">
        <v>267</v>
      </c>
      <c r="F211" s="68" t="s">
        <v>170</v>
      </c>
      <c r="G211" s="68" t="str">
        <f t="shared" si="48"/>
        <v>NT Plant &amp; Pre-Rigid 10R-30</v>
      </c>
      <c r="H211" s="85">
        <v>55000</v>
      </c>
      <c r="I211" s="221">
        <v>25</v>
      </c>
      <c r="J211" s="221">
        <v>6</v>
      </c>
      <c r="K211" s="221">
        <v>65</v>
      </c>
      <c r="L211" s="86">
        <f t="shared" si="49"/>
        <v>8.461538461538462E-2</v>
      </c>
      <c r="M211" s="221">
        <v>45</v>
      </c>
      <c r="N211" s="221">
        <v>45</v>
      </c>
      <c r="O211" s="221">
        <v>8</v>
      </c>
      <c r="P211" s="221">
        <v>150</v>
      </c>
      <c r="Q211" s="221">
        <v>0</v>
      </c>
      <c r="R211" s="104">
        <f t="shared" si="50"/>
        <v>1200</v>
      </c>
      <c r="S211" s="104">
        <v>1</v>
      </c>
      <c r="T211" s="104">
        <v>0.27</v>
      </c>
      <c r="U211" s="104">
        <v>1.4</v>
      </c>
      <c r="V211" s="219">
        <f t="shared" si="51"/>
        <v>1042.9277334402925</v>
      </c>
      <c r="W211" s="106">
        <f t="shared" si="52"/>
        <v>6.9528515562686168</v>
      </c>
      <c r="X211" s="107">
        <f t="shared" si="53"/>
        <v>3093.75</v>
      </c>
      <c r="Y211" s="108">
        <f t="shared" si="54"/>
        <v>20.625</v>
      </c>
      <c r="Z211" s="88">
        <f t="shared" si="55"/>
        <v>24750</v>
      </c>
      <c r="AA211" s="88">
        <f t="shared" si="56"/>
        <v>3781.25</v>
      </c>
      <c r="AB211" s="88">
        <f t="shared" si="57"/>
        <v>39875</v>
      </c>
      <c r="AC211" s="109">
        <f t="shared" si="45"/>
        <v>3588.75</v>
      </c>
      <c r="AD211" s="109">
        <f t="shared" si="46"/>
        <v>957</v>
      </c>
      <c r="AE211" s="109">
        <f t="shared" si="58"/>
        <v>8327</v>
      </c>
      <c r="AF211" s="73">
        <f t="shared" si="59"/>
        <v>55.513333333333335</v>
      </c>
    </row>
    <row r="212" spans="1:32" x14ac:dyDescent="0.25">
      <c r="A212" s="102">
        <v>385</v>
      </c>
      <c r="B212" s="68" t="str">
        <f t="shared" si="47"/>
        <v>2.04, NT Plant &amp; Pre-Rigid 12R-30</v>
      </c>
      <c r="C212" s="103">
        <v>2.04</v>
      </c>
      <c r="D212" s="68" t="s">
        <v>151</v>
      </c>
      <c r="E212" s="68" t="s">
        <v>267</v>
      </c>
      <c r="F212" s="68" t="s">
        <v>156</v>
      </c>
      <c r="G212" s="68" t="str">
        <f t="shared" si="48"/>
        <v>NT Plant &amp; Pre-Rigid 12R-30</v>
      </c>
      <c r="H212" s="85">
        <v>100400</v>
      </c>
      <c r="I212" s="221">
        <v>30</v>
      </c>
      <c r="J212" s="221">
        <v>6</v>
      </c>
      <c r="K212" s="221">
        <v>65</v>
      </c>
      <c r="L212" s="86">
        <f t="shared" si="49"/>
        <v>7.0512820512820512E-2</v>
      </c>
      <c r="M212" s="221">
        <v>45</v>
      </c>
      <c r="N212" s="221">
        <v>45</v>
      </c>
      <c r="O212" s="221">
        <v>8</v>
      </c>
      <c r="P212" s="221">
        <v>150</v>
      </c>
      <c r="Q212" s="221">
        <v>0</v>
      </c>
      <c r="R212" s="104">
        <f t="shared" si="50"/>
        <v>1200</v>
      </c>
      <c r="S212" s="104">
        <v>1</v>
      </c>
      <c r="T212" s="104">
        <v>0.27</v>
      </c>
      <c r="U212" s="104">
        <v>1.4</v>
      </c>
      <c r="V212" s="219">
        <f t="shared" si="51"/>
        <v>1903.8171715891883</v>
      </c>
      <c r="W212" s="106">
        <f t="shared" si="52"/>
        <v>12.692114477261255</v>
      </c>
      <c r="X212" s="107">
        <f t="shared" si="53"/>
        <v>5647.5</v>
      </c>
      <c r="Y212" s="108">
        <f t="shared" si="54"/>
        <v>37.65</v>
      </c>
      <c r="Z212" s="88">
        <f t="shared" si="55"/>
        <v>45180</v>
      </c>
      <c r="AA212" s="88">
        <f t="shared" si="56"/>
        <v>6902.5</v>
      </c>
      <c r="AB212" s="88">
        <f t="shared" si="57"/>
        <v>72790</v>
      </c>
      <c r="AC212" s="109">
        <f t="shared" si="45"/>
        <v>6551.0999999999995</v>
      </c>
      <c r="AD212" s="109">
        <f t="shared" si="46"/>
        <v>1746.96</v>
      </c>
      <c r="AE212" s="109">
        <f t="shared" si="58"/>
        <v>15200.559999999998</v>
      </c>
      <c r="AF212" s="73">
        <f t="shared" si="59"/>
        <v>101.33706666666666</v>
      </c>
    </row>
    <row r="213" spans="1:32" x14ac:dyDescent="0.25">
      <c r="A213" s="102">
        <v>632</v>
      </c>
      <c r="B213" s="68" t="str">
        <f t="shared" si="47"/>
        <v>2.05, NT Plant &amp; Pre-Twin Row 8R-36</v>
      </c>
      <c r="C213" s="103">
        <v>2.0499999999999998</v>
      </c>
      <c r="D213" s="68" t="s">
        <v>151</v>
      </c>
      <c r="E213" s="68" t="s">
        <v>272</v>
      </c>
      <c r="F213" s="68" t="s">
        <v>166</v>
      </c>
      <c r="G213" s="68" t="str">
        <f t="shared" si="48"/>
        <v>NT Plant &amp; Pre-Twin Row 8R-36</v>
      </c>
      <c r="H213" s="85">
        <v>135300</v>
      </c>
      <c r="I213" s="221">
        <v>24</v>
      </c>
      <c r="J213" s="221">
        <v>6</v>
      </c>
      <c r="K213" s="221">
        <v>65</v>
      </c>
      <c r="L213" s="86">
        <f t="shared" si="49"/>
        <v>8.8141025641025647E-2</v>
      </c>
      <c r="M213" s="221">
        <v>45</v>
      </c>
      <c r="N213" s="221">
        <v>45</v>
      </c>
      <c r="O213" s="221">
        <v>8</v>
      </c>
      <c r="P213" s="221">
        <v>150</v>
      </c>
      <c r="Q213" s="221">
        <v>0</v>
      </c>
      <c r="R213" s="104">
        <f t="shared" si="50"/>
        <v>1200</v>
      </c>
      <c r="S213" s="104">
        <v>1</v>
      </c>
      <c r="T213" s="104">
        <v>0.27</v>
      </c>
      <c r="U213" s="104">
        <v>1.4</v>
      </c>
      <c r="V213" s="219">
        <f t="shared" si="51"/>
        <v>2565.6022242631193</v>
      </c>
      <c r="W213" s="106">
        <f t="shared" si="52"/>
        <v>17.104014828420794</v>
      </c>
      <c r="X213" s="107">
        <f t="shared" si="53"/>
        <v>7610.625</v>
      </c>
      <c r="Y213" s="108">
        <f t="shared" si="54"/>
        <v>50.737499999999997</v>
      </c>
      <c r="Z213" s="88">
        <f t="shared" si="55"/>
        <v>60885</v>
      </c>
      <c r="AA213" s="88">
        <f t="shared" si="56"/>
        <v>9301.875</v>
      </c>
      <c r="AB213" s="88">
        <f t="shared" si="57"/>
        <v>98092.5</v>
      </c>
      <c r="AC213" s="109">
        <f t="shared" si="45"/>
        <v>8828.3249999999989</v>
      </c>
      <c r="AD213" s="109">
        <f t="shared" si="46"/>
        <v>2354.2200000000003</v>
      </c>
      <c r="AE213" s="109">
        <f t="shared" si="58"/>
        <v>20484.419999999998</v>
      </c>
      <c r="AF213" s="73">
        <f t="shared" si="59"/>
        <v>136.56279999999998</v>
      </c>
    </row>
    <row r="214" spans="1:32" x14ac:dyDescent="0.25">
      <c r="A214" s="102">
        <v>628</v>
      </c>
      <c r="B214" s="68" t="str">
        <f t="shared" si="47"/>
        <v>2.06, NT Plant &amp; Pre-Twin Row 12R-36</v>
      </c>
      <c r="C214" s="103">
        <v>2.06</v>
      </c>
      <c r="D214" s="68" t="s">
        <v>151</v>
      </c>
      <c r="E214" s="68" t="s">
        <v>272</v>
      </c>
      <c r="F214" s="68" t="s">
        <v>158</v>
      </c>
      <c r="G214" s="68" t="str">
        <f t="shared" si="48"/>
        <v>NT Plant &amp; Pre-Twin Row 12R-36</v>
      </c>
      <c r="H214" s="85">
        <v>173000</v>
      </c>
      <c r="I214" s="221">
        <v>36</v>
      </c>
      <c r="J214" s="221">
        <v>6</v>
      </c>
      <c r="K214" s="221">
        <v>65</v>
      </c>
      <c r="L214" s="86">
        <f t="shared" si="49"/>
        <v>5.8760683760683753E-2</v>
      </c>
      <c r="M214" s="221">
        <v>45</v>
      </c>
      <c r="N214" s="221">
        <v>45</v>
      </c>
      <c r="O214" s="221">
        <v>8</v>
      </c>
      <c r="P214" s="221">
        <v>150</v>
      </c>
      <c r="Q214" s="221">
        <v>0</v>
      </c>
      <c r="R214" s="104">
        <f t="shared" si="50"/>
        <v>1200</v>
      </c>
      <c r="S214" s="104">
        <v>1</v>
      </c>
      <c r="T214" s="104">
        <v>0.27</v>
      </c>
      <c r="U214" s="104">
        <v>1.4</v>
      </c>
      <c r="V214" s="219">
        <f t="shared" si="51"/>
        <v>3280.4817797303745</v>
      </c>
      <c r="W214" s="106">
        <f t="shared" si="52"/>
        <v>21.869878531535829</v>
      </c>
      <c r="X214" s="107">
        <f t="shared" si="53"/>
        <v>9731.25</v>
      </c>
      <c r="Y214" s="108">
        <f t="shared" si="54"/>
        <v>64.875</v>
      </c>
      <c r="Z214" s="88">
        <f t="shared" si="55"/>
        <v>77850</v>
      </c>
      <c r="AA214" s="88">
        <f t="shared" si="56"/>
        <v>11893.75</v>
      </c>
      <c r="AB214" s="88">
        <f t="shared" si="57"/>
        <v>125425</v>
      </c>
      <c r="AC214" s="109">
        <f t="shared" si="45"/>
        <v>11288.25</v>
      </c>
      <c r="AD214" s="109">
        <f t="shared" si="46"/>
        <v>3010.2000000000003</v>
      </c>
      <c r="AE214" s="109">
        <f t="shared" si="58"/>
        <v>26192.2</v>
      </c>
      <c r="AF214" s="73">
        <f t="shared" si="59"/>
        <v>174.61466666666666</v>
      </c>
    </row>
    <row r="215" spans="1:32" x14ac:dyDescent="0.25">
      <c r="A215" s="102">
        <v>374</v>
      </c>
      <c r="B215" s="68" t="str">
        <f t="shared" si="47"/>
        <v>2.07, NT Plant-Folding 12R-20</v>
      </c>
      <c r="C215" s="103">
        <v>2.0699999999999998</v>
      </c>
      <c r="D215" s="68" t="s">
        <v>151</v>
      </c>
      <c r="E215" s="68" t="s">
        <v>273</v>
      </c>
      <c r="F215" s="68" t="s">
        <v>259</v>
      </c>
      <c r="G215" s="68" t="str">
        <f t="shared" si="48"/>
        <v>NT Plant-Folding 12R-20</v>
      </c>
      <c r="H215" s="85">
        <v>77500</v>
      </c>
      <c r="I215" s="221">
        <v>20</v>
      </c>
      <c r="J215" s="221">
        <v>6</v>
      </c>
      <c r="K215" s="221">
        <v>70</v>
      </c>
      <c r="L215" s="86">
        <f t="shared" si="49"/>
        <v>9.8214285714285712E-2</v>
      </c>
      <c r="M215" s="221">
        <v>45</v>
      </c>
      <c r="N215" s="221">
        <v>45</v>
      </c>
      <c r="O215" s="221">
        <v>8</v>
      </c>
      <c r="P215" s="221">
        <v>150</v>
      </c>
      <c r="Q215" s="221">
        <v>0</v>
      </c>
      <c r="R215" s="104">
        <f t="shared" si="50"/>
        <v>1200</v>
      </c>
      <c r="S215" s="104">
        <v>1</v>
      </c>
      <c r="T215" s="104">
        <v>0.27</v>
      </c>
      <c r="U215" s="104">
        <v>1.4</v>
      </c>
      <c r="V215" s="219">
        <f t="shared" si="51"/>
        <v>1469.5799880295031</v>
      </c>
      <c r="W215" s="106">
        <f t="shared" si="52"/>
        <v>9.7971999201966877</v>
      </c>
      <c r="X215" s="107">
        <f t="shared" si="53"/>
        <v>4359.375</v>
      </c>
      <c r="Y215" s="108">
        <f t="shared" si="54"/>
        <v>29.0625</v>
      </c>
      <c r="Z215" s="88">
        <f t="shared" si="55"/>
        <v>34875</v>
      </c>
      <c r="AA215" s="88">
        <f t="shared" si="56"/>
        <v>5328.125</v>
      </c>
      <c r="AB215" s="88">
        <f t="shared" si="57"/>
        <v>56187.5</v>
      </c>
      <c r="AC215" s="109">
        <f t="shared" si="45"/>
        <v>5056.875</v>
      </c>
      <c r="AD215" s="109">
        <f t="shared" si="46"/>
        <v>1348.5</v>
      </c>
      <c r="AE215" s="109">
        <f t="shared" si="58"/>
        <v>11733.5</v>
      </c>
      <c r="AF215" s="73">
        <f t="shared" si="59"/>
        <v>78.223333333333329</v>
      </c>
    </row>
    <row r="216" spans="1:32" x14ac:dyDescent="0.25">
      <c r="A216" s="102">
        <v>370</v>
      </c>
      <c r="B216" s="68" t="str">
        <f t="shared" si="47"/>
        <v>2.08, NT Plant-Folding  8R-36</v>
      </c>
      <c r="C216" s="103">
        <v>2.08</v>
      </c>
      <c r="D216" s="68" t="s">
        <v>151</v>
      </c>
      <c r="E216" s="68" t="s">
        <v>273</v>
      </c>
      <c r="F216" s="68" t="s">
        <v>160</v>
      </c>
      <c r="G216" s="68" t="str">
        <f t="shared" si="48"/>
        <v>NT Plant-Folding  8R-36</v>
      </c>
      <c r="H216" s="85">
        <v>80900</v>
      </c>
      <c r="I216" s="221">
        <v>24</v>
      </c>
      <c r="J216" s="221">
        <v>6</v>
      </c>
      <c r="K216" s="221">
        <v>70</v>
      </c>
      <c r="L216" s="86">
        <f t="shared" si="49"/>
        <v>8.1845238095238096E-2</v>
      </c>
      <c r="M216" s="221">
        <v>45</v>
      </c>
      <c r="N216" s="221">
        <v>45</v>
      </c>
      <c r="O216" s="221">
        <v>8</v>
      </c>
      <c r="P216" s="221">
        <v>150</v>
      </c>
      <c r="Q216" s="221">
        <v>0</v>
      </c>
      <c r="R216" s="104">
        <f t="shared" si="50"/>
        <v>1200</v>
      </c>
      <c r="S216" s="104">
        <v>1</v>
      </c>
      <c r="T216" s="104">
        <v>0.27</v>
      </c>
      <c r="U216" s="104">
        <v>1.4</v>
      </c>
      <c r="V216" s="219">
        <f t="shared" si="51"/>
        <v>1534.0518842785393</v>
      </c>
      <c r="W216" s="106">
        <f t="shared" si="52"/>
        <v>10.227012561856929</v>
      </c>
      <c r="X216" s="107">
        <f t="shared" si="53"/>
        <v>4550.625</v>
      </c>
      <c r="Y216" s="108">
        <f t="shared" si="54"/>
        <v>30.337499999999999</v>
      </c>
      <c r="Z216" s="88">
        <f t="shared" si="55"/>
        <v>36405</v>
      </c>
      <c r="AA216" s="88">
        <f t="shared" si="56"/>
        <v>5561.875</v>
      </c>
      <c r="AB216" s="88">
        <f t="shared" si="57"/>
        <v>58652.5</v>
      </c>
      <c r="AC216" s="109">
        <f t="shared" si="45"/>
        <v>5278.7249999999995</v>
      </c>
      <c r="AD216" s="109">
        <f t="shared" si="46"/>
        <v>1407.66</v>
      </c>
      <c r="AE216" s="109">
        <f t="shared" si="58"/>
        <v>12248.259999999998</v>
      </c>
      <c r="AF216" s="73">
        <f t="shared" si="59"/>
        <v>81.655066666666656</v>
      </c>
    </row>
    <row r="217" spans="1:32" x14ac:dyDescent="0.25">
      <c r="A217" s="102">
        <v>378</v>
      </c>
      <c r="B217" s="68" t="str">
        <f t="shared" si="47"/>
        <v>2.09, NT Plant-Folding 23R-15</v>
      </c>
      <c r="C217" s="103">
        <v>2.09</v>
      </c>
      <c r="D217" s="68" t="s">
        <v>151</v>
      </c>
      <c r="E217" s="68" t="s">
        <v>273</v>
      </c>
      <c r="F217" s="68" t="s">
        <v>260</v>
      </c>
      <c r="G217" s="68" t="str">
        <f t="shared" si="48"/>
        <v>NT Plant-Folding 23R-15</v>
      </c>
      <c r="H217" s="85">
        <v>207000</v>
      </c>
      <c r="I217" s="221">
        <v>28.8</v>
      </c>
      <c r="J217" s="221">
        <v>6</v>
      </c>
      <c r="K217" s="221">
        <v>70</v>
      </c>
      <c r="L217" s="86">
        <f t="shared" si="49"/>
        <v>6.8204365079365087E-2</v>
      </c>
      <c r="M217" s="221">
        <v>45</v>
      </c>
      <c r="N217" s="221">
        <v>45</v>
      </c>
      <c r="O217" s="221">
        <v>8</v>
      </c>
      <c r="P217" s="221">
        <v>150</v>
      </c>
      <c r="Q217" s="221">
        <v>0</v>
      </c>
      <c r="R217" s="104">
        <f t="shared" si="50"/>
        <v>1200</v>
      </c>
      <c r="S217" s="104">
        <v>1</v>
      </c>
      <c r="T217" s="104">
        <v>0.27</v>
      </c>
      <c r="U217" s="104">
        <v>1.4</v>
      </c>
      <c r="V217" s="219">
        <f t="shared" si="51"/>
        <v>3925.2007422207375</v>
      </c>
      <c r="W217" s="106">
        <f t="shared" si="52"/>
        <v>26.16800494813825</v>
      </c>
      <c r="X217" s="107">
        <f t="shared" si="53"/>
        <v>11643.75</v>
      </c>
      <c r="Y217" s="108">
        <f t="shared" si="54"/>
        <v>77.625</v>
      </c>
      <c r="Z217" s="88">
        <f t="shared" si="55"/>
        <v>93150</v>
      </c>
      <c r="AA217" s="88">
        <f t="shared" si="56"/>
        <v>14231.25</v>
      </c>
      <c r="AB217" s="88">
        <f t="shared" si="57"/>
        <v>150075</v>
      </c>
      <c r="AC217" s="109">
        <f t="shared" si="45"/>
        <v>13506.75</v>
      </c>
      <c r="AD217" s="109">
        <f t="shared" si="46"/>
        <v>3601.8</v>
      </c>
      <c r="AE217" s="109">
        <f t="shared" si="58"/>
        <v>31339.8</v>
      </c>
      <c r="AF217" s="73">
        <f t="shared" si="59"/>
        <v>208.93199999999999</v>
      </c>
    </row>
    <row r="218" spans="1:32" x14ac:dyDescent="0.25">
      <c r="A218" s="102">
        <v>375</v>
      </c>
      <c r="B218" s="68" t="str">
        <f t="shared" si="47"/>
        <v>2.1, NT Plant-Folding 12R-30</v>
      </c>
      <c r="C218" s="103">
        <v>2.1</v>
      </c>
      <c r="D218" s="68" t="s">
        <v>151</v>
      </c>
      <c r="E218" s="68" t="s">
        <v>273</v>
      </c>
      <c r="F218" s="68" t="s">
        <v>156</v>
      </c>
      <c r="G218" s="68" t="str">
        <f t="shared" si="48"/>
        <v>NT Plant-Folding 12R-30</v>
      </c>
      <c r="H218" s="85">
        <v>99800</v>
      </c>
      <c r="I218" s="221">
        <v>30</v>
      </c>
      <c r="J218" s="221">
        <v>6</v>
      </c>
      <c r="K218" s="221">
        <v>70</v>
      </c>
      <c r="L218" s="86">
        <f t="shared" si="49"/>
        <v>6.5476190476190479E-2</v>
      </c>
      <c r="M218" s="221">
        <v>45</v>
      </c>
      <c r="N218" s="221">
        <v>45</v>
      </c>
      <c r="O218" s="221">
        <v>8</v>
      </c>
      <c r="P218" s="221">
        <v>150</v>
      </c>
      <c r="Q218" s="221">
        <v>0</v>
      </c>
      <c r="R218" s="104">
        <f t="shared" si="50"/>
        <v>1200</v>
      </c>
      <c r="S218" s="104">
        <v>1</v>
      </c>
      <c r="T218" s="104">
        <v>0.27</v>
      </c>
      <c r="U218" s="104">
        <v>1.4</v>
      </c>
      <c r="V218" s="219">
        <f t="shared" si="51"/>
        <v>1892.439778133476</v>
      </c>
      <c r="W218" s="106">
        <f t="shared" si="52"/>
        <v>12.616265187556507</v>
      </c>
      <c r="X218" s="107">
        <f t="shared" si="53"/>
        <v>5613.75</v>
      </c>
      <c r="Y218" s="108">
        <f t="shared" si="54"/>
        <v>37.424999999999997</v>
      </c>
      <c r="Z218" s="88">
        <f t="shared" si="55"/>
        <v>44910</v>
      </c>
      <c r="AA218" s="88">
        <f t="shared" si="56"/>
        <v>6861.25</v>
      </c>
      <c r="AB218" s="88">
        <f t="shared" si="57"/>
        <v>72355</v>
      </c>
      <c r="AC218" s="109">
        <f t="shared" si="45"/>
        <v>6511.95</v>
      </c>
      <c r="AD218" s="109">
        <f t="shared" si="46"/>
        <v>1736.52</v>
      </c>
      <c r="AE218" s="109">
        <f t="shared" si="58"/>
        <v>15109.720000000001</v>
      </c>
      <c r="AF218" s="73">
        <f t="shared" si="59"/>
        <v>100.73146666666668</v>
      </c>
    </row>
    <row r="219" spans="1:32" x14ac:dyDescent="0.25">
      <c r="A219" s="102">
        <v>548</v>
      </c>
      <c r="B219" s="68" t="str">
        <f t="shared" si="47"/>
        <v>2.11, NT Plant-Folding 24R-15</v>
      </c>
      <c r="C219" s="103">
        <v>2.11</v>
      </c>
      <c r="D219" s="68" t="s">
        <v>151</v>
      </c>
      <c r="E219" s="68" t="s">
        <v>273</v>
      </c>
      <c r="F219" s="68" t="s">
        <v>261</v>
      </c>
      <c r="G219" s="68" t="str">
        <f t="shared" si="48"/>
        <v>NT Plant-Folding 24R-15</v>
      </c>
      <c r="H219" s="85">
        <v>146000</v>
      </c>
      <c r="I219" s="221">
        <v>30</v>
      </c>
      <c r="J219" s="221">
        <v>6</v>
      </c>
      <c r="K219" s="221">
        <v>70</v>
      </c>
      <c r="L219" s="86">
        <f t="shared" si="49"/>
        <v>6.5476190476190479E-2</v>
      </c>
      <c r="M219" s="221">
        <v>45</v>
      </c>
      <c r="N219" s="221">
        <v>45</v>
      </c>
      <c r="O219" s="221">
        <v>8</v>
      </c>
      <c r="P219" s="221">
        <v>150</v>
      </c>
      <c r="Q219" s="221">
        <v>0</v>
      </c>
      <c r="R219" s="104">
        <f t="shared" si="50"/>
        <v>1200</v>
      </c>
      <c r="S219" s="104">
        <v>1</v>
      </c>
      <c r="T219" s="104">
        <v>0.27</v>
      </c>
      <c r="U219" s="104">
        <v>1.4</v>
      </c>
      <c r="V219" s="219">
        <f t="shared" si="51"/>
        <v>2768.4990742233217</v>
      </c>
      <c r="W219" s="106">
        <f t="shared" si="52"/>
        <v>18.456660494822145</v>
      </c>
      <c r="X219" s="107">
        <f t="shared" si="53"/>
        <v>8212.5</v>
      </c>
      <c r="Y219" s="108">
        <f t="shared" si="54"/>
        <v>54.75</v>
      </c>
      <c r="Z219" s="88">
        <f t="shared" si="55"/>
        <v>65700</v>
      </c>
      <c r="AA219" s="88">
        <f t="shared" si="56"/>
        <v>10037.5</v>
      </c>
      <c r="AB219" s="88">
        <f t="shared" si="57"/>
        <v>105850</v>
      </c>
      <c r="AC219" s="109">
        <f t="shared" si="45"/>
        <v>9526.5</v>
      </c>
      <c r="AD219" s="109">
        <f t="shared" si="46"/>
        <v>2540.4</v>
      </c>
      <c r="AE219" s="109">
        <f t="shared" si="58"/>
        <v>22104.400000000001</v>
      </c>
      <c r="AF219" s="73">
        <f t="shared" si="59"/>
        <v>147.36266666666668</v>
      </c>
    </row>
    <row r="220" spans="1:32" x14ac:dyDescent="0.25">
      <c r="A220" s="102">
        <v>371</v>
      </c>
      <c r="B220" s="68" t="str">
        <f t="shared" si="47"/>
        <v>2.12, NT Plant-Folding  8R-36 2x1</v>
      </c>
      <c r="C220" s="103">
        <v>2.12</v>
      </c>
      <c r="D220" s="68" t="s">
        <v>151</v>
      </c>
      <c r="E220" s="68" t="s">
        <v>273</v>
      </c>
      <c r="F220" s="68" t="s">
        <v>157</v>
      </c>
      <c r="G220" s="68" t="str">
        <f t="shared" si="48"/>
        <v>NT Plant-Folding  8R-36 2x1</v>
      </c>
      <c r="H220" s="85">
        <v>113000</v>
      </c>
      <c r="I220" s="221">
        <v>36</v>
      </c>
      <c r="J220" s="221">
        <v>6</v>
      </c>
      <c r="K220" s="221">
        <v>70</v>
      </c>
      <c r="L220" s="86">
        <f t="shared" si="49"/>
        <v>5.4563492063492071E-2</v>
      </c>
      <c r="M220" s="221">
        <v>45</v>
      </c>
      <c r="N220" s="221">
        <v>45</v>
      </c>
      <c r="O220" s="221">
        <v>8</v>
      </c>
      <c r="P220" s="221">
        <v>150</v>
      </c>
      <c r="Q220" s="221">
        <v>0</v>
      </c>
      <c r="R220" s="104">
        <f t="shared" si="50"/>
        <v>1200</v>
      </c>
      <c r="S220" s="104">
        <v>1</v>
      </c>
      <c r="T220" s="104">
        <v>0.27</v>
      </c>
      <c r="U220" s="104">
        <v>1.4</v>
      </c>
      <c r="V220" s="219">
        <f t="shared" si="51"/>
        <v>2142.7424341591463</v>
      </c>
      <c r="W220" s="106">
        <f t="shared" si="52"/>
        <v>14.284949561060976</v>
      </c>
      <c r="X220" s="107">
        <f t="shared" si="53"/>
        <v>6356.25</v>
      </c>
      <c r="Y220" s="108">
        <f t="shared" si="54"/>
        <v>42.375</v>
      </c>
      <c r="Z220" s="88">
        <f t="shared" si="55"/>
        <v>50850</v>
      </c>
      <c r="AA220" s="88">
        <f t="shared" si="56"/>
        <v>7768.75</v>
      </c>
      <c r="AB220" s="88">
        <f t="shared" si="57"/>
        <v>81925</v>
      </c>
      <c r="AC220" s="109">
        <f t="shared" si="45"/>
        <v>7373.25</v>
      </c>
      <c r="AD220" s="109">
        <f t="shared" si="46"/>
        <v>1966.2</v>
      </c>
      <c r="AE220" s="109">
        <f t="shared" si="58"/>
        <v>17108.2</v>
      </c>
      <c r="AF220" s="73">
        <f t="shared" si="59"/>
        <v>114.05466666666668</v>
      </c>
    </row>
    <row r="221" spans="1:32" x14ac:dyDescent="0.25">
      <c r="A221" s="102">
        <v>255</v>
      </c>
      <c r="B221" s="68" t="str">
        <f t="shared" si="47"/>
        <v>2.13, NT Plant-Folding 12R-36</v>
      </c>
      <c r="C221" s="103">
        <v>2.13</v>
      </c>
      <c r="D221" s="68" t="s">
        <v>151</v>
      </c>
      <c r="E221" s="68" t="s">
        <v>273</v>
      </c>
      <c r="F221" s="68" t="s">
        <v>158</v>
      </c>
      <c r="G221" s="68" t="str">
        <f t="shared" si="48"/>
        <v>NT Plant-Folding 12R-36</v>
      </c>
      <c r="H221" s="85">
        <v>113000</v>
      </c>
      <c r="I221" s="221">
        <v>36</v>
      </c>
      <c r="J221" s="221">
        <v>6</v>
      </c>
      <c r="K221" s="221">
        <v>70</v>
      </c>
      <c r="L221" s="86">
        <f t="shared" si="49"/>
        <v>5.4563492063492071E-2</v>
      </c>
      <c r="M221" s="221">
        <v>45</v>
      </c>
      <c r="N221" s="221">
        <v>45</v>
      </c>
      <c r="O221" s="221">
        <v>8</v>
      </c>
      <c r="P221" s="221">
        <v>150</v>
      </c>
      <c r="Q221" s="221">
        <v>0</v>
      </c>
      <c r="R221" s="104">
        <f t="shared" si="50"/>
        <v>1200</v>
      </c>
      <c r="S221" s="104">
        <v>1</v>
      </c>
      <c r="T221" s="104">
        <v>0.27</v>
      </c>
      <c r="U221" s="104">
        <v>1.4</v>
      </c>
      <c r="V221" s="219">
        <f t="shared" si="51"/>
        <v>2142.7424341591463</v>
      </c>
      <c r="W221" s="106">
        <f t="shared" si="52"/>
        <v>14.284949561060976</v>
      </c>
      <c r="X221" s="107">
        <f t="shared" si="53"/>
        <v>6356.25</v>
      </c>
      <c r="Y221" s="108">
        <f t="shared" si="54"/>
        <v>42.375</v>
      </c>
      <c r="Z221" s="88">
        <f t="shared" si="55"/>
        <v>50850</v>
      </c>
      <c r="AA221" s="88">
        <f t="shared" si="56"/>
        <v>7768.75</v>
      </c>
      <c r="AB221" s="88">
        <f t="shared" si="57"/>
        <v>81925</v>
      </c>
      <c r="AC221" s="109">
        <f t="shared" si="45"/>
        <v>7373.25</v>
      </c>
      <c r="AD221" s="109">
        <f t="shared" si="46"/>
        <v>1966.2</v>
      </c>
      <c r="AE221" s="109">
        <f t="shared" si="58"/>
        <v>17108.2</v>
      </c>
      <c r="AF221" s="73">
        <f t="shared" si="59"/>
        <v>114.05466666666668</v>
      </c>
    </row>
    <row r="222" spans="1:32" x14ac:dyDescent="0.25">
      <c r="A222" s="102">
        <v>552</v>
      </c>
      <c r="B222" s="68" t="str">
        <f t="shared" si="47"/>
        <v>2.14, NT Plant-Folding 31R-15</v>
      </c>
      <c r="C222" s="103">
        <v>2.14</v>
      </c>
      <c r="D222" s="68" t="s">
        <v>151</v>
      </c>
      <c r="E222" s="68" t="s">
        <v>273</v>
      </c>
      <c r="F222" s="68" t="s">
        <v>262</v>
      </c>
      <c r="G222" s="68" t="str">
        <f t="shared" si="48"/>
        <v>NT Plant-Folding 31R-15</v>
      </c>
      <c r="H222" s="85">
        <v>256000</v>
      </c>
      <c r="I222" s="221">
        <v>38.700000000000003</v>
      </c>
      <c r="J222" s="221">
        <v>6</v>
      </c>
      <c r="K222" s="221">
        <v>70</v>
      </c>
      <c r="L222" s="86">
        <f t="shared" si="49"/>
        <v>5.075673680324843E-2</v>
      </c>
      <c r="M222" s="221">
        <v>45</v>
      </c>
      <c r="N222" s="221">
        <v>45</v>
      </c>
      <c r="O222" s="221">
        <v>8</v>
      </c>
      <c r="P222" s="221">
        <v>150</v>
      </c>
      <c r="Q222" s="221">
        <v>0</v>
      </c>
      <c r="R222" s="104">
        <f t="shared" si="50"/>
        <v>1200</v>
      </c>
      <c r="S222" s="104">
        <v>1</v>
      </c>
      <c r="T222" s="104">
        <v>0.27</v>
      </c>
      <c r="U222" s="104">
        <v>1.4</v>
      </c>
      <c r="V222" s="219">
        <f t="shared" si="51"/>
        <v>4854.3545411039067</v>
      </c>
      <c r="W222" s="106">
        <f t="shared" si="52"/>
        <v>32.362363607359377</v>
      </c>
      <c r="X222" s="107">
        <f t="shared" si="53"/>
        <v>14400</v>
      </c>
      <c r="Y222" s="108">
        <f t="shared" si="54"/>
        <v>96</v>
      </c>
      <c r="Z222" s="88">
        <f t="shared" si="55"/>
        <v>115200</v>
      </c>
      <c r="AA222" s="88">
        <f t="shared" si="56"/>
        <v>17600</v>
      </c>
      <c r="AB222" s="88">
        <f t="shared" si="57"/>
        <v>185600</v>
      </c>
      <c r="AC222" s="109">
        <f t="shared" si="45"/>
        <v>16704</v>
      </c>
      <c r="AD222" s="109">
        <f t="shared" si="46"/>
        <v>4454.4000000000005</v>
      </c>
      <c r="AE222" s="109">
        <f t="shared" si="58"/>
        <v>38758.400000000001</v>
      </c>
      <c r="AF222" s="73">
        <f t="shared" si="59"/>
        <v>258.38933333333335</v>
      </c>
    </row>
    <row r="223" spans="1:32" x14ac:dyDescent="0.25">
      <c r="A223" s="102">
        <v>377</v>
      </c>
      <c r="B223" s="68" t="str">
        <f t="shared" si="47"/>
        <v>2.15, NT Plant-Folding 16R-30</v>
      </c>
      <c r="C223" s="103">
        <v>2.15</v>
      </c>
      <c r="D223" s="68" t="s">
        <v>151</v>
      </c>
      <c r="E223" s="68" t="s">
        <v>273</v>
      </c>
      <c r="F223" s="68" t="s">
        <v>167</v>
      </c>
      <c r="G223" s="68" t="str">
        <f t="shared" si="48"/>
        <v>NT Plant-Folding 16R-30</v>
      </c>
      <c r="H223" s="85">
        <v>206000</v>
      </c>
      <c r="I223" s="221">
        <v>40</v>
      </c>
      <c r="J223" s="221">
        <v>6</v>
      </c>
      <c r="K223" s="221">
        <v>70</v>
      </c>
      <c r="L223" s="86">
        <f t="shared" si="49"/>
        <v>4.9107142857142856E-2</v>
      </c>
      <c r="M223" s="221">
        <v>45</v>
      </c>
      <c r="N223" s="221">
        <v>45</v>
      </c>
      <c r="O223" s="221">
        <v>8</v>
      </c>
      <c r="P223" s="221">
        <v>150</v>
      </c>
      <c r="Q223" s="221">
        <v>0</v>
      </c>
      <c r="R223" s="104">
        <f t="shared" si="50"/>
        <v>1200</v>
      </c>
      <c r="S223" s="104">
        <v>1</v>
      </c>
      <c r="T223" s="104">
        <v>0.27</v>
      </c>
      <c r="U223" s="104">
        <v>1.4</v>
      </c>
      <c r="V223" s="219">
        <f t="shared" si="51"/>
        <v>3906.2384197945503</v>
      </c>
      <c r="W223" s="106">
        <f t="shared" si="52"/>
        <v>26.041589465297001</v>
      </c>
      <c r="X223" s="107">
        <f t="shared" si="53"/>
        <v>11587.5</v>
      </c>
      <c r="Y223" s="108">
        <f t="shared" si="54"/>
        <v>77.25</v>
      </c>
      <c r="Z223" s="88">
        <f t="shared" si="55"/>
        <v>92700</v>
      </c>
      <c r="AA223" s="88">
        <f t="shared" si="56"/>
        <v>14162.5</v>
      </c>
      <c r="AB223" s="88">
        <f t="shared" si="57"/>
        <v>149350</v>
      </c>
      <c r="AC223" s="109">
        <f t="shared" si="45"/>
        <v>13441.5</v>
      </c>
      <c r="AD223" s="109">
        <f t="shared" si="46"/>
        <v>3584.4</v>
      </c>
      <c r="AE223" s="109">
        <f t="shared" si="58"/>
        <v>31188.400000000001</v>
      </c>
      <c r="AF223" s="73">
        <f t="shared" si="59"/>
        <v>207.92266666666669</v>
      </c>
    </row>
    <row r="224" spans="1:32" x14ac:dyDescent="0.25">
      <c r="A224" s="102">
        <v>379</v>
      </c>
      <c r="B224" s="68" t="str">
        <f t="shared" si="47"/>
        <v>2.16, NT Plant-Folding 24R-20</v>
      </c>
      <c r="C224" s="103">
        <v>2.16</v>
      </c>
      <c r="D224" s="68" t="s">
        <v>151</v>
      </c>
      <c r="E224" s="68" t="s">
        <v>273</v>
      </c>
      <c r="F224" s="68" t="s">
        <v>263</v>
      </c>
      <c r="G224" s="68" t="str">
        <f t="shared" si="48"/>
        <v>NT Plant-Folding 24R-20</v>
      </c>
      <c r="H224" s="85">
        <v>258000</v>
      </c>
      <c r="I224" s="221">
        <v>40</v>
      </c>
      <c r="J224" s="221">
        <v>6</v>
      </c>
      <c r="K224" s="221">
        <v>70</v>
      </c>
      <c r="L224" s="86">
        <f t="shared" si="49"/>
        <v>4.9107142857142856E-2</v>
      </c>
      <c r="M224" s="221">
        <v>45</v>
      </c>
      <c r="N224" s="221">
        <v>45</v>
      </c>
      <c r="O224" s="221">
        <v>8</v>
      </c>
      <c r="P224" s="221">
        <v>150</v>
      </c>
      <c r="Q224" s="221">
        <v>0</v>
      </c>
      <c r="R224" s="104">
        <f t="shared" si="50"/>
        <v>1200</v>
      </c>
      <c r="S224" s="104">
        <v>1</v>
      </c>
      <c r="T224" s="104">
        <v>0.27</v>
      </c>
      <c r="U224" s="104">
        <v>1.4</v>
      </c>
      <c r="V224" s="219">
        <f t="shared" si="51"/>
        <v>4892.2791859562813</v>
      </c>
      <c r="W224" s="106">
        <f t="shared" si="52"/>
        <v>32.615194573041876</v>
      </c>
      <c r="X224" s="107">
        <f t="shared" si="53"/>
        <v>14512.5</v>
      </c>
      <c r="Y224" s="108">
        <f t="shared" si="54"/>
        <v>96.75</v>
      </c>
      <c r="Z224" s="88">
        <f t="shared" si="55"/>
        <v>116100</v>
      </c>
      <c r="AA224" s="88">
        <f t="shared" si="56"/>
        <v>17737.5</v>
      </c>
      <c r="AB224" s="88">
        <f t="shared" si="57"/>
        <v>187050</v>
      </c>
      <c r="AC224" s="109">
        <f t="shared" si="45"/>
        <v>16834.5</v>
      </c>
      <c r="AD224" s="109">
        <f t="shared" si="46"/>
        <v>4489.2</v>
      </c>
      <c r="AE224" s="109">
        <f t="shared" si="58"/>
        <v>39061.199999999997</v>
      </c>
      <c r="AF224" s="73">
        <f t="shared" si="59"/>
        <v>260.40799999999996</v>
      </c>
    </row>
    <row r="225" spans="1:32" x14ac:dyDescent="0.25">
      <c r="A225" s="102">
        <v>599</v>
      </c>
      <c r="B225" s="68" t="str">
        <f t="shared" si="47"/>
        <v>2.17, NT Plant-Folding 32R-15</v>
      </c>
      <c r="C225" s="103">
        <v>2.17</v>
      </c>
      <c r="D225" s="68" t="s">
        <v>151</v>
      </c>
      <c r="E225" s="68" t="s">
        <v>273</v>
      </c>
      <c r="F225" s="68" t="s">
        <v>264</v>
      </c>
      <c r="G225" s="68" t="str">
        <f t="shared" si="48"/>
        <v>NT Plant-Folding 32R-15</v>
      </c>
      <c r="H225" s="85">
        <v>261000</v>
      </c>
      <c r="I225" s="221">
        <v>40</v>
      </c>
      <c r="J225" s="221">
        <v>6</v>
      </c>
      <c r="K225" s="221">
        <v>70</v>
      </c>
      <c r="L225" s="86">
        <f t="shared" si="49"/>
        <v>4.9107142857142856E-2</v>
      </c>
      <c r="M225" s="221">
        <v>45</v>
      </c>
      <c r="N225" s="221">
        <v>45</v>
      </c>
      <c r="O225" s="221">
        <v>8</v>
      </c>
      <c r="P225" s="221">
        <v>150</v>
      </c>
      <c r="Q225" s="221">
        <v>0</v>
      </c>
      <c r="R225" s="104">
        <f t="shared" si="50"/>
        <v>1200</v>
      </c>
      <c r="S225" s="104">
        <v>1</v>
      </c>
      <c r="T225" s="104">
        <v>0.27</v>
      </c>
      <c r="U225" s="104">
        <v>1.4</v>
      </c>
      <c r="V225" s="219">
        <f t="shared" si="51"/>
        <v>4949.1661532348426</v>
      </c>
      <c r="W225" s="106">
        <f t="shared" si="52"/>
        <v>32.994441021565621</v>
      </c>
      <c r="X225" s="107">
        <f t="shared" si="53"/>
        <v>14681.25</v>
      </c>
      <c r="Y225" s="108">
        <f t="shared" si="54"/>
        <v>97.875</v>
      </c>
      <c r="Z225" s="88">
        <f t="shared" si="55"/>
        <v>117450</v>
      </c>
      <c r="AA225" s="88">
        <f t="shared" si="56"/>
        <v>17943.75</v>
      </c>
      <c r="AB225" s="88">
        <f t="shared" si="57"/>
        <v>189225</v>
      </c>
      <c r="AC225" s="109">
        <f t="shared" si="45"/>
        <v>17030.25</v>
      </c>
      <c r="AD225" s="109">
        <f t="shared" si="46"/>
        <v>4541.4000000000005</v>
      </c>
      <c r="AE225" s="109">
        <f t="shared" si="58"/>
        <v>39515.4</v>
      </c>
      <c r="AF225" s="73">
        <f t="shared" si="59"/>
        <v>263.43600000000004</v>
      </c>
    </row>
    <row r="226" spans="1:32" x14ac:dyDescent="0.25">
      <c r="A226" s="102">
        <v>380</v>
      </c>
      <c r="B226" s="68" t="str">
        <f t="shared" si="47"/>
        <v>2.18, NT Plant-Folding 24R-30</v>
      </c>
      <c r="C226" s="103">
        <v>2.1800000000000002</v>
      </c>
      <c r="D226" s="68" t="s">
        <v>151</v>
      </c>
      <c r="E226" s="68" t="s">
        <v>273</v>
      </c>
      <c r="F226" s="68" t="s">
        <v>265</v>
      </c>
      <c r="G226" s="68" t="str">
        <f t="shared" si="48"/>
        <v>NT Plant-Folding 24R-30</v>
      </c>
      <c r="H226" s="85">
        <v>208000</v>
      </c>
      <c r="I226" s="221">
        <v>60</v>
      </c>
      <c r="J226" s="221">
        <v>6</v>
      </c>
      <c r="K226" s="221">
        <v>70</v>
      </c>
      <c r="L226" s="86">
        <f t="shared" si="49"/>
        <v>3.273809523809524E-2</v>
      </c>
      <c r="M226" s="221">
        <v>45</v>
      </c>
      <c r="N226" s="221">
        <v>45</v>
      </c>
      <c r="O226" s="221">
        <v>8</v>
      </c>
      <c r="P226" s="221">
        <v>150</v>
      </c>
      <c r="Q226" s="221">
        <v>0</v>
      </c>
      <c r="R226" s="104">
        <f t="shared" si="50"/>
        <v>1200</v>
      </c>
      <c r="S226" s="104">
        <v>1</v>
      </c>
      <c r="T226" s="104">
        <v>0.27</v>
      </c>
      <c r="U226" s="104">
        <v>1.4</v>
      </c>
      <c r="V226" s="219">
        <f t="shared" si="51"/>
        <v>3944.1630646469248</v>
      </c>
      <c r="W226" s="106">
        <f t="shared" si="52"/>
        <v>26.2944204309795</v>
      </c>
      <c r="X226" s="107">
        <f t="shared" si="53"/>
        <v>11700</v>
      </c>
      <c r="Y226" s="108">
        <f t="shared" si="54"/>
        <v>78</v>
      </c>
      <c r="Z226" s="88">
        <f t="shared" si="55"/>
        <v>93600</v>
      </c>
      <c r="AA226" s="88">
        <f t="shared" si="56"/>
        <v>14300</v>
      </c>
      <c r="AB226" s="88">
        <f t="shared" si="57"/>
        <v>150800</v>
      </c>
      <c r="AC226" s="109">
        <f t="shared" si="45"/>
        <v>13572</v>
      </c>
      <c r="AD226" s="109">
        <f t="shared" si="46"/>
        <v>3619.2000000000003</v>
      </c>
      <c r="AE226" s="109">
        <f t="shared" si="58"/>
        <v>31491.200000000001</v>
      </c>
      <c r="AF226" s="73">
        <f t="shared" si="59"/>
        <v>209.94133333333335</v>
      </c>
    </row>
    <row r="227" spans="1:32" x14ac:dyDescent="0.25">
      <c r="A227" s="102">
        <v>637</v>
      </c>
      <c r="B227" s="68" t="str">
        <f t="shared" si="47"/>
        <v>2.19, NT Plant-Folding 36R-20</v>
      </c>
      <c r="C227" s="103">
        <v>2.19</v>
      </c>
      <c r="D227" s="68" t="s">
        <v>151</v>
      </c>
      <c r="E227" s="68" t="s">
        <v>273</v>
      </c>
      <c r="F227" s="68" t="s">
        <v>266</v>
      </c>
      <c r="G227" s="68" t="str">
        <f t="shared" si="48"/>
        <v>NT Plant-Folding 36R-20</v>
      </c>
      <c r="H227" s="85">
        <v>210000</v>
      </c>
      <c r="I227" s="221">
        <v>60</v>
      </c>
      <c r="J227" s="221">
        <v>6</v>
      </c>
      <c r="K227" s="221">
        <v>70</v>
      </c>
      <c r="L227" s="86">
        <f t="shared" si="49"/>
        <v>3.273809523809524E-2</v>
      </c>
      <c r="M227" s="221">
        <v>45</v>
      </c>
      <c r="N227" s="221">
        <v>45</v>
      </c>
      <c r="O227" s="221">
        <v>8</v>
      </c>
      <c r="P227" s="221">
        <v>150</v>
      </c>
      <c r="Q227" s="221">
        <v>0</v>
      </c>
      <c r="R227" s="104">
        <f t="shared" si="50"/>
        <v>1200</v>
      </c>
      <c r="S227" s="104">
        <v>1</v>
      </c>
      <c r="T227" s="104">
        <v>0.27</v>
      </c>
      <c r="U227" s="104">
        <v>1.4</v>
      </c>
      <c r="V227" s="219">
        <f t="shared" si="51"/>
        <v>3982.0877094992989</v>
      </c>
      <c r="W227" s="106">
        <f t="shared" si="52"/>
        <v>26.547251396661991</v>
      </c>
      <c r="X227" s="107">
        <f t="shared" si="53"/>
        <v>11812.5</v>
      </c>
      <c r="Y227" s="108">
        <f t="shared" si="54"/>
        <v>78.75</v>
      </c>
      <c r="Z227" s="88">
        <f t="shared" si="55"/>
        <v>94500</v>
      </c>
      <c r="AA227" s="88">
        <f t="shared" si="56"/>
        <v>14437.5</v>
      </c>
      <c r="AB227" s="88">
        <f t="shared" si="57"/>
        <v>152250</v>
      </c>
      <c r="AC227" s="109">
        <f t="shared" si="45"/>
        <v>13702.5</v>
      </c>
      <c r="AD227" s="109">
        <f t="shared" si="46"/>
        <v>3654</v>
      </c>
      <c r="AE227" s="109">
        <f t="shared" si="58"/>
        <v>31794</v>
      </c>
      <c r="AF227" s="73">
        <f t="shared" si="59"/>
        <v>211.96</v>
      </c>
    </row>
    <row r="228" spans="1:32" x14ac:dyDescent="0.25">
      <c r="A228" s="102">
        <v>365</v>
      </c>
      <c r="B228" s="68" t="str">
        <f t="shared" si="47"/>
        <v>2.2, NT Plant-Rigid  4R-30</v>
      </c>
      <c r="C228" s="103">
        <v>2.2000000000000002</v>
      </c>
      <c r="D228" s="68" t="s">
        <v>151</v>
      </c>
      <c r="E228" s="68" t="s">
        <v>274</v>
      </c>
      <c r="F228" s="68" t="s">
        <v>172</v>
      </c>
      <c r="G228" s="68" t="str">
        <f t="shared" si="48"/>
        <v>NT Plant-Rigid  4R-30</v>
      </c>
      <c r="H228" s="85">
        <v>37400</v>
      </c>
      <c r="I228" s="221">
        <v>10</v>
      </c>
      <c r="J228" s="221">
        <v>6</v>
      </c>
      <c r="K228" s="221">
        <v>70</v>
      </c>
      <c r="L228" s="86">
        <f t="shared" si="49"/>
        <v>0.19642857142857142</v>
      </c>
      <c r="M228" s="221">
        <v>45</v>
      </c>
      <c r="N228" s="221">
        <v>45</v>
      </c>
      <c r="O228" s="221">
        <v>8</v>
      </c>
      <c r="P228" s="221">
        <v>150</v>
      </c>
      <c r="Q228" s="221">
        <v>0</v>
      </c>
      <c r="R228" s="104">
        <f t="shared" si="50"/>
        <v>1200</v>
      </c>
      <c r="S228" s="104">
        <v>1</v>
      </c>
      <c r="T228" s="104">
        <v>0.27</v>
      </c>
      <c r="U228" s="104">
        <v>1.4</v>
      </c>
      <c r="V228" s="219">
        <f t="shared" si="51"/>
        <v>709.19085873939889</v>
      </c>
      <c r="W228" s="106">
        <f t="shared" si="52"/>
        <v>4.7279390582626597</v>
      </c>
      <c r="X228" s="107">
        <f t="shared" si="53"/>
        <v>2103.75</v>
      </c>
      <c r="Y228" s="108">
        <f t="shared" si="54"/>
        <v>14.025</v>
      </c>
      <c r="Z228" s="88">
        <f t="shared" si="55"/>
        <v>16830</v>
      </c>
      <c r="AA228" s="88">
        <f t="shared" si="56"/>
        <v>2571.25</v>
      </c>
      <c r="AB228" s="88">
        <f t="shared" si="57"/>
        <v>27115</v>
      </c>
      <c r="AC228" s="109">
        <f t="shared" si="45"/>
        <v>2440.35</v>
      </c>
      <c r="AD228" s="109">
        <f t="shared" si="46"/>
        <v>650.76</v>
      </c>
      <c r="AE228" s="109">
        <f t="shared" si="58"/>
        <v>5662.3600000000006</v>
      </c>
      <c r="AF228" s="73">
        <f t="shared" si="59"/>
        <v>37.749066666666671</v>
      </c>
    </row>
    <row r="229" spans="1:32" x14ac:dyDescent="0.25">
      <c r="A229" s="102">
        <v>130</v>
      </c>
      <c r="B229" s="68" t="str">
        <f t="shared" si="47"/>
        <v>2.21, NT Plant-Rigid  4R-36</v>
      </c>
      <c r="C229" s="103">
        <v>2.21</v>
      </c>
      <c r="D229" s="68" t="s">
        <v>151</v>
      </c>
      <c r="E229" s="68" t="s">
        <v>274</v>
      </c>
      <c r="F229" s="68" t="s">
        <v>153</v>
      </c>
      <c r="G229" s="68" t="str">
        <f t="shared" si="48"/>
        <v>NT Plant-Rigid  4R-36</v>
      </c>
      <c r="H229" s="85">
        <v>32300</v>
      </c>
      <c r="I229" s="221">
        <v>12</v>
      </c>
      <c r="J229" s="221">
        <v>6</v>
      </c>
      <c r="K229" s="221">
        <v>70</v>
      </c>
      <c r="L229" s="86">
        <f t="shared" si="49"/>
        <v>0.16369047619047619</v>
      </c>
      <c r="M229" s="221">
        <v>45</v>
      </c>
      <c r="N229" s="221">
        <v>45</v>
      </c>
      <c r="O229" s="221">
        <v>8</v>
      </c>
      <c r="P229" s="221">
        <v>150</v>
      </c>
      <c r="Q229" s="221">
        <v>0</v>
      </c>
      <c r="R229" s="104">
        <f t="shared" si="50"/>
        <v>1200</v>
      </c>
      <c r="S229" s="104">
        <v>1</v>
      </c>
      <c r="T229" s="104">
        <v>0.27</v>
      </c>
      <c r="U229" s="104">
        <v>1.4</v>
      </c>
      <c r="V229" s="219">
        <f t="shared" si="51"/>
        <v>612.4830143658445</v>
      </c>
      <c r="W229" s="106">
        <f t="shared" si="52"/>
        <v>4.0832200957722966</v>
      </c>
      <c r="X229" s="107">
        <f t="shared" si="53"/>
        <v>1816.875</v>
      </c>
      <c r="Y229" s="108">
        <f t="shared" si="54"/>
        <v>12.112500000000001</v>
      </c>
      <c r="Z229" s="88">
        <f t="shared" si="55"/>
        <v>14535</v>
      </c>
      <c r="AA229" s="88">
        <f t="shared" si="56"/>
        <v>2220.625</v>
      </c>
      <c r="AB229" s="88">
        <f t="shared" si="57"/>
        <v>23417.5</v>
      </c>
      <c r="AC229" s="109">
        <f t="shared" si="45"/>
        <v>2107.5749999999998</v>
      </c>
      <c r="AD229" s="109">
        <f t="shared" si="46"/>
        <v>562.02</v>
      </c>
      <c r="AE229" s="109">
        <f t="shared" si="58"/>
        <v>4890.2199999999993</v>
      </c>
      <c r="AF229" s="73">
        <f t="shared" si="59"/>
        <v>32.60146666666666</v>
      </c>
    </row>
    <row r="230" spans="1:32" x14ac:dyDescent="0.25">
      <c r="A230" s="102">
        <v>532</v>
      </c>
      <c r="B230" s="68" t="str">
        <f t="shared" si="47"/>
        <v>2.22, NT Plant-Rigid 11R-15</v>
      </c>
      <c r="C230" s="103">
        <v>2.2200000000000002</v>
      </c>
      <c r="D230" s="68" t="s">
        <v>151</v>
      </c>
      <c r="E230" s="68" t="s">
        <v>274</v>
      </c>
      <c r="F230" s="68" t="s">
        <v>268</v>
      </c>
      <c r="G230" s="68" t="str">
        <f t="shared" si="48"/>
        <v>NT Plant-Rigid 11R-15</v>
      </c>
      <c r="H230" s="85">
        <v>65000</v>
      </c>
      <c r="I230" s="221">
        <v>14.7</v>
      </c>
      <c r="J230" s="221">
        <v>6</v>
      </c>
      <c r="K230" s="221">
        <v>70</v>
      </c>
      <c r="L230" s="86">
        <f t="shared" si="49"/>
        <v>0.13362487852283772</v>
      </c>
      <c r="M230" s="221">
        <v>45</v>
      </c>
      <c r="N230" s="221">
        <v>45</v>
      </c>
      <c r="O230" s="221">
        <v>8</v>
      </c>
      <c r="P230" s="221">
        <v>150</v>
      </c>
      <c r="Q230" s="221">
        <v>0</v>
      </c>
      <c r="R230" s="104">
        <f t="shared" si="50"/>
        <v>1200</v>
      </c>
      <c r="S230" s="104">
        <v>1</v>
      </c>
      <c r="T230" s="104">
        <v>0.27</v>
      </c>
      <c r="U230" s="104">
        <v>1.4</v>
      </c>
      <c r="V230" s="219">
        <f t="shared" si="51"/>
        <v>1232.5509577021637</v>
      </c>
      <c r="W230" s="106">
        <f t="shared" si="52"/>
        <v>8.2170063846810919</v>
      </c>
      <c r="X230" s="107">
        <f t="shared" si="53"/>
        <v>3656.25</v>
      </c>
      <c r="Y230" s="108">
        <f t="shared" si="54"/>
        <v>24.375</v>
      </c>
      <c r="Z230" s="88">
        <f t="shared" si="55"/>
        <v>29250</v>
      </c>
      <c r="AA230" s="88">
        <f t="shared" si="56"/>
        <v>4468.75</v>
      </c>
      <c r="AB230" s="88">
        <f t="shared" si="57"/>
        <v>47125</v>
      </c>
      <c r="AC230" s="109">
        <f t="shared" si="45"/>
        <v>4241.25</v>
      </c>
      <c r="AD230" s="109">
        <f t="shared" si="46"/>
        <v>1131</v>
      </c>
      <c r="AE230" s="109">
        <f t="shared" si="58"/>
        <v>9841</v>
      </c>
      <c r="AF230" s="73">
        <f t="shared" si="59"/>
        <v>65.606666666666669</v>
      </c>
    </row>
    <row r="231" spans="1:32" x14ac:dyDescent="0.25">
      <c r="A231" s="102">
        <v>131</v>
      </c>
      <c r="B231" s="68" t="str">
        <f t="shared" si="47"/>
        <v>2.23, NT Plant-Rigid  6R-30</v>
      </c>
      <c r="C231" s="103">
        <v>2.23</v>
      </c>
      <c r="D231" s="68" t="s">
        <v>151</v>
      </c>
      <c r="E231" s="68" t="s">
        <v>274</v>
      </c>
      <c r="F231" s="68" t="s">
        <v>213</v>
      </c>
      <c r="G231" s="68" t="str">
        <f t="shared" si="48"/>
        <v>NT Plant-Rigid  6R-30</v>
      </c>
      <c r="H231" s="85">
        <v>46500</v>
      </c>
      <c r="I231" s="221">
        <v>15</v>
      </c>
      <c r="J231" s="221">
        <v>6</v>
      </c>
      <c r="K231" s="221">
        <v>70</v>
      </c>
      <c r="L231" s="86">
        <f t="shared" si="49"/>
        <v>0.13095238095238096</v>
      </c>
      <c r="M231" s="221">
        <v>45</v>
      </c>
      <c r="N231" s="221">
        <v>45</v>
      </c>
      <c r="O231" s="221">
        <v>8</v>
      </c>
      <c r="P231" s="221">
        <v>150</v>
      </c>
      <c r="Q231" s="221">
        <v>0</v>
      </c>
      <c r="R231" s="104">
        <f t="shared" si="50"/>
        <v>1200</v>
      </c>
      <c r="S231" s="104">
        <v>1</v>
      </c>
      <c r="T231" s="104">
        <v>0.27</v>
      </c>
      <c r="U231" s="104">
        <v>1.4</v>
      </c>
      <c r="V231" s="219">
        <f t="shared" si="51"/>
        <v>881.74799281770174</v>
      </c>
      <c r="W231" s="106">
        <f t="shared" si="52"/>
        <v>5.8783199521180114</v>
      </c>
      <c r="X231" s="107">
        <f t="shared" si="53"/>
        <v>2615.625</v>
      </c>
      <c r="Y231" s="108">
        <f t="shared" si="54"/>
        <v>17.4375</v>
      </c>
      <c r="Z231" s="88">
        <f t="shared" si="55"/>
        <v>20925</v>
      </c>
      <c r="AA231" s="88">
        <f t="shared" si="56"/>
        <v>3196.875</v>
      </c>
      <c r="AB231" s="88">
        <f t="shared" si="57"/>
        <v>33712.5</v>
      </c>
      <c r="AC231" s="109">
        <f t="shared" si="45"/>
        <v>3034.125</v>
      </c>
      <c r="AD231" s="109">
        <f t="shared" si="46"/>
        <v>809.1</v>
      </c>
      <c r="AE231" s="109">
        <f t="shared" si="58"/>
        <v>7040.1</v>
      </c>
      <c r="AF231" s="73">
        <f t="shared" si="59"/>
        <v>46.934000000000005</v>
      </c>
    </row>
    <row r="232" spans="1:32" x14ac:dyDescent="0.25">
      <c r="A232" s="102">
        <v>132</v>
      </c>
      <c r="B232" s="68" t="str">
        <f t="shared" si="47"/>
        <v>2.24, NT Plant-Rigid  6R-36</v>
      </c>
      <c r="C232" s="103">
        <v>2.2400000000000002</v>
      </c>
      <c r="D232" s="68" t="s">
        <v>151</v>
      </c>
      <c r="E232" s="68" t="s">
        <v>274</v>
      </c>
      <c r="F232" s="68" t="s">
        <v>154</v>
      </c>
      <c r="G232" s="68" t="str">
        <f t="shared" si="48"/>
        <v>NT Plant-Rigid  6R-36</v>
      </c>
      <c r="H232" s="85">
        <v>42100</v>
      </c>
      <c r="I232" s="221">
        <v>18</v>
      </c>
      <c r="J232" s="221">
        <v>6</v>
      </c>
      <c r="K232" s="221">
        <v>70</v>
      </c>
      <c r="L232" s="86">
        <f t="shared" si="49"/>
        <v>0.10912698412698414</v>
      </c>
      <c r="M232" s="221">
        <v>45</v>
      </c>
      <c r="N232" s="221">
        <v>45</v>
      </c>
      <c r="O232" s="221">
        <v>8</v>
      </c>
      <c r="P232" s="221">
        <v>150</v>
      </c>
      <c r="Q232" s="221">
        <v>0</v>
      </c>
      <c r="R232" s="104">
        <f t="shared" si="50"/>
        <v>1200</v>
      </c>
      <c r="S232" s="104">
        <v>1</v>
      </c>
      <c r="T232" s="104">
        <v>0.27</v>
      </c>
      <c r="U232" s="104">
        <v>1.4</v>
      </c>
      <c r="V232" s="219">
        <f t="shared" si="51"/>
        <v>798.31377414247834</v>
      </c>
      <c r="W232" s="106">
        <f t="shared" si="52"/>
        <v>5.3220918276165223</v>
      </c>
      <c r="X232" s="107">
        <f t="shared" si="53"/>
        <v>2368.125</v>
      </c>
      <c r="Y232" s="108">
        <f t="shared" si="54"/>
        <v>15.7875</v>
      </c>
      <c r="Z232" s="88">
        <f t="shared" si="55"/>
        <v>18945</v>
      </c>
      <c r="AA232" s="88">
        <f t="shared" si="56"/>
        <v>2894.375</v>
      </c>
      <c r="AB232" s="88">
        <f t="shared" si="57"/>
        <v>30522.5</v>
      </c>
      <c r="AC232" s="109">
        <f t="shared" si="45"/>
        <v>2747.0250000000001</v>
      </c>
      <c r="AD232" s="109">
        <f t="shared" si="46"/>
        <v>732.54</v>
      </c>
      <c r="AE232" s="109">
        <f t="shared" si="58"/>
        <v>6373.94</v>
      </c>
      <c r="AF232" s="73">
        <f t="shared" si="59"/>
        <v>42.492933333333333</v>
      </c>
    </row>
    <row r="233" spans="1:32" x14ac:dyDescent="0.25">
      <c r="A233" s="102">
        <v>536</v>
      </c>
      <c r="B233" s="68" t="str">
        <f t="shared" si="47"/>
        <v>2.25, NT Plant-Rigid 11R-20</v>
      </c>
      <c r="C233" s="103">
        <v>2.25</v>
      </c>
      <c r="D233" s="68" t="s">
        <v>151</v>
      </c>
      <c r="E233" s="68" t="s">
        <v>274</v>
      </c>
      <c r="F233" s="68" t="s">
        <v>269</v>
      </c>
      <c r="G233" s="68" t="str">
        <f t="shared" si="48"/>
        <v>NT Plant-Rigid 11R-20</v>
      </c>
      <c r="H233" s="85">
        <v>69700</v>
      </c>
      <c r="I233" s="221">
        <v>18.3</v>
      </c>
      <c r="J233" s="221">
        <v>6</v>
      </c>
      <c r="K233" s="221">
        <v>70</v>
      </c>
      <c r="L233" s="86">
        <f t="shared" si="49"/>
        <v>0.10733801717408273</v>
      </c>
      <c r="M233" s="221">
        <v>45</v>
      </c>
      <c r="N233" s="221">
        <v>45</v>
      </c>
      <c r="O233" s="221">
        <v>8</v>
      </c>
      <c r="P233" s="221">
        <v>150</v>
      </c>
      <c r="Q233" s="221">
        <v>0</v>
      </c>
      <c r="R233" s="104">
        <f t="shared" si="50"/>
        <v>1200</v>
      </c>
      <c r="S233" s="104">
        <v>1</v>
      </c>
      <c r="T233" s="104">
        <v>0.27</v>
      </c>
      <c r="U233" s="104">
        <v>1.4</v>
      </c>
      <c r="V233" s="219">
        <f t="shared" si="51"/>
        <v>1321.6738731052433</v>
      </c>
      <c r="W233" s="106">
        <f t="shared" si="52"/>
        <v>8.8111591540349554</v>
      </c>
      <c r="X233" s="107">
        <f t="shared" si="53"/>
        <v>3920.625</v>
      </c>
      <c r="Y233" s="108">
        <f t="shared" si="54"/>
        <v>26.137499999999999</v>
      </c>
      <c r="Z233" s="88">
        <f t="shared" si="55"/>
        <v>31365</v>
      </c>
      <c r="AA233" s="88">
        <f t="shared" si="56"/>
        <v>4791.875</v>
      </c>
      <c r="AB233" s="88">
        <f t="shared" si="57"/>
        <v>50532.5</v>
      </c>
      <c r="AC233" s="109">
        <f t="shared" si="45"/>
        <v>4547.9250000000002</v>
      </c>
      <c r="AD233" s="109">
        <f t="shared" si="46"/>
        <v>1212.78</v>
      </c>
      <c r="AE233" s="109">
        <f t="shared" si="58"/>
        <v>10552.58</v>
      </c>
      <c r="AF233" s="73">
        <f t="shared" si="59"/>
        <v>70.350533333333331</v>
      </c>
    </row>
    <row r="234" spans="1:32" x14ac:dyDescent="0.25">
      <c r="A234" s="102">
        <v>600</v>
      </c>
      <c r="B234" s="68" t="str">
        <f t="shared" si="47"/>
        <v>2.26, NT Plant-Rigid 15R-15</v>
      </c>
      <c r="C234" s="103">
        <v>2.2599999999999998</v>
      </c>
      <c r="D234" s="68" t="s">
        <v>151</v>
      </c>
      <c r="E234" s="68" t="s">
        <v>274</v>
      </c>
      <c r="F234" s="68" t="s">
        <v>270</v>
      </c>
      <c r="G234" s="68" t="str">
        <f t="shared" si="48"/>
        <v>NT Plant-Rigid 15R-15</v>
      </c>
      <c r="H234" s="85">
        <v>88600</v>
      </c>
      <c r="I234" s="221">
        <v>18.7</v>
      </c>
      <c r="J234" s="221">
        <v>6</v>
      </c>
      <c r="K234" s="221">
        <v>70</v>
      </c>
      <c r="L234" s="86">
        <f t="shared" si="49"/>
        <v>0.10504201680672269</v>
      </c>
      <c r="M234" s="221">
        <v>45</v>
      </c>
      <c r="N234" s="221">
        <v>45</v>
      </c>
      <c r="O234" s="221">
        <v>8</v>
      </c>
      <c r="P234" s="221">
        <v>150</v>
      </c>
      <c r="Q234" s="221">
        <v>0</v>
      </c>
      <c r="R234" s="104">
        <f t="shared" si="50"/>
        <v>1200</v>
      </c>
      <c r="S234" s="104">
        <v>1</v>
      </c>
      <c r="T234" s="104">
        <v>0.27</v>
      </c>
      <c r="U234" s="104">
        <v>1.4</v>
      </c>
      <c r="V234" s="219">
        <f t="shared" si="51"/>
        <v>1680.0617669601802</v>
      </c>
      <c r="W234" s="106">
        <f t="shared" si="52"/>
        <v>11.200411779734536</v>
      </c>
      <c r="X234" s="107">
        <f t="shared" si="53"/>
        <v>4983.75</v>
      </c>
      <c r="Y234" s="108">
        <f t="shared" si="54"/>
        <v>33.225000000000001</v>
      </c>
      <c r="Z234" s="88">
        <f t="shared" si="55"/>
        <v>39870</v>
      </c>
      <c r="AA234" s="88">
        <f t="shared" si="56"/>
        <v>6091.25</v>
      </c>
      <c r="AB234" s="88">
        <f t="shared" si="57"/>
        <v>64235</v>
      </c>
      <c r="AC234" s="109">
        <f t="shared" si="45"/>
        <v>5781.15</v>
      </c>
      <c r="AD234" s="109">
        <f t="shared" si="46"/>
        <v>1541.64</v>
      </c>
      <c r="AE234" s="109">
        <f t="shared" si="58"/>
        <v>13414.039999999999</v>
      </c>
      <c r="AF234" s="73">
        <f t="shared" si="59"/>
        <v>89.426933333333324</v>
      </c>
    </row>
    <row r="235" spans="1:32" x14ac:dyDescent="0.25">
      <c r="A235" s="102">
        <v>133</v>
      </c>
      <c r="B235" s="68" t="str">
        <f t="shared" si="47"/>
        <v>2.27, NT Plant-Rigid  8R-30</v>
      </c>
      <c r="C235" s="103">
        <v>2.27</v>
      </c>
      <c r="D235" s="68" t="s">
        <v>151</v>
      </c>
      <c r="E235" s="68" t="s">
        <v>274</v>
      </c>
      <c r="F235" s="68" t="s">
        <v>155</v>
      </c>
      <c r="G235" s="68" t="str">
        <f t="shared" si="48"/>
        <v>NT Plant-Rigid  8R-30</v>
      </c>
      <c r="H235" s="85">
        <v>61800</v>
      </c>
      <c r="I235" s="221">
        <v>20</v>
      </c>
      <c r="J235" s="221">
        <v>6</v>
      </c>
      <c r="K235" s="221">
        <v>70</v>
      </c>
      <c r="L235" s="86">
        <f t="shared" si="49"/>
        <v>9.8214285714285712E-2</v>
      </c>
      <c r="M235" s="221">
        <v>45</v>
      </c>
      <c r="N235" s="221">
        <v>45</v>
      </c>
      <c r="O235" s="221">
        <v>8</v>
      </c>
      <c r="P235" s="221">
        <v>150</v>
      </c>
      <c r="Q235" s="221">
        <v>0</v>
      </c>
      <c r="R235" s="104">
        <f t="shared" si="50"/>
        <v>1200</v>
      </c>
      <c r="S235" s="104">
        <v>1</v>
      </c>
      <c r="T235" s="104">
        <v>0.27</v>
      </c>
      <c r="U235" s="104">
        <v>1.4</v>
      </c>
      <c r="V235" s="219">
        <f t="shared" si="51"/>
        <v>1171.871525938365</v>
      </c>
      <c r="W235" s="106">
        <f t="shared" si="52"/>
        <v>7.8124768395891007</v>
      </c>
      <c r="X235" s="107">
        <f t="shared" si="53"/>
        <v>3476.25</v>
      </c>
      <c r="Y235" s="108">
        <f t="shared" si="54"/>
        <v>23.175000000000001</v>
      </c>
      <c r="Z235" s="88">
        <f t="shared" si="55"/>
        <v>27810</v>
      </c>
      <c r="AA235" s="88">
        <f t="shared" si="56"/>
        <v>4248.75</v>
      </c>
      <c r="AB235" s="88">
        <f t="shared" si="57"/>
        <v>44805</v>
      </c>
      <c r="AC235" s="109">
        <f t="shared" si="45"/>
        <v>4032.45</v>
      </c>
      <c r="AD235" s="109">
        <f t="shared" si="46"/>
        <v>1075.32</v>
      </c>
      <c r="AE235" s="109">
        <f t="shared" si="58"/>
        <v>9356.52</v>
      </c>
      <c r="AF235" s="73">
        <f t="shared" si="59"/>
        <v>62.376800000000003</v>
      </c>
    </row>
    <row r="236" spans="1:32" x14ac:dyDescent="0.25">
      <c r="A236" s="102">
        <v>368</v>
      </c>
      <c r="B236" s="68" t="str">
        <f t="shared" si="47"/>
        <v>2.28, NT Plant-Rigid 12R-20</v>
      </c>
      <c r="C236" s="103">
        <v>2.2799999999999998</v>
      </c>
      <c r="D236" s="68" t="s">
        <v>151</v>
      </c>
      <c r="E236" s="68" t="s">
        <v>274</v>
      </c>
      <c r="F236" s="68" t="s">
        <v>259</v>
      </c>
      <c r="G236" s="68" t="str">
        <f t="shared" si="48"/>
        <v>NT Plant-Rigid 12R-20</v>
      </c>
      <c r="H236" s="85">
        <v>74700</v>
      </c>
      <c r="I236" s="221">
        <v>20</v>
      </c>
      <c r="J236" s="221">
        <v>6</v>
      </c>
      <c r="K236" s="221">
        <v>70</v>
      </c>
      <c r="L236" s="86">
        <f t="shared" si="49"/>
        <v>9.8214285714285712E-2</v>
      </c>
      <c r="M236" s="221">
        <v>45</v>
      </c>
      <c r="N236" s="221">
        <v>45</v>
      </c>
      <c r="O236" s="221">
        <v>8</v>
      </c>
      <c r="P236" s="221">
        <v>150</v>
      </c>
      <c r="Q236" s="221">
        <v>0</v>
      </c>
      <c r="R236" s="104">
        <f t="shared" si="50"/>
        <v>1200</v>
      </c>
      <c r="S236" s="104">
        <v>1</v>
      </c>
      <c r="T236" s="104">
        <v>0.27</v>
      </c>
      <c r="U236" s="104">
        <v>1.4</v>
      </c>
      <c r="V236" s="219">
        <f t="shared" si="51"/>
        <v>1416.4854852361791</v>
      </c>
      <c r="W236" s="106">
        <f t="shared" si="52"/>
        <v>9.4432365682411934</v>
      </c>
      <c r="X236" s="107">
        <f t="shared" si="53"/>
        <v>4201.875</v>
      </c>
      <c r="Y236" s="108">
        <f t="shared" si="54"/>
        <v>28.012499999999999</v>
      </c>
      <c r="Z236" s="88">
        <f t="shared" si="55"/>
        <v>33615</v>
      </c>
      <c r="AA236" s="88">
        <f t="shared" si="56"/>
        <v>5135.625</v>
      </c>
      <c r="AB236" s="88">
        <f t="shared" si="57"/>
        <v>54157.5</v>
      </c>
      <c r="AC236" s="109">
        <f t="shared" si="45"/>
        <v>4874.1750000000002</v>
      </c>
      <c r="AD236" s="109">
        <f t="shared" si="46"/>
        <v>1299.78</v>
      </c>
      <c r="AE236" s="109">
        <f t="shared" si="58"/>
        <v>11309.58</v>
      </c>
      <c r="AF236" s="73">
        <f t="shared" si="59"/>
        <v>75.397199999999998</v>
      </c>
    </row>
    <row r="237" spans="1:32" x14ac:dyDescent="0.25">
      <c r="A237" s="102">
        <v>639</v>
      </c>
      <c r="B237" s="68" t="str">
        <f t="shared" si="47"/>
        <v>2.29, NT Plant-Rigid 13R-18/20</v>
      </c>
      <c r="C237" s="103">
        <v>2.29</v>
      </c>
      <c r="D237" s="68" t="s">
        <v>151</v>
      </c>
      <c r="E237" s="68" t="s">
        <v>274</v>
      </c>
      <c r="F237" s="68" t="s">
        <v>271</v>
      </c>
      <c r="G237" s="68" t="str">
        <f t="shared" si="48"/>
        <v>NT Plant-Rigid 13R-18/20</v>
      </c>
      <c r="H237" s="85">
        <v>59000</v>
      </c>
      <c r="I237" s="221">
        <v>21.6</v>
      </c>
      <c r="J237" s="221">
        <v>6</v>
      </c>
      <c r="K237" s="221">
        <v>70</v>
      </c>
      <c r="L237" s="86">
        <f t="shared" si="49"/>
        <v>9.0939153439153431E-2</v>
      </c>
      <c r="M237" s="221">
        <v>45</v>
      </c>
      <c r="N237" s="221">
        <v>45</v>
      </c>
      <c r="O237" s="221">
        <v>8</v>
      </c>
      <c r="P237" s="221">
        <v>150</v>
      </c>
      <c r="Q237" s="221">
        <v>0</v>
      </c>
      <c r="R237" s="104">
        <f t="shared" si="50"/>
        <v>1200</v>
      </c>
      <c r="S237" s="104">
        <v>1</v>
      </c>
      <c r="T237" s="104">
        <v>0.27</v>
      </c>
      <c r="U237" s="104">
        <v>1.4</v>
      </c>
      <c r="V237" s="219">
        <f t="shared" si="51"/>
        <v>1118.7770231450411</v>
      </c>
      <c r="W237" s="106">
        <f t="shared" si="52"/>
        <v>7.4585134876336072</v>
      </c>
      <c r="X237" s="107">
        <f t="shared" si="53"/>
        <v>3318.75</v>
      </c>
      <c r="Y237" s="108">
        <f t="shared" si="54"/>
        <v>22.125</v>
      </c>
      <c r="Z237" s="88">
        <f t="shared" si="55"/>
        <v>26550</v>
      </c>
      <c r="AA237" s="88">
        <f t="shared" si="56"/>
        <v>4056.25</v>
      </c>
      <c r="AB237" s="88">
        <f t="shared" si="57"/>
        <v>42775</v>
      </c>
      <c r="AC237" s="109">
        <f t="shared" si="45"/>
        <v>3849.75</v>
      </c>
      <c r="AD237" s="109">
        <f t="shared" si="46"/>
        <v>1026.5999999999999</v>
      </c>
      <c r="AE237" s="109">
        <f t="shared" si="58"/>
        <v>8932.6</v>
      </c>
      <c r="AF237" s="73">
        <f t="shared" si="59"/>
        <v>59.550666666666672</v>
      </c>
    </row>
    <row r="238" spans="1:32" x14ac:dyDescent="0.25">
      <c r="A238" s="102">
        <v>134</v>
      </c>
      <c r="B238" s="68" t="str">
        <f t="shared" si="47"/>
        <v>2.3, NT Plant-Rigid  8R-36</v>
      </c>
      <c r="C238" s="103">
        <v>2.2999999999999998</v>
      </c>
      <c r="D238" s="68" t="s">
        <v>151</v>
      </c>
      <c r="E238" s="68" t="s">
        <v>274</v>
      </c>
      <c r="F238" s="68" t="s">
        <v>160</v>
      </c>
      <c r="G238" s="68" t="str">
        <f t="shared" si="48"/>
        <v>NT Plant-Rigid  8R-36</v>
      </c>
      <c r="H238" s="85">
        <v>58300</v>
      </c>
      <c r="I238" s="221">
        <v>24</v>
      </c>
      <c r="J238" s="221">
        <v>6</v>
      </c>
      <c r="K238" s="221">
        <v>70</v>
      </c>
      <c r="L238" s="86">
        <f t="shared" si="49"/>
        <v>8.1845238095238096E-2</v>
      </c>
      <c r="M238" s="221">
        <v>45</v>
      </c>
      <c r="N238" s="221">
        <v>45</v>
      </c>
      <c r="O238" s="221">
        <v>8</v>
      </c>
      <c r="P238" s="221">
        <v>150</v>
      </c>
      <c r="Q238" s="221">
        <v>0</v>
      </c>
      <c r="R238" s="104">
        <f t="shared" si="50"/>
        <v>1200</v>
      </c>
      <c r="S238" s="104">
        <v>1</v>
      </c>
      <c r="T238" s="104">
        <v>0.27</v>
      </c>
      <c r="U238" s="104">
        <v>1.4</v>
      </c>
      <c r="V238" s="219">
        <f t="shared" si="51"/>
        <v>1105.5033974467101</v>
      </c>
      <c r="W238" s="106">
        <f t="shared" si="52"/>
        <v>7.3700226496447341</v>
      </c>
      <c r="X238" s="107">
        <f t="shared" si="53"/>
        <v>3279.375</v>
      </c>
      <c r="Y238" s="108">
        <f t="shared" si="54"/>
        <v>21.862500000000001</v>
      </c>
      <c r="Z238" s="88">
        <f t="shared" si="55"/>
        <v>26235</v>
      </c>
      <c r="AA238" s="88">
        <f t="shared" si="56"/>
        <v>4008.125</v>
      </c>
      <c r="AB238" s="88">
        <f t="shared" si="57"/>
        <v>42267.5</v>
      </c>
      <c r="AC238" s="109">
        <f t="shared" si="45"/>
        <v>3804.0749999999998</v>
      </c>
      <c r="AD238" s="109">
        <f t="shared" si="46"/>
        <v>1014.4200000000001</v>
      </c>
      <c r="AE238" s="109">
        <f t="shared" si="58"/>
        <v>8826.619999999999</v>
      </c>
      <c r="AF238" s="73">
        <f t="shared" si="59"/>
        <v>58.844133333333325</v>
      </c>
    </row>
    <row r="239" spans="1:32" x14ac:dyDescent="0.25">
      <c r="A239" s="102">
        <v>135</v>
      </c>
      <c r="B239" s="68" t="str">
        <f t="shared" si="47"/>
        <v>2.31, NT Plant-Rigid 10R-30</v>
      </c>
      <c r="C239" s="103">
        <v>2.31</v>
      </c>
      <c r="D239" s="68" t="s">
        <v>151</v>
      </c>
      <c r="E239" s="68" t="s">
        <v>274</v>
      </c>
      <c r="F239" s="68" t="s">
        <v>170</v>
      </c>
      <c r="G239" s="68" t="str">
        <f t="shared" si="48"/>
        <v>NT Plant-Rigid 10R-30</v>
      </c>
      <c r="H239" s="85">
        <v>60000</v>
      </c>
      <c r="I239" s="221">
        <v>25</v>
      </c>
      <c r="J239" s="221">
        <v>6</v>
      </c>
      <c r="K239" s="221">
        <v>70</v>
      </c>
      <c r="L239" s="86">
        <f t="shared" si="49"/>
        <v>7.857142857142857E-2</v>
      </c>
      <c r="M239" s="221">
        <v>45</v>
      </c>
      <c r="N239" s="221">
        <v>45</v>
      </c>
      <c r="O239" s="221">
        <v>8</v>
      </c>
      <c r="P239" s="221">
        <v>150</v>
      </c>
      <c r="Q239" s="221">
        <v>0</v>
      </c>
      <c r="R239" s="104">
        <f t="shared" si="50"/>
        <v>1200</v>
      </c>
      <c r="S239" s="104">
        <v>1</v>
      </c>
      <c r="T239" s="104">
        <v>0.27</v>
      </c>
      <c r="U239" s="104">
        <v>1.4</v>
      </c>
      <c r="V239" s="219">
        <f t="shared" si="51"/>
        <v>1137.7393455712283</v>
      </c>
      <c r="W239" s="106">
        <f t="shared" si="52"/>
        <v>7.5849289704748557</v>
      </c>
      <c r="X239" s="107">
        <f t="shared" si="53"/>
        <v>3375</v>
      </c>
      <c r="Y239" s="108">
        <f t="shared" si="54"/>
        <v>22.5</v>
      </c>
      <c r="Z239" s="88">
        <f t="shared" si="55"/>
        <v>27000</v>
      </c>
      <c r="AA239" s="88">
        <f t="shared" si="56"/>
        <v>4125</v>
      </c>
      <c r="AB239" s="88">
        <f t="shared" si="57"/>
        <v>43500</v>
      </c>
      <c r="AC239" s="109">
        <f t="shared" si="45"/>
        <v>3915</v>
      </c>
      <c r="AD239" s="109">
        <f t="shared" si="46"/>
        <v>1044</v>
      </c>
      <c r="AE239" s="109">
        <f t="shared" si="58"/>
        <v>9084</v>
      </c>
      <c r="AF239" s="73">
        <f t="shared" si="59"/>
        <v>60.56</v>
      </c>
    </row>
    <row r="240" spans="1:32" x14ac:dyDescent="0.25">
      <c r="A240" s="102">
        <v>369</v>
      </c>
      <c r="B240" s="68" t="str">
        <f t="shared" si="47"/>
        <v>2.32, NT Plant-Rigid 12R-30</v>
      </c>
      <c r="C240" s="103">
        <v>2.3199999999999998</v>
      </c>
      <c r="D240" s="68" t="s">
        <v>151</v>
      </c>
      <c r="E240" s="68" t="s">
        <v>274</v>
      </c>
      <c r="F240" s="68" t="s">
        <v>156</v>
      </c>
      <c r="G240" s="68" t="str">
        <f t="shared" si="48"/>
        <v>NT Plant-Rigid 12R-30</v>
      </c>
      <c r="H240" s="85">
        <v>90000</v>
      </c>
      <c r="I240" s="221">
        <v>30</v>
      </c>
      <c r="J240" s="221">
        <v>6</v>
      </c>
      <c r="K240" s="221">
        <v>70</v>
      </c>
      <c r="L240" s="86">
        <f t="shared" si="49"/>
        <v>6.5476190476190479E-2</v>
      </c>
      <c r="M240" s="221">
        <v>45</v>
      </c>
      <c r="N240" s="221">
        <v>45</v>
      </c>
      <c r="O240" s="221">
        <v>8</v>
      </c>
      <c r="P240" s="221">
        <v>150</v>
      </c>
      <c r="Q240" s="221">
        <v>0</v>
      </c>
      <c r="R240" s="104">
        <f t="shared" si="50"/>
        <v>1200</v>
      </c>
      <c r="S240" s="104">
        <v>1</v>
      </c>
      <c r="T240" s="104">
        <v>0.27</v>
      </c>
      <c r="U240" s="104">
        <v>1.4</v>
      </c>
      <c r="V240" s="219">
        <f t="shared" si="51"/>
        <v>1706.6090183568422</v>
      </c>
      <c r="W240" s="106">
        <f t="shared" si="52"/>
        <v>11.377393455712282</v>
      </c>
      <c r="X240" s="107">
        <f t="shared" si="53"/>
        <v>5062.5</v>
      </c>
      <c r="Y240" s="108">
        <f t="shared" si="54"/>
        <v>33.75</v>
      </c>
      <c r="Z240" s="88">
        <f t="shared" si="55"/>
        <v>40500</v>
      </c>
      <c r="AA240" s="88">
        <f t="shared" si="56"/>
        <v>6187.5</v>
      </c>
      <c r="AB240" s="88">
        <f t="shared" si="57"/>
        <v>65250</v>
      </c>
      <c r="AC240" s="109">
        <f t="shared" si="45"/>
        <v>5872.5</v>
      </c>
      <c r="AD240" s="109">
        <f t="shared" si="46"/>
        <v>1566</v>
      </c>
      <c r="AE240" s="109">
        <f t="shared" si="58"/>
        <v>13626</v>
      </c>
      <c r="AF240" s="73">
        <f t="shared" si="59"/>
        <v>90.84</v>
      </c>
    </row>
    <row r="241" spans="1:32" x14ac:dyDescent="0.25">
      <c r="A241" s="102">
        <v>640</v>
      </c>
      <c r="B241" s="68" t="str">
        <f t="shared" si="47"/>
        <v>2.33, NT Plant-Twin Row 8R-36</v>
      </c>
      <c r="C241" s="103">
        <v>2.33</v>
      </c>
      <c r="D241" s="68" t="s">
        <v>151</v>
      </c>
      <c r="E241" s="68" t="s">
        <v>275</v>
      </c>
      <c r="F241" s="68" t="s">
        <v>166</v>
      </c>
      <c r="G241" s="68" t="str">
        <f t="shared" si="48"/>
        <v>NT Plant-Twin Row 8R-36</v>
      </c>
      <c r="H241" s="85">
        <v>130000</v>
      </c>
      <c r="I241" s="221">
        <v>24</v>
      </c>
      <c r="J241" s="221">
        <v>6</v>
      </c>
      <c r="K241" s="221">
        <v>70</v>
      </c>
      <c r="L241" s="86">
        <f t="shared" si="49"/>
        <v>8.1845238095238096E-2</v>
      </c>
      <c r="M241" s="221">
        <v>45</v>
      </c>
      <c r="N241" s="221">
        <v>45</v>
      </c>
      <c r="O241" s="221">
        <v>8</v>
      </c>
      <c r="P241" s="221">
        <v>150</v>
      </c>
      <c r="Q241" s="221">
        <v>0</v>
      </c>
      <c r="R241" s="104">
        <f t="shared" si="50"/>
        <v>1200</v>
      </c>
      <c r="S241" s="104">
        <v>1</v>
      </c>
      <c r="T241" s="104">
        <v>0.27</v>
      </c>
      <c r="U241" s="104">
        <v>1.4</v>
      </c>
      <c r="V241" s="219">
        <f t="shared" si="51"/>
        <v>2465.1019154043274</v>
      </c>
      <c r="W241" s="106">
        <f t="shared" si="52"/>
        <v>16.434012769362184</v>
      </c>
      <c r="X241" s="107">
        <f t="shared" si="53"/>
        <v>7312.5</v>
      </c>
      <c r="Y241" s="108">
        <f t="shared" si="54"/>
        <v>48.75</v>
      </c>
      <c r="Z241" s="88">
        <f t="shared" si="55"/>
        <v>58500</v>
      </c>
      <c r="AA241" s="88">
        <f t="shared" si="56"/>
        <v>8937.5</v>
      </c>
      <c r="AB241" s="88">
        <f t="shared" si="57"/>
        <v>94250</v>
      </c>
      <c r="AC241" s="109">
        <f t="shared" si="45"/>
        <v>8482.5</v>
      </c>
      <c r="AD241" s="109">
        <f t="shared" si="46"/>
        <v>2262</v>
      </c>
      <c r="AE241" s="109">
        <f t="shared" si="58"/>
        <v>19682</v>
      </c>
      <c r="AF241" s="73">
        <f t="shared" si="59"/>
        <v>131.21333333333334</v>
      </c>
    </row>
    <row r="242" spans="1:32" x14ac:dyDescent="0.25">
      <c r="A242" s="102">
        <v>635</v>
      </c>
      <c r="B242" s="68" t="str">
        <f t="shared" si="47"/>
        <v>2.34, NT Plant-Twin Row 12R-36</v>
      </c>
      <c r="C242" s="103">
        <v>2.34</v>
      </c>
      <c r="D242" s="68" t="s">
        <v>151</v>
      </c>
      <c r="E242" s="68" t="s">
        <v>275</v>
      </c>
      <c r="F242" s="68" t="s">
        <v>158</v>
      </c>
      <c r="G242" s="68" t="str">
        <f t="shared" si="48"/>
        <v>NT Plant-Twin Row 12R-36</v>
      </c>
      <c r="H242" s="85">
        <v>163000</v>
      </c>
      <c r="I242" s="221">
        <v>36</v>
      </c>
      <c r="J242" s="221">
        <v>6</v>
      </c>
      <c r="K242" s="221">
        <v>70</v>
      </c>
      <c r="L242" s="86">
        <f t="shared" si="49"/>
        <v>5.4563492063492071E-2</v>
      </c>
      <c r="M242" s="221">
        <v>45</v>
      </c>
      <c r="N242" s="221">
        <v>45</v>
      </c>
      <c r="O242" s="221">
        <v>8</v>
      </c>
      <c r="P242" s="221">
        <v>150</v>
      </c>
      <c r="Q242" s="221">
        <v>0</v>
      </c>
      <c r="R242" s="104">
        <f t="shared" si="50"/>
        <v>1200</v>
      </c>
      <c r="S242" s="104">
        <v>1</v>
      </c>
      <c r="T242" s="104">
        <v>0.27</v>
      </c>
      <c r="U242" s="104">
        <v>1.4</v>
      </c>
      <c r="V242" s="219">
        <f t="shared" si="51"/>
        <v>3090.8585554685028</v>
      </c>
      <c r="W242" s="106">
        <f t="shared" si="52"/>
        <v>20.605723703123353</v>
      </c>
      <c r="X242" s="107">
        <f t="shared" si="53"/>
        <v>9168.75</v>
      </c>
      <c r="Y242" s="108">
        <f t="shared" si="54"/>
        <v>61.125</v>
      </c>
      <c r="Z242" s="88">
        <f t="shared" si="55"/>
        <v>73350</v>
      </c>
      <c r="AA242" s="88">
        <f t="shared" si="56"/>
        <v>11206.25</v>
      </c>
      <c r="AB242" s="88">
        <f t="shared" si="57"/>
        <v>118175</v>
      </c>
      <c r="AC242" s="109">
        <f t="shared" si="45"/>
        <v>10635.75</v>
      </c>
      <c r="AD242" s="109">
        <f t="shared" si="46"/>
        <v>2836.2000000000003</v>
      </c>
      <c r="AE242" s="109">
        <f t="shared" si="58"/>
        <v>24678.2</v>
      </c>
      <c r="AF242" s="73">
        <f t="shared" si="59"/>
        <v>164.52133333333333</v>
      </c>
    </row>
    <row r="243" spans="1:32" x14ac:dyDescent="0.25">
      <c r="A243" s="102">
        <v>694</v>
      </c>
      <c r="B243" s="68" t="str">
        <f t="shared" si="47"/>
        <v>2.35, One Trip Plow 4R-36</v>
      </c>
      <c r="C243" s="103">
        <v>2.35</v>
      </c>
      <c r="D243" s="68" t="s">
        <v>151</v>
      </c>
      <c r="E243" s="68" t="s">
        <v>276</v>
      </c>
      <c r="F243" s="68" t="s">
        <v>175</v>
      </c>
      <c r="G243" s="68" t="str">
        <f t="shared" si="48"/>
        <v>One Trip Plow 4R-36</v>
      </c>
      <c r="H243" s="85">
        <v>25000</v>
      </c>
      <c r="I243" s="221">
        <v>12.6</v>
      </c>
      <c r="J243" s="221">
        <v>5.25</v>
      </c>
      <c r="K243" s="221">
        <v>85</v>
      </c>
      <c r="L243" s="86">
        <f t="shared" si="49"/>
        <v>0.14672535680939044</v>
      </c>
      <c r="M243" s="221">
        <v>30</v>
      </c>
      <c r="N243" s="221">
        <v>70</v>
      </c>
      <c r="O243" s="221">
        <v>10</v>
      </c>
      <c r="P243" s="221">
        <v>150</v>
      </c>
      <c r="Q243" s="221">
        <v>0</v>
      </c>
      <c r="R243" s="104">
        <f t="shared" si="50"/>
        <v>1500</v>
      </c>
      <c r="S243" s="104">
        <v>1</v>
      </c>
      <c r="T243" s="104">
        <v>0.27</v>
      </c>
      <c r="U243" s="104">
        <v>1.4</v>
      </c>
      <c r="V243" s="219">
        <f t="shared" si="51"/>
        <v>474.0580606546784</v>
      </c>
      <c r="W243" s="106">
        <f t="shared" si="52"/>
        <v>3.1603870710311894</v>
      </c>
      <c r="X243" s="107">
        <f t="shared" si="53"/>
        <v>1750</v>
      </c>
      <c r="Y243" s="108">
        <f t="shared" si="54"/>
        <v>11.666666666666666</v>
      </c>
      <c r="Z243" s="88">
        <f t="shared" si="55"/>
        <v>7500</v>
      </c>
      <c r="AA243" s="88">
        <f t="shared" si="56"/>
        <v>1750</v>
      </c>
      <c r="AB243" s="88">
        <f t="shared" si="57"/>
        <v>16250</v>
      </c>
      <c r="AC243" s="109">
        <f t="shared" si="45"/>
        <v>1462.5</v>
      </c>
      <c r="AD243" s="109">
        <f t="shared" si="46"/>
        <v>390</v>
      </c>
      <c r="AE243" s="109">
        <f t="shared" si="58"/>
        <v>3602.5</v>
      </c>
      <c r="AF243" s="73">
        <f t="shared" si="59"/>
        <v>24.016666666666666</v>
      </c>
    </row>
    <row r="244" spans="1:32" x14ac:dyDescent="0.25">
      <c r="A244" s="102">
        <v>695</v>
      </c>
      <c r="B244" s="68" t="str">
        <f t="shared" si="47"/>
        <v>2.36, One Trip Plow 6R-36</v>
      </c>
      <c r="C244" s="103">
        <v>2.36</v>
      </c>
      <c r="D244" s="68" t="s">
        <v>151</v>
      </c>
      <c r="E244" s="68" t="s">
        <v>276</v>
      </c>
      <c r="F244" s="68" t="s">
        <v>176</v>
      </c>
      <c r="G244" s="68" t="str">
        <f t="shared" si="48"/>
        <v>One Trip Plow 6R-36</v>
      </c>
      <c r="H244" s="85">
        <v>30000</v>
      </c>
      <c r="I244" s="221">
        <v>18</v>
      </c>
      <c r="J244" s="221">
        <v>5.25</v>
      </c>
      <c r="K244" s="221">
        <v>85</v>
      </c>
      <c r="L244" s="86">
        <f t="shared" si="49"/>
        <v>0.10270774976657329</v>
      </c>
      <c r="M244" s="221">
        <v>30</v>
      </c>
      <c r="N244" s="221">
        <v>70</v>
      </c>
      <c r="O244" s="221">
        <v>10</v>
      </c>
      <c r="P244" s="221">
        <v>150</v>
      </c>
      <c r="Q244" s="221">
        <v>0</v>
      </c>
      <c r="R244" s="104">
        <f t="shared" si="50"/>
        <v>1500</v>
      </c>
      <c r="S244" s="104">
        <v>1</v>
      </c>
      <c r="T244" s="104">
        <v>0.27</v>
      </c>
      <c r="U244" s="104">
        <v>1.4</v>
      </c>
      <c r="V244" s="219">
        <f t="shared" si="51"/>
        <v>568.86967278561417</v>
      </c>
      <c r="W244" s="106">
        <f t="shared" si="52"/>
        <v>3.7924644852374279</v>
      </c>
      <c r="X244" s="107">
        <f t="shared" si="53"/>
        <v>2100</v>
      </c>
      <c r="Y244" s="108">
        <f t="shared" si="54"/>
        <v>14</v>
      </c>
      <c r="Z244" s="88">
        <f t="shared" si="55"/>
        <v>9000</v>
      </c>
      <c r="AA244" s="88">
        <f t="shared" si="56"/>
        <v>2100</v>
      </c>
      <c r="AB244" s="88">
        <f t="shared" si="57"/>
        <v>19500</v>
      </c>
      <c r="AC244" s="109">
        <f t="shared" si="45"/>
        <v>1755</v>
      </c>
      <c r="AD244" s="109">
        <f t="shared" si="46"/>
        <v>468</v>
      </c>
      <c r="AE244" s="109">
        <f t="shared" si="58"/>
        <v>4323</v>
      </c>
      <c r="AF244" s="73">
        <f t="shared" si="59"/>
        <v>28.82</v>
      </c>
    </row>
    <row r="245" spans="1:32" x14ac:dyDescent="0.25">
      <c r="A245" s="102">
        <v>696</v>
      </c>
      <c r="B245" s="68" t="str">
        <f t="shared" si="47"/>
        <v>2.37, One Trip Plow 8R-36</v>
      </c>
      <c r="C245" s="103">
        <v>2.37</v>
      </c>
      <c r="D245" s="68" t="s">
        <v>151</v>
      </c>
      <c r="E245" s="68" t="s">
        <v>276</v>
      </c>
      <c r="F245" s="68" t="s">
        <v>166</v>
      </c>
      <c r="G245" s="68" t="str">
        <f t="shared" si="48"/>
        <v>One Trip Plow 8R-36</v>
      </c>
      <c r="H245" s="85">
        <v>36000</v>
      </c>
      <c r="I245" s="221">
        <v>25</v>
      </c>
      <c r="J245" s="221">
        <v>5.25</v>
      </c>
      <c r="K245" s="221">
        <v>85</v>
      </c>
      <c r="L245" s="86">
        <f t="shared" si="49"/>
        <v>7.3949579831932774E-2</v>
      </c>
      <c r="M245" s="221">
        <v>30</v>
      </c>
      <c r="N245" s="221">
        <v>70</v>
      </c>
      <c r="O245" s="221">
        <v>10</v>
      </c>
      <c r="P245" s="221">
        <v>150</v>
      </c>
      <c r="Q245" s="221">
        <v>0</v>
      </c>
      <c r="R245" s="104">
        <f t="shared" si="50"/>
        <v>1500</v>
      </c>
      <c r="S245" s="104">
        <v>1</v>
      </c>
      <c r="T245" s="104">
        <v>0.27</v>
      </c>
      <c r="U245" s="104">
        <v>1.4</v>
      </c>
      <c r="V245" s="219">
        <f t="shared" si="51"/>
        <v>682.64360734273691</v>
      </c>
      <c r="W245" s="106">
        <f t="shared" si="52"/>
        <v>4.5509573822849125</v>
      </c>
      <c r="X245" s="107">
        <f t="shared" si="53"/>
        <v>2520</v>
      </c>
      <c r="Y245" s="108">
        <f t="shared" si="54"/>
        <v>16.8</v>
      </c>
      <c r="Z245" s="88">
        <f t="shared" si="55"/>
        <v>10800</v>
      </c>
      <c r="AA245" s="88">
        <f t="shared" si="56"/>
        <v>2520</v>
      </c>
      <c r="AB245" s="88">
        <f t="shared" si="57"/>
        <v>23400</v>
      </c>
      <c r="AC245" s="109">
        <f t="shared" si="45"/>
        <v>2106</v>
      </c>
      <c r="AD245" s="109">
        <f t="shared" si="46"/>
        <v>561.6</v>
      </c>
      <c r="AE245" s="109">
        <f t="shared" si="58"/>
        <v>5187.6000000000004</v>
      </c>
      <c r="AF245" s="73">
        <f t="shared" si="59"/>
        <v>34.584000000000003</v>
      </c>
    </row>
    <row r="246" spans="1:32" x14ac:dyDescent="0.25">
      <c r="A246" s="102">
        <v>567</v>
      </c>
      <c r="B246" s="68" t="str">
        <f t="shared" si="47"/>
        <v>2.38, Peanut Plant &amp; Pre Fold. 12R-36</v>
      </c>
      <c r="C246" s="103">
        <v>2.38</v>
      </c>
      <c r="D246" s="68" t="s">
        <v>151</v>
      </c>
      <c r="E246" s="68" t="s">
        <v>277</v>
      </c>
      <c r="F246" s="68" t="s">
        <v>158</v>
      </c>
      <c r="G246" s="68" t="str">
        <f t="shared" si="48"/>
        <v>Peanut Plant &amp; Pre Fold. 12R-36</v>
      </c>
      <c r="H246" s="220">
        <v>111000</v>
      </c>
      <c r="I246" s="221">
        <v>36</v>
      </c>
      <c r="J246" s="221">
        <v>4.5</v>
      </c>
      <c r="K246" s="221">
        <v>60</v>
      </c>
      <c r="L246" s="86">
        <f t="shared" si="49"/>
        <v>8.4876543209876545E-2</v>
      </c>
      <c r="M246" s="221">
        <v>45</v>
      </c>
      <c r="N246" s="221">
        <v>45</v>
      </c>
      <c r="O246" s="221">
        <v>8</v>
      </c>
      <c r="P246" s="221">
        <v>150</v>
      </c>
      <c r="Q246" s="221">
        <v>0</v>
      </c>
      <c r="R246" s="104">
        <f t="shared" si="50"/>
        <v>1200</v>
      </c>
      <c r="S246" s="104">
        <v>1</v>
      </c>
      <c r="T246" s="104">
        <v>0.27</v>
      </c>
      <c r="U246" s="104">
        <v>1.4</v>
      </c>
      <c r="V246" s="219">
        <f t="shared" si="51"/>
        <v>2104.8177893067723</v>
      </c>
      <c r="W246" s="106">
        <f t="shared" si="52"/>
        <v>14.032118595378481</v>
      </c>
      <c r="X246" s="107">
        <f t="shared" si="53"/>
        <v>6243.75</v>
      </c>
      <c r="Y246" s="108">
        <f t="shared" si="54"/>
        <v>41.625</v>
      </c>
      <c r="Z246" s="88">
        <f t="shared" si="55"/>
        <v>49950</v>
      </c>
      <c r="AA246" s="88">
        <f t="shared" si="56"/>
        <v>7631.25</v>
      </c>
      <c r="AB246" s="88">
        <f t="shared" si="57"/>
        <v>80475</v>
      </c>
      <c r="AC246" s="109">
        <f t="shared" si="45"/>
        <v>7242.75</v>
      </c>
      <c r="AD246" s="109">
        <f t="shared" si="46"/>
        <v>1931.4</v>
      </c>
      <c r="AE246" s="109">
        <f t="shared" si="58"/>
        <v>16805.400000000001</v>
      </c>
      <c r="AF246" s="73">
        <f t="shared" si="59"/>
        <v>112.03600000000002</v>
      </c>
    </row>
    <row r="247" spans="1:32" x14ac:dyDescent="0.25">
      <c r="A247" s="102">
        <v>568</v>
      </c>
      <c r="B247" s="68" t="str">
        <f t="shared" si="47"/>
        <v>2.39, Peanut Plant &amp; Pre Rigid  8R-30</v>
      </c>
      <c r="C247" s="103">
        <v>2.39</v>
      </c>
      <c r="D247" s="68" t="s">
        <v>151</v>
      </c>
      <c r="E247" s="68" t="s">
        <v>278</v>
      </c>
      <c r="F247" s="68" t="s">
        <v>155</v>
      </c>
      <c r="G247" s="68" t="str">
        <f t="shared" si="48"/>
        <v>Peanut Plant &amp; Pre Rigid  8R-30</v>
      </c>
      <c r="H247" s="220">
        <v>59400</v>
      </c>
      <c r="I247" s="221">
        <v>20</v>
      </c>
      <c r="J247" s="221">
        <v>4.5</v>
      </c>
      <c r="K247" s="221">
        <v>60</v>
      </c>
      <c r="L247" s="86">
        <f t="shared" si="49"/>
        <v>0.15277777777777776</v>
      </c>
      <c r="M247" s="221">
        <v>45</v>
      </c>
      <c r="N247" s="221">
        <v>45</v>
      </c>
      <c r="O247" s="221">
        <v>8</v>
      </c>
      <c r="P247" s="221">
        <v>150</v>
      </c>
      <c r="Q247" s="221">
        <v>0</v>
      </c>
      <c r="R247" s="104">
        <f t="shared" si="50"/>
        <v>1200</v>
      </c>
      <c r="S247" s="104">
        <v>1</v>
      </c>
      <c r="T247" s="104">
        <v>0.27</v>
      </c>
      <c r="U247" s="104">
        <v>1.4</v>
      </c>
      <c r="V247" s="219">
        <f t="shared" si="51"/>
        <v>1126.361952115516</v>
      </c>
      <c r="W247" s="106">
        <f t="shared" si="52"/>
        <v>7.5090796807701068</v>
      </c>
      <c r="X247" s="107">
        <f t="shared" si="53"/>
        <v>3341.25</v>
      </c>
      <c r="Y247" s="108">
        <f t="shared" si="54"/>
        <v>22.274999999999999</v>
      </c>
      <c r="Z247" s="88">
        <f t="shared" si="55"/>
        <v>26730</v>
      </c>
      <c r="AA247" s="88">
        <f t="shared" si="56"/>
        <v>4083.75</v>
      </c>
      <c r="AB247" s="88">
        <f t="shared" si="57"/>
        <v>43065</v>
      </c>
      <c r="AC247" s="109">
        <f t="shared" si="45"/>
        <v>3875.85</v>
      </c>
      <c r="AD247" s="109">
        <f t="shared" si="46"/>
        <v>1033.56</v>
      </c>
      <c r="AE247" s="109">
        <f t="shared" si="58"/>
        <v>8993.16</v>
      </c>
      <c r="AF247" s="73">
        <f t="shared" si="59"/>
        <v>59.9544</v>
      </c>
    </row>
    <row r="248" spans="1:32" x14ac:dyDescent="0.25">
      <c r="A248" s="102">
        <v>569</v>
      </c>
      <c r="B248" s="68" t="str">
        <f t="shared" si="47"/>
        <v>2.4, Peanut Plant &amp; Pre Rigid  8R-36</v>
      </c>
      <c r="C248" s="103">
        <v>2.4</v>
      </c>
      <c r="D248" s="68" t="s">
        <v>151</v>
      </c>
      <c r="E248" s="68" t="s">
        <v>278</v>
      </c>
      <c r="F248" s="68" t="s">
        <v>160</v>
      </c>
      <c r="G248" s="68" t="str">
        <f t="shared" si="48"/>
        <v>Peanut Plant &amp; Pre Rigid  8R-36</v>
      </c>
      <c r="H248" s="220">
        <v>56000</v>
      </c>
      <c r="I248" s="221">
        <v>24</v>
      </c>
      <c r="J248" s="221">
        <v>4.5</v>
      </c>
      <c r="K248" s="221">
        <v>60</v>
      </c>
      <c r="L248" s="86">
        <f t="shared" si="49"/>
        <v>0.12731481481481483</v>
      </c>
      <c r="M248" s="221">
        <v>45</v>
      </c>
      <c r="N248" s="221">
        <v>45</v>
      </c>
      <c r="O248" s="221">
        <v>8</v>
      </c>
      <c r="P248" s="221">
        <v>150</v>
      </c>
      <c r="Q248" s="221">
        <v>0</v>
      </c>
      <c r="R248" s="104">
        <f t="shared" si="50"/>
        <v>1200</v>
      </c>
      <c r="S248" s="104">
        <v>1</v>
      </c>
      <c r="T248" s="104">
        <v>0.27</v>
      </c>
      <c r="U248" s="104">
        <v>1.4</v>
      </c>
      <c r="V248" s="219">
        <f t="shared" si="51"/>
        <v>1061.8900558664798</v>
      </c>
      <c r="W248" s="106">
        <f t="shared" si="52"/>
        <v>7.0792670391098653</v>
      </c>
      <c r="X248" s="107">
        <f t="shared" si="53"/>
        <v>3150</v>
      </c>
      <c r="Y248" s="108">
        <f t="shared" si="54"/>
        <v>21</v>
      </c>
      <c r="Z248" s="88">
        <f t="shared" si="55"/>
        <v>25200</v>
      </c>
      <c r="AA248" s="88">
        <f t="shared" si="56"/>
        <v>3850</v>
      </c>
      <c r="AB248" s="88">
        <f t="shared" si="57"/>
        <v>40600</v>
      </c>
      <c r="AC248" s="109">
        <f t="shared" si="45"/>
        <v>3654</v>
      </c>
      <c r="AD248" s="109">
        <f t="shared" si="46"/>
        <v>974.4</v>
      </c>
      <c r="AE248" s="109">
        <f t="shared" si="58"/>
        <v>8478.4</v>
      </c>
      <c r="AF248" s="73">
        <f t="shared" si="59"/>
        <v>56.522666666666666</v>
      </c>
    </row>
    <row r="249" spans="1:32" x14ac:dyDescent="0.25">
      <c r="A249" s="102"/>
      <c r="B249" s="68" t="str">
        <f t="shared" si="47"/>
        <v>2.405, Peanut Plant &amp; Pre Twin 8R-36</v>
      </c>
      <c r="C249" s="103">
        <v>2.4049999999999998</v>
      </c>
      <c r="D249" s="68" t="s">
        <v>151</v>
      </c>
      <c r="E249" s="68" t="s">
        <v>279</v>
      </c>
      <c r="F249" s="68" t="s">
        <v>166</v>
      </c>
      <c r="G249" s="68" t="str">
        <f t="shared" si="48"/>
        <v>Peanut Plant &amp; Pre Twin 8R-36</v>
      </c>
      <c r="H249" s="220">
        <v>127000</v>
      </c>
      <c r="I249" s="221">
        <v>24</v>
      </c>
      <c r="J249" s="221">
        <v>4.5</v>
      </c>
      <c r="K249" s="221">
        <v>60</v>
      </c>
      <c r="L249" s="86">
        <f t="shared" si="49"/>
        <v>0.12731481481481483</v>
      </c>
      <c r="M249" s="221">
        <v>45</v>
      </c>
      <c r="N249" s="221">
        <v>45</v>
      </c>
      <c r="O249" s="221">
        <v>8</v>
      </c>
      <c r="P249" s="221">
        <v>150</v>
      </c>
      <c r="Q249" s="221">
        <v>0</v>
      </c>
      <c r="R249" s="104">
        <f t="shared" si="50"/>
        <v>1200</v>
      </c>
      <c r="S249" s="104">
        <v>1</v>
      </c>
      <c r="T249" s="104">
        <v>0.27</v>
      </c>
      <c r="U249" s="104">
        <v>1.4</v>
      </c>
      <c r="V249" s="219">
        <f t="shared" si="51"/>
        <v>2408.2149481257661</v>
      </c>
      <c r="W249" s="106">
        <f t="shared" si="52"/>
        <v>16.054766320838439</v>
      </c>
      <c r="X249" s="107">
        <f t="shared" si="53"/>
        <v>7143.75</v>
      </c>
      <c r="Y249" s="108">
        <f t="shared" si="54"/>
        <v>47.625</v>
      </c>
      <c r="Z249" s="88">
        <f t="shared" si="55"/>
        <v>57150</v>
      </c>
      <c r="AA249" s="88">
        <f t="shared" si="56"/>
        <v>8731.25</v>
      </c>
      <c r="AB249" s="88">
        <f t="shared" si="57"/>
        <v>92075</v>
      </c>
      <c r="AC249" s="109">
        <f t="shared" si="45"/>
        <v>8286.75</v>
      </c>
      <c r="AD249" s="109">
        <f t="shared" si="46"/>
        <v>2209.8000000000002</v>
      </c>
      <c r="AE249" s="109">
        <f t="shared" si="58"/>
        <v>19227.8</v>
      </c>
      <c r="AF249" s="73">
        <f t="shared" si="59"/>
        <v>128.18533333333332</v>
      </c>
    </row>
    <row r="250" spans="1:32" x14ac:dyDescent="0.25">
      <c r="A250" s="102">
        <v>165</v>
      </c>
      <c r="B250" s="68" t="str">
        <f t="shared" si="47"/>
        <v>2.41, Pipe Spool 160 ac 1/4m roll</v>
      </c>
      <c r="C250" s="103">
        <v>2.41</v>
      </c>
      <c r="D250" s="68" t="s">
        <v>151</v>
      </c>
      <c r="E250" s="68" t="s">
        <v>280</v>
      </c>
      <c r="F250" s="68" t="s">
        <v>281</v>
      </c>
      <c r="G250" s="68" t="str">
        <f t="shared" si="48"/>
        <v>Pipe Spool 160 ac 1/4m roll</v>
      </c>
      <c r="H250" s="110">
        <v>6480</v>
      </c>
      <c r="I250" s="221">
        <v>30</v>
      </c>
      <c r="J250" s="221">
        <v>4.5</v>
      </c>
      <c r="K250" s="221">
        <v>60</v>
      </c>
      <c r="L250" s="86">
        <f t="shared" si="49"/>
        <v>0.10185185185185185</v>
      </c>
      <c r="M250" s="221">
        <v>30</v>
      </c>
      <c r="N250" s="221">
        <v>10</v>
      </c>
      <c r="O250" s="221">
        <v>12</v>
      </c>
      <c r="P250" s="221">
        <v>15</v>
      </c>
      <c r="Q250" s="221">
        <v>0</v>
      </c>
      <c r="R250" s="104">
        <f t="shared" si="50"/>
        <v>180</v>
      </c>
      <c r="S250" s="104">
        <v>1</v>
      </c>
      <c r="T250" s="104">
        <v>0.27</v>
      </c>
      <c r="U250" s="104">
        <v>1.4</v>
      </c>
      <c r="V250" s="219">
        <f t="shared" si="51"/>
        <v>4.8917756702816906</v>
      </c>
      <c r="W250" s="106">
        <f t="shared" si="52"/>
        <v>0.32611837801877935</v>
      </c>
      <c r="X250" s="107">
        <f t="shared" si="53"/>
        <v>54</v>
      </c>
      <c r="Y250" s="108">
        <f t="shared" si="54"/>
        <v>3.6</v>
      </c>
      <c r="Z250" s="88">
        <f t="shared" si="55"/>
        <v>1944</v>
      </c>
      <c r="AA250" s="88">
        <f t="shared" si="56"/>
        <v>378</v>
      </c>
      <c r="AB250" s="88">
        <f t="shared" si="57"/>
        <v>4212</v>
      </c>
      <c r="AC250" s="109">
        <f t="shared" si="45"/>
        <v>379.08</v>
      </c>
      <c r="AD250" s="109">
        <f t="shared" si="46"/>
        <v>101.08800000000001</v>
      </c>
      <c r="AE250" s="109">
        <f t="shared" si="58"/>
        <v>858.16799999999989</v>
      </c>
      <c r="AF250" s="73">
        <f t="shared" si="59"/>
        <v>57.211199999999991</v>
      </c>
    </row>
    <row r="251" spans="1:32" x14ac:dyDescent="0.25">
      <c r="A251" s="102">
        <v>144</v>
      </c>
      <c r="B251" s="68" t="str">
        <f t="shared" si="47"/>
        <v>2.42, Pipe Trailer 1m/160a 30'</v>
      </c>
      <c r="C251" s="103">
        <v>2.42</v>
      </c>
      <c r="D251" s="68" t="s">
        <v>151</v>
      </c>
      <c r="E251" s="68" t="s">
        <v>282</v>
      </c>
      <c r="F251" s="68" t="s">
        <v>236</v>
      </c>
      <c r="G251" s="68" t="str">
        <f t="shared" si="48"/>
        <v>Pipe Trailer 1m/160a 30'</v>
      </c>
      <c r="H251" s="110">
        <v>2200</v>
      </c>
      <c r="I251" s="221">
        <v>30</v>
      </c>
      <c r="J251" s="221">
        <v>4.5</v>
      </c>
      <c r="K251" s="221">
        <v>60</v>
      </c>
      <c r="L251" s="86">
        <f t="shared" si="49"/>
        <v>0.10185185185185185</v>
      </c>
      <c r="M251" s="221">
        <v>25</v>
      </c>
      <c r="N251" s="221">
        <v>30</v>
      </c>
      <c r="O251" s="221">
        <v>15</v>
      </c>
      <c r="P251" s="221">
        <v>100</v>
      </c>
      <c r="Q251" s="221">
        <v>0</v>
      </c>
      <c r="R251" s="104">
        <f t="shared" si="50"/>
        <v>1500</v>
      </c>
      <c r="S251" s="104">
        <v>1</v>
      </c>
      <c r="T251" s="104">
        <v>0.27</v>
      </c>
      <c r="U251" s="104">
        <v>1.4</v>
      </c>
      <c r="V251" s="219">
        <f t="shared" si="51"/>
        <v>23.64756593087775</v>
      </c>
      <c r="W251" s="106">
        <f t="shared" si="52"/>
        <v>0.23647565930877751</v>
      </c>
      <c r="X251" s="107">
        <f t="shared" si="53"/>
        <v>44</v>
      </c>
      <c r="Y251" s="108">
        <f t="shared" si="54"/>
        <v>0.44</v>
      </c>
      <c r="Z251" s="88">
        <f t="shared" si="55"/>
        <v>550</v>
      </c>
      <c r="AA251" s="88">
        <f t="shared" si="56"/>
        <v>110</v>
      </c>
      <c r="AB251" s="88">
        <f t="shared" si="57"/>
        <v>1375</v>
      </c>
      <c r="AC251" s="109">
        <f t="shared" si="45"/>
        <v>123.75</v>
      </c>
      <c r="AD251" s="109">
        <f t="shared" si="46"/>
        <v>33</v>
      </c>
      <c r="AE251" s="109">
        <f t="shared" si="58"/>
        <v>266.75</v>
      </c>
      <c r="AF251" s="73">
        <f t="shared" si="59"/>
        <v>2.6675</v>
      </c>
    </row>
    <row r="252" spans="1:32" x14ac:dyDescent="0.25">
      <c r="A252" s="102">
        <v>332</v>
      </c>
      <c r="B252" s="68" t="str">
        <f t="shared" si="47"/>
        <v>2.43, Plant - Folding 12R-20</v>
      </c>
      <c r="C252" s="103">
        <v>2.4300000000000002</v>
      </c>
      <c r="D252" s="68" t="s">
        <v>151</v>
      </c>
      <c r="E252" s="68" t="s">
        <v>283</v>
      </c>
      <c r="F252" s="68" t="s">
        <v>259</v>
      </c>
      <c r="G252" s="68" t="str">
        <f t="shared" si="48"/>
        <v>Plant - Folding 12R-20</v>
      </c>
      <c r="H252" s="85">
        <v>65200</v>
      </c>
      <c r="I252" s="221">
        <v>20</v>
      </c>
      <c r="J252" s="221">
        <v>6.25</v>
      </c>
      <c r="K252" s="221">
        <v>70</v>
      </c>
      <c r="L252" s="86">
        <f t="shared" si="49"/>
        <v>9.4285714285714292E-2</v>
      </c>
      <c r="M252" s="221">
        <v>45</v>
      </c>
      <c r="N252" s="221">
        <v>45</v>
      </c>
      <c r="O252" s="221">
        <v>8</v>
      </c>
      <c r="P252" s="221">
        <v>150</v>
      </c>
      <c r="Q252" s="221">
        <v>0</v>
      </c>
      <c r="R252" s="104">
        <f t="shared" si="50"/>
        <v>1200</v>
      </c>
      <c r="S252" s="104">
        <v>1</v>
      </c>
      <c r="T252" s="104">
        <v>0.27</v>
      </c>
      <c r="U252" s="104">
        <v>1.4</v>
      </c>
      <c r="V252" s="219">
        <f t="shared" si="51"/>
        <v>1236.3434221874013</v>
      </c>
      <c r="W252" s="106">
        <f t="shared" si="52"/>
        <v>8.2422894812493421</v>
      </c>
      <c r="X252" s="107">
        <f t="shared" si="53"/>
        <v>3667.5</v>
      </c>
      <c r="Y252" s="108">
        <f t="shared" si="54"/>
        <v>24.45</v>
      </c>
      <c r="Z252" s="88">
        <f t="shared" si="55"/>
        <v>29340</v>
      </c>
      <c r="AA252" s="88">
        <f t="shared" si="56"/>
        <v>4482.5</v>
      </c>
      <c r="AB252" s="88">
        <f t="shared" si="57"/>
        <v>47270</v>
      </c>
      <c r="AC252" s="109">
        <f t="shared" si="45"/>
        <v>4254.3</v>
      </c>
      <c r="AD252" s="109">
        <f t="shared" si="46"/>
        <v>1134.48</v>
      </c>
      <c r="AE252" s="109">
        <f t="shared" si="58"/>
        <v>9871.2799999999988</v>
      </c>
      <c r="AF252" s="73">
        <f t="shared" si="59"/>
        <v>65.80853333333333</v>
      </c>
    </row>
    <row r="253" spans="1:32" x14ac:dyDescent="0.25">
      <c r="A253" s="102">
        <v>334</v>
      </c>
      <c r="B253" s="68" t="str">
        <f t="shared" si="47"/>
        <v>2.44, Plant - Folding  8R-36</v>
      </c>
      <c r="C253" s="103">
        <v>2.44</v>
      </c>
      <c r="D253" s="68" t="s">
        <v>151</v>
      </c>
      <c r="E253" s="68" t="s">
        <v>283</v>
      </c>
      <c r="F253" s="68" t="s">
        <v>160</v>
      </c>
      <c r="G253" s="68" t="str">
        <f t="shared" si="48"/>
        <v>Plant - Folding  8R-36</v>
      </c>
      <c r="H253" s="85">
        <v>72800</v>
      </c>
      <c r="I253" s="221">
        <v>24</v>
      </c>
      <c r="J253" s="221">
        <v>6.25</v>
      </c>
      <c r="K253" s="221">
        <v>70</v>
      </c>
      <c r="L253" s="86">
        <f t="shared" si="49"/>
        <v>7.857142857142857E-2</v>
      </c>
      <c r="M253" s="221">
        <v>45</v>
      </c>
      <c r="N253" s="221">
        <v>45</v>
      </c>
      <c r="O253" s="221">
        <v>8</v>
      </c>
      <c r="P253" s="221">
        <v>150</v>
      </c>
      <c r="Q253" s="221">
        <v>0</v>
      </c>
      <c r="R253" s="104">
        <f t="shared" si="50"/>
        <v>1200</v>
      </c>
      <c r="S253" s="104">
        <v>1</v>
      </c>
      <c r="T253" s="104">
        <v>0.27</v>
      </c>
      <c r="U253" s="104">
        <v>1.4</v>
      </c>
      <c r="V253" s="219">
        <f t="shared" si="51"/>
        <v>1380.4570726264235</v>
      </c>
      <c r="W253" s="106">
        <f t="shared" si="52"/>
        <v>9.2030471508428224</v>
      </c>
      <c r="X253" s="107">
        <f t="shared" si="53"/>
        <v>4095</v>
      </c>
      <c r="Y253" s="108">
        <f t="shared" si="54"/>
        <v>27.3</v>
      </c>
      <c r="Z253" s="88">
        <f t="shared" si="55"/>
        <v>32760</v>
      </c>
      <c r="AA253" s="88">
        <f t="shared" si="56"/>
        <v>5005</v>
      </c>
      <c r="AB253" s="88">
        <f t="shared" si="57"/>
        <v>52780</v>
      </c>
      <c r="AC253" s="109">
        <f t="shared" si="45"/>
        <v>4750.2</v>
      </c>
      <c r="AD253" s="109">
        <f t="shared" si="46"/>
        <v>1266.72</v>
      </c>
      <c r="AE253" s="109">
        <f t="shared" si="58"/>
        <v>11021.92</v>
      </c>
      <c r="AF253" s="73">
        <f t="shared" si="59"/>
        <v>73.479466666666667</v>
      </c>
    </row>
    <row r="254" spans="1:32" x14ac:dyDescent="0.25">
      <c r="A254" s="102">
        <v>353</v>
      </c>
      <c r="B254" s="68" t="str">
        <f t="shared" si="47"/>
        <v>2.45, Plant - Folding 23R-15</v>
      </c>
      <c r="C254" s="103">
        <v>2.4500000000000002</v>
      </c>
      <c r="D254" s="68" t="s">
        <v>151</v>
      </c>
      <c r="E254" s="68" t="s">
        <v>283</v>
      </c>
      <c r="F254" s="68" t="s">
        <v>260</v>
      </c>
      <c r="G254" s="68" t="str">
        <f t="shared" si="48"/>
        <v>Plant - Folding 23R-15</v>
      </c>
      <c r="H254" s="85">
        <v>184000</v>
      </c>
      <c r="I254" s="221">
        <v>28.8</v>
      </c>
      <c r="J254" s="221">
        <v>6.25</v>
      </c>
      <c r="K254" s="221">
        <v>70</v>
      </c>
      <c r="L254" s="86">
        <f t="shared" si="49"/>
        <v>6.5476190476190479E-2</v>
      </c>
      <c r="M254" s="221">
        <v>45</v>
      </c>
      <c r="N254" s="221">
        <v>45</v>
      </c>
      <c r="O254" s="221">
        <v>8</v>
      </c>
      <c r="P254" s="221">
        <v>150</v>
      </c>
      <c r="Q254" s="221">
        <v>0</v>
      </c>
      <c r="R254" s="104">
        <f t="shared" si="50"/>
        <v>1200</v>
      </c>
      <c r="S254" s="104">
        <v>1</v>
      </c>
      <c r="T254" s="104">
        <v>0.27</v>
      </c>
      <c r="U254" s="104">
        <v>1.4</v>
      </c>
      <c r="V254" s="219">
        <f t="shared" si="51"/>
        <v>3489.0673264184329</v>
      </c>
      <c r="W254" s="106">
        <f t="shared" si="52"/>
        <v>23.260448842789554</v>
      </c>
      <c r="X254" s="107">
        <f t="shared" si="53"/>
        <v>10350</v>
      </c>
      <c r="Y254" s="108">
        <f t="shared" si="54"/>
        <v>69</v>
      </c>
      <c r="Z254" s="88">
        <f t="shared" si="55"/>
        <v>82800</v>
      </c>
      <c r="AA254" s="88">
        <f t="shared" si="56"/>
        <v>12650</v>
      </c>
      <c r="AB254" s="88">
        <f t="shared" si="57"/>
        <v>133400</v>
      </c>
      <c r="AC254" s="109">
        <f t="shared" si="45"/>
        <v>12006</v>
      </c>
      <c r="AD254" s="109">
        <f t="shared" si="46"/>
        <v>3201.6</v>
      </c>
      <c r="AE254" s="109">
        <f t="shared" si="58"/>
        <v>27857.599999999999</v>
      </c>
      <c r="AF254" s="73">
        <f t="shared" si="59"/>
        <v>185.71733333333333</v>
      </c>
    </row>
    <row r="255" spans="1:32" x14ac:dyDescent="0.25">
      <c r="A255" s="102">
        <v>337</v>
      </c>
      <c r="B255" s="68" t="str">
        <f t="shared" si="47"/>
        <v>2.46, Plant - Folding 12R-30</v>
      </c>
      <c r="C255" s="103">
        <v>2.46</v>
      </c>
      <c r="D255" s="68" t="s">
        <v>151</v>
      </c>
      <c r="E255" s="68" t="s">
        <v>283</v>
      </c>
      <c r="F255" s="68" t="s">
        <v>156</v>
      </c>
      <c r="G255" s="68" t="str">
        <f t="shared" si="48"/>
        <v>Plant - Folding 12R-30</v>
      </c>
      <c r="H255" s="85">
        <v>87500</v>
      </c>
      <c r="I255" s="221">
        <v>30</v>
      </c>
      <c r="J255" s="221">
        <v>6.25</v>
      </c>
      <c r="K255" s="221">
        <v>70</v>
      </c>
      <c r="L255" s="86">
        <f t="shared" si="49"/>
        <v>6.2857142857142861E-2</v>
      </c>
      <c r="M255" s="221">
        <v>45</v>
      </c>
      <c r="N255" s="221">
        <v>45</v>
      </c>
      <c r="O255" s="221">
        <v>8</v>
      </c>
      <c r="P255" s="221">
        <v>150</v>
      </c>
      <c r="Q255" s="221">
        <v>0</v>
      </c>
      <c r="R255" s="104">
        <f t="shared" si="50"/>
        <v>1200</v>
      </c>
      <c r="S255" s="104">
        <v>1</v>
      </c>
      <c r="T255" s="104">
        <v>0.27</v>
      </c>
      <c r="U255" s="104">
        <v>1.4</v>
      </c>
      <c r="V255" s="219">
        <f t="shared" si="51"/>
        <v>1659.2032122913743</v>
      </c>
      <c r="W255" s="106">
        <f t="shared" si="52"/>
        <v>11.061354748609162</v>
      </c>
      <c r="X255" s="107">
        <f t="shared" si="53"/>
        <v>4921.875</v>
      </c>
      <c r="Y255" s="108">
        <f t="shared" si="54"/>
        <v>32.8125</v>
      </c>
      <c r="Z255" s="88">
        <f t="shared" si="55"/>
        <v>39375</v>
      </c>
      <c r="AA255" s="88">
        <f t="shared" si="56"/>
        <v>6015.625</v>
      </c>
      <c r="AB255" s="88">
        <f t="shared" si="57"/>
        <v>63437.5</v>
      </c>
      <c r="AC255" s="109">
        <f t="shared" si="45"/>
        <v>5709.375</v>
      </c>
      <c r="AD255" s="109">
        <f t="shared" si="46"/>
        <v>1522.5</v>
      </c>
      <c r="AE255" s="109">
        <f t="shared" si="58"/>
        <v>13247.5</v>
      </c>
      <c r="AF255" s="73">
        <f t="shared" si="59"/>
        <v>88.316666666666663</v>
      </c>
    </row>
    <row r="256" spans="1:32" x14ac:dyDescent="0.25">
      <c r="A256" s="102">
        <v>546</v>
      </c>
      <c r="B256" s="68" t="str">
        <f t="shared" si="47"/>
        <v>2.47, Plant - Folding 24R-15</v>
      </c>
      <c r="C256" s="103">
        <v>2.4700000000000002</v>
      </c>
      <c r="D256" s="68" t="s">
        <v>151</v>
      </c>
      <c r="E256" s="68" t="s">
        <v>283</v>
      </c>
      <c r="F256" s="68" t="s">
        <v>261</v>
      </c>
      <c r="G256" s="68" t="str">
        <f t="shared" si="48"/>
        <v>Plant - Folding 24R-15</v>
      </c>
      <c r="H256" s="85">
        <v>158000</v>
      </c>
      <c r="I256" s="221">
        <v>30</v>
      </c>
      <c r="J256" s="221">
        <v>6.25</v>
      </c>
      <c r="K256" s="221">
        <v>70</v>
      </c>
      <c r="L256" s="86">
        <f t="shared" si="49"/>
        <v>6.2857142857142861E-2</v>
      </c>
      <c r="M256" s="221">
        <v>45</v>
      </c>
      <c r="N256" s="221">
        <v>45</v>
      </c>
      <c r="O256" s="221">
        <v>8</v>
      </c>
      <c r="P256" s="221">
        <v>150</v>
      </c>
      <c r="Q256" s="221">
        <v>0</v>
      </c>
      <c r="R256" s="104">
        <f t="shared" si="50"/>
        <v>1200</v>
      </c>
      <c r="S256" s="104">
        <v>1</v>
      </c>
      <c r="T256" s="104">
        <v>0.27</v>
      </c>
      <c r="U256" s="104">
        <v>1.4</v>
      </c>
      <c r="V256" s="219">
        <f t="shared" si="51"/>
        <v>2996.0469433375674</v>
      </c>
      <c r="W256" s="106">
        <f t="shared" si="52"/>
        <v>19.973646288917116</v>
      </c>
      <c r="X256" s="107">
        <f t="shared" si="53"/>
        <v>8887.5</v>
      </c>
      <c r="Y256" s="108">
        <f t="shared" si="54"/>
        <v>59.25</v>
      </c>
      <c r="Z256" s="88">
        <f t="shared" si="55"/>
        <v>71100</v>
      </c>
      <c r="AA256" s="88">
        <f t="shared" si="56"/>
        <v>10862.5</v>
      </c>
      <c r="AB256" s="88">
        <f t="shared" si="57"/>
        <v>114550</v>
      </c>
      <c r="AC256" s="109">
        <f t="shared" si="45"/>
        <v>10309.5</v>
      </c>
      <c r="AD256" s="109">
        <f t="shared" si="46"/>
        <v>2749.2000000000003</v>
      </c>
      <c r="AE256" s="109">
        <f t="shared" si="58"/>
        <v>23921.200000000001</v>
      </c>
      <c r="AF256" s="73">
        <f t="shared" si="59"/>
        <v>159.47466666666668</v>
      </c>
    </row>
    <row r="257" spans="1:32" x14ac:dyDescent="0.25">
      <c r="A257" s="102">
        <v>333</v>
      </c>
      <c r="B257" s="68" t="str">
        <f t="shared" si="47"/>
        <v>2.48, Plant - Folding  8R-36 2x1</v>
      </c>
      <c r="C257" s="103">
        <v>2.48</v>
      </c>
      <c r="D257" s="68" t="s">
        <v>151</v>
      </c>
      <c r="E257" s="68" t="s">
        <v>283</v>
      </c>
      <c r="F257" s="68" t="s">
        <v>157</v>
      </c>
      <c r="G257" s="68" t="str">
        <f t="shared" si="48"/>
        <v>Plant - Folding  8R-36 2x1</v>
      </c>
      <c r="H257" s="85">
        <v>100000</v>
      </c>
      <c r="I257" s="221">
        <v>36</v>
      </c>
      <c r="J257" s="221">
        <v>6.25</v>
      </c>
      <c r="K257" s="221">
        <v>70</v>
      </c>
      <c r="L257" s="86">
        <f t="shared" si="49"/>
        <v>5.2380952380952382E-2</v>
      </c>
      <c r="M257" s="221">
        <v>45</v>
      </c>
      <c r="N257" s="221">
        <v>45</v>
      </c>
      <c r="O257" s="221">
        <v>8</v>
      </c>
      <c r="P257" s="221">
        <v>150</v>
      </c>
      <c r="Q257" s="221">
        <v>0</v>
      </c>
      <c r="R257" s="104">
        <f t="shared" si="50"/>
        <v>1200</v>
      </c>
      <c r="S257" s="104">
        <v>1</v>
      </c>
      <c r="T257" s="104">
        <v>0.27</v>
      </c>
      <c r="U257" s="104">
        <v>1.4</v>
      </c>
      <c r="V257" s="219">
        <f t="shared" si="51"/>
        <v>1896.2322426187136</v>
      </c>
      <c r="W257" s="106">
        <f t="shared" si="52"/>
        <v>12.641548284124758</v>
      </c>
      <c r="X257" s="107">
        <f t="shared" si="53"/>
        <v>5625</v>
      </c>
      <c r="Y257" s="108">
        <f t="shared" si="54"/>
        <v>37.5</v>
      </c>
      <c r="Z257" s="88">
        <f t="shared" si="55"/>
        <v>45000</v>
      </c>
      <c r="AA257" s="88">
        <f t="shared" si="56"/>
        <v>6875</v>
      </c>
      <c r="AB257" s="88">
        <f t="shared" si="57"/>
        <v>72500</v>
      </c>
      <c r="AC257" s="109">
        <f t="shared" si="45"/>
        <v>6525</v>
      </c>
      <c r="AD257" s="109">
        <f t="shared" si="46"/>
        <v>1740</v>
      </c>
      <c r="AE257" s="109">
        <f t="shared" si="58"/>
        <v>15140</v>
      </c>
      <c r="AF257" s="73">
        <f t="shared" si="59"/>
        <v>100.93333333333334</v>
      </c>
    </row>
    <row r="258" spans="1:32" x14ac:dyDescent="0.25">
      <c r="A258" s="102">
        <v>260</v>
      </c>
      <c r="B258" s="68" t="str">
        <f t="shared" si="47"/>
        <v>2.49, Plant - Folding 12R-36</v>
      </c>
      <c r="C258" s="103">
        <v>2.4900000000000002</v>
      </c>
      <c r="D258" s="68" t="s">
        <v>151</v>
      </c>
      <c r="E258" s="68" t="s">
        <v>283</v>
      </c>
      <c r="F258" s="68" t="s">
        <v>158</v>
      </c>
      <c r="G258" s="68" t="str">
        <f t="shared" si="48"/>
        <v>Plant - Folding 12R-36</v>
      </c>
      <c r="H258" s="85">
        <v>100000</v>
      </c>
      <c r="I258" s="221">
        <v>36</v>
      </c>
      <c r="J258" s="221">
        <v>6.25</v>
      </c>
      <c r="K258" s="221">
        <v>70</v>
      </c>
      <c r="L258" s="86">
        <f t="shared" si="49"/>
        <v>5.2380952380952382E-2</v>
      </c>
      <c r="M258" s="221">
        <v>45</v>
      </c>
      <c r="N258" s="221">
        <v>45</v>
      </c>
      <c r="O258" s="221">
        <v>8</v>
      </c>
      <c r="P258" s="221">
        <v>150</v>
      </c>
      <c r="Q258" s="221">
        <v>0</v>
      </c>
      <c r="R258" s="104">
        <f t="shared" si="50"/>
        <v>1200</v>
      </c>
      <c r="S258" s="104">
        <v>1</v>
      </c>
      <c r="T258" s="104">
        <v>0.27</v>
      </c>
      <c r="U258" s="104">
        <v>1.4</v>
      </c>
      <c r="V258" s="219">
        <f t="shared" si="51"/>
        <v>1896.2322426187136</v>
      </c>
      <c r="W258" s="106">
        <f t="shared" si="52"/>
        <v>12.641548284124758</v>
      </c>
      <c r="X258" s="107">
        <f t="shared" si="53"/>
        <v>5625</v>
      </c>
      <c r="Y258" s="108">
        <f t="shared" si="54"/>
        <v>37.5</v>
      </c>
      <c r="Z258" s="88">
        <f t="shared" si="55"/>
        <v>45000</v>
      </c>
      <c r="AA258" s="88">
        <f t="shared" si="56"/>
        <v>6875</v>
      </c>
      <c r="AB258" s="88">
        <f t="shared" si="57"/>
        <v>72500</v>
      </c>
      <c r="AC258" s="109">
        <f t="shared" si="45"/>
        <v>6525</v>
      </c>
      <c r="AD258" s="109">
        <f t="shared" si="46"/>
        <v>1740</v>
      </c>
      <c r="AE258" s="109">
        <f t="shared" si="58"/>
        <v>15140</v>
      </c>
      <c r="AF258" s="73">
        <f t="shared" si="59"/>
        <v>100.93333333333334</v>
      </c>
    </row>
    <row r="259" spans="1:32" x14ac:dyDescent="0.25">
      <c r="A259" s="102">
        <v>550</v>
      </c>
      <c r="B259" s="68" t="str">
        <f t="shared" si="47"/>
        <v>2.5, Plant - Folding 31R-15</v>
      </c>
      <c r="C259" s="103">
        <v>2.5</v>
      </c>
      <c r="D259" s="68" t="s">
        <v>151</v>
      </c>
      <c r="E259" s="68" t="s">
        <v>283</v>
      </c>
      <c r="F259" s="68" t="s">
        <v>262</v>
      </c>
      <c r="G259" s="68" t="str">
        <f t="shared" si="48"/>
        <v>Plant - Folding 31R-15</v>
      </c>
      <c r="H259" s="85">
        <v>225000</v>
      </c>
      <c r="I259" s="221">
        <v>38.700000000000003</v>
      </c>
      <c r="J259" s="221">
        <v>6.25</v>
      </c>
      <c r="K259" s="221">
        <v>70</v>
      </c>
      <c r="L259" s="86">
        <f t="shared" si="49"/>
        <v>4.8726467331118482E-2</v>
      </c>
      <c r="M259" s="221">
        <v>45</v>
      </c>
      <c r="N259" s="221">
        <v>45</v>
      </c>
      <c r="O259" s="221">
        <v>8</v>
      </c>
      <c r="P259" s="221">
        <v>150</v>
      </c>
      <c r="Q259" s="221">
        <v>0</v>
      </c>
      <c r="R259" s="104">
        <f t="shared" si="50"/>
        <v>1200</v>
      </c>
      <c r="S259" s="104">
        <v>1</v>
      </c>
      <c r="T259" s="104">
        <v>0.27</v>
      </c>
      <c r="U259" s="104">
        <v>1.4</v>
      </c>
      <c r="V259" s="219">
        <f t="shared" si="51"/>
        <v>4266.5225458921059</v>
      </c>
      <c r="W259" s="106">
        <f t="shared" si="52"/>
        <v>28.443483639280707</v>
      </c>
      <c r="X259" s="107">
        <f t="shared" si="53"/>
        <v>12656.25</v>
      </c>
      <c r="Y259" s="108">
        <f t="shared" si="54"/>
        <v>84.375</v>
      </c>
      <c r="Z259" s="88">
        <f t="shared" si="55"/>
        <v>101250</v>
      </c>
      <c r="AA259" s="88">
        <f t="shared" si="56"/>
        <v>15468.75</v>
      </c>
      <c r="AB259" s="88">
        <f t="shared" si="57"/>
        <v>163125</v>
      </c>
      <c r="AC259" s="109">
        <f t="shared" si="45"/>
        <v>14681.25</v>
      </c>
      <c r="AD259" s="109">
        <f t="shared" si="46"/>
        <v>3915</v>
      </c>
      <c r="AE259" s="109">
        <f t="shared" si="58"/>
        <v>34065</v>
      </c>
      <c r="AF259" s="73">
        <f t="shared" si="59"/>
        <v>227.1</v>
      </c>
    </row>
    <row r="260" spans="1:32" x14ac:dyDescent="0.25">
      <c r="A260" s="102">
        <v>338</v>
      </c>
      <c r="B260" s="68" t="str">
        <f t="shared" si="47"/>
        <v>2.51, Plant - Folding 16R-30</v>
      </c>
      <c r="C260" s="103">
        <v>2.5099999999999998</v>
      </c>
      <c r="D260" s="68" t="s">
        <v>151</v>
      </c>
      <c r="E260" s="68" t="s">
        <v>283</v>
      </c>
      <c r="F260" s="68" t="s">
        <v>167</v>
      </c>
      <c r="G260" s="68" t="str">
        <f t="shared" si="48"/>
        <v>Plant - Folding 16R-30</v>
      </c>
      <c r="H260" s="85">
        <v>190000</v>
      </c>
      <c r="I260" s="221">
        <v>40</v>
      </c>
      <c r="J260" s="221">
        <v>6.25</v>
      </c>
      <c r="K260" s="221">
        <v>70</v>
      </c>
      <c r="L260" s="86">
        <f t="shared" si="49"/>
        <v>4.7142857142857146E-2</v>
      </c>
      <c r="M260" s="221">
        <v>45</v>
      </c>
      <c r="N260" s="221">
        <v>45</v>
      </c>
      <c r="O260" s="221">
        <v>8</v>
      </c>
      <c r="P260" s="221">
        <v>150</v>
      </c>
      <c r="Q260" s="221">
        <v>0</v>
      </c>
      <c r="R260" s="104">
        <f t="shared" si="50"/>
        <v>1200</v>
      </c>
      <c r="S260" s="104">
        <v>1</v>
      </c>
      <c r="T260" s="104">
        <v>0.27</v>
      </c>
      <c r="U260" s="104">
        <v>1.4</v>
      </c>
      <c r="V260" s="219">
        <f t="shared" si="51"/>
        <v>3602.8412609755555</v>
      </c>
      <c r="W260" s="106">
        <f t="shared" si="52"/>
        <v>24.018941739837036</v>
      </c>
      <c r="X260" s="107">
        <f t="shared" si="53"/>
        <v>10687.5</v>
      </c>
      <c r="Y260" s="108">
        <f t="shared" si="54"/>
        <v>71.25</v>
      </c>
      <c r="Z260" s="88">
        <f t="shared" si="55"/>
        <v>85500</v>
      </c>
      <c r="AA260" s="88">
        <f t="shared" si="56"/>
        <v>13062.5</v>
      </c>
      <c r="AB260" s="88">
        <f t="shared" si="57"/>
        <v>137750</v>
      </c>
      <c r="AC260" s="109">
        <f t="shared" si="45"/>
        <v>12397.5</v>
      </c>
      <c r="AD260" s="109">
        <f t="shared" si="46"/>
        <v>3306</v>
      </c>
      <c r="AE260" s="109">
        <f t="shared" si="58"/>
        <v>28766</v>
      </c>
      <c r="AF260" s="73">
        <f t="shared" si="59"/>
        <v>191.77333333333334</v>
      </c>
    </row>
    <row r="261" spans="1:32" x14ac:dyDescent="0.25">
      <c r="A261" s="102">
        <v>339</v>
      </c>
      <c r="B261" s="68" t="str">
        <f t="shared" si="47"/>
        <v>2.52, Plant - Folding 24R-20</v>
      </c>
      <c r="C261" s="103">
        <v>2.52</v>
      </c>
      <c r="D261" s="68" t="s">
        <v>151</v>
      </c>
      <c r="E261" s="68" t="s">
        <v>283</v>
      </c>
      <c r="F261" s="68" t="s">
        <v>263</v>
      </c>
      <c r="G261" s="68" t="str">
        <f t="shared" si="48"/>
        <v>Plant - Folding 24R-20</v>
      </c>
      <c r="H261" s="85">
        <v>234000</v>
      </c>
      <c r="I261" s="221">
        <v>40</v>
      </c>
      <c r="J261" s="221">
        <v>6.25</v>
      </c>
      <c r="K261" s="221">
        <v>70</v>
      </c>
      <c r="L261" s="86">
        <f t="shared" si="49"/>
        <v>4.7142857142857146E-2</v>
      </c>
      <c r="M261" s="221">
        <v>45</v>
      </c>
      <c r="N261" s="221">
        <v>45</v>
      </c>
      <c r="O261" s="221">
        <v>8</v>
      </c>
      <c r="P261" s="221">
        <v>150</v>
      </c>
      <c r="Q261" s="221">
        <v>0</v>
      </c>
      <c r="R261" s="104">
        <f t="shared" si="50"/>
        <v>1200</v>
      </c>
      <c r="S261" s="104">
        <v>1</v>
      </c>
      <c r="T261" s="104">
        <v>0.27</v>
      </c>
      <c r="U261" s="104">
        <v>1.4</v>
      </c>
      <c r="V261" s="219">
        <f t="shared" si="51"/>
        <v>4437.1834477277898</v>
      </c>
      <c r="W261" s="106">
        <f t="shared" si="52"/>
        <v>29.581222984851934</v>
      </c>
      <c r="X261" s="107">
        <f t="shared" si="53"/>
        <v>13162.5</v>
      </c>
      <c r="Y261" s="108">
        <f t="shared" si="54"/>
        <v>87.75</v>
      </c>
      <c r="Z261" s="88">
        <f t="shared" si="55"/>
        <v>105300</v>
      </c>
      <c r="AA261" s="88">
        <f t="shared" si="56"/>
        <v>16087.5</v>
      </c>
      <c r="AB261" s="88">
        <f t="shared" si="57"/>
        <v>169650</v>
      </c>
      <c r="AC261" s="109">
        <f t="shared" ref="AC261:AC324" si="60">AB261*intir</f>
        <v>15268.5</v>
      </c>
      <c r="AD261" s="109">
        <f t="shared" ref="AD261:AD324" si="61">AB261*itr</f>
        <v>4071.6</v>
      </c>
      <c r="AE261" s="109">
        <f t="shared" si="58"/>
        <v>35427.599999999999</v>
      </c>
      <c r="AF261" s="73">
        <f t="shared" si="59"/>
        <v>236.184</v>
      </c>
    </row>
    <row r="262" spans="1:32" x14ac:dyDescent="0.25">
      <c r="A262" s="102">
        <v>606</v>
      </c>
      <c r="B262" s="68" t="str">
        <f t="shared" si="47"/>
        <v>2.53, Plant - Folding 32R-15</v>
      </c>
      <c r="C262" s="103">
        <v>2.5299999999999998</v>
      </c>
      <c r="D262" s="68" t="s">
        <v>151</v>
      </c>
      <c r="E262" s="68" t="s">
        <v>283</v>
      </c>
      <c r="F262" s="68" t="s">
        <v>264</v>
      </c>
      <c r="G262" s="68" t="str">
        <f t="shared" si="48"/>
        <v>Plant - Folding 32R-15</v>
      </c>
      <c r="H262" s="85">
        <v>229000</v>
      </c>
      <c r="I262" s="221">
        <v>40</v>
      </c>
      <c r="J262" s="221">
        <v>6.25</v>
      </c>
      <c r="K262" s="221">
        <v>70</v>
      </c>
      <c r="L262" s="86">
        <f t="shared" si="49"/>
        <v>4.7142857142857146E-2</v>
      </c>
      <c r="M262" s="221">
        <v>45</v>
      </c>
      <c r="N262" s="221">
        <v>45</v>
      </c>
      <c r="O262" s="221">
        <v>8</v>
      </c>
      <c r="P262" s="221">
        <v>150</v>
      </c>
      <c r="Q262" s="221">
        <v>0</v>
      </c>
      <c r="R262" s="104">
        <f t="shared" si="50"/>
        <v>1200</v>
      </c>
      <c r="S262" s="104">
        <v>1</v>
      </c>
      <c r="T262" s="104">
        <v>0.27</v>
      </c>
      <c r="U262" s="104">
        <v>1.4</v>
      </c>
      <c r="V262" s="219">
        <f t="shared" si="51"/>
        <v>4342.371835596854</v>
      </c>
      <c r="W262" s="106">
        <f t="shared" si="52"/>
        <v>28.949145570645694</v>
      </c>
      <c r="X262" s="107">
        <f t="shared" si="53"/>
        <v>12881.25</v>
      </c>
      <c r="Y262" s="108">
        <f t="shared" si="54"/>
        <v>85.875</v>
      </c>
      <c r="Z262" s="88">
        <f t="shared" si="55"/>
        <v>103050</v>
      </c>
      <c r="AA262" s="88">
        <f t="shared" si="56"/>
        <v>15743.75</v>
      </c>
      <c r="AB262" s="88">
        <f t="shared" si="57"/>
        <v>166025</v>
      </c>
      <c r="AC262" s="109">
        <f t="shared" si="60"/>
        <v>14942.25</v>
      </c>
      <c r="AD262" s="109">
        <f t="shared" si="61"/>
        <v>3984.6</v>
      </c>
      <c r="AE262" s="109">
        <f t="shared" si="58"/>
        <v>34670.6</v>
      </c>
      <c r="AF262" s="73">
        <f t="shared" si="59"/>
        <v>231.13733333333332</v>
      </c>
    </row>
    <row r="263" spans="1:32" x14ac:dyDescent="0.25">
      <c r="A263" s="102">
        <v>340</v>
      </c>
      <c r="B263" s="68" t="str">
        <f t="shared" si="47"/>
        <v>2.54, Plant - Folding 24R-30</v>
      </c>
      <c r="C263" s="103">
        <v>2.54</v>
      </c>
      <c r="D263" s="68" t="s">
        <v>151</v>
      </c>
      <c r="E263" s="68" t="s">
        <v>283</v>
      </c>
      <c r="F263" s="68" t="s">
        <v>265</v>
      </c>
      <c r="G263" s="68" t="str">
        <f t="shared" si="48"/>
        <v>Plant - Folding 24R-30</v>
      </c>
      <c r="H263" s="85">
        <v>184000</v>
      </c>
      <c r="I263" s="221">
        <v>60</v>
      </c>
      <c r="J263" s="221">
        <v>6.25</v>
      </c>
      <c r="K263" s="221">
        <v>70</v>
      </c>
      <c r="L263" s="86">
        <f t="shared" si="49"/>
        <v>3.1428571428571431E-2</v>
      </c>
      <c r="M263" s="221">
        <v>45</v>
      </c>
      <c r="N263" s="221">
        <v>45</v>
      </c>
      <c r="O263" s="221">
        <v>8</v>
      </c>
      <c r="P263" s="221">
        <v>150</v>
      </c>
      <c r="Q263" s="221">
        <v>0</v>
      </c>
      <c r="R263" s="104">
        <f t="shared" si="50"/>
        <v>1200</v>
      </c>
      <c r="S263" s="104">
        <v>1</v>
      </c>
      <c r="T263" s="104">
        <v>0.27</v>
      </c>
      <c r="U263" s="104">
        <v>1.4</v>
      </c>
      <c r="V263" s="219">
        <f t="shared" si="51"/>
        <v>3489.0673264184329</v>
      </c>
      <c r="W263" s="106">
        <f t="shared" si="52"/>
        <v>23.260448842789554</v>
      </c>
      <c r="X263" s="107">
        <f t="shared" si="53"/>
        <v>10350</v>
      </c>
      <c r="Y263" s="108">
        <f t="shared" si="54"/>
        <v>69</v>
      </c>
      <c r="Z263" s="88">
        <f t="shared" si="55"/>
        <v>82800</v>
      </c>
      <c r="AA263" s="88">
        <f t="shared" si="56"/>
        <v>12650</v>
      </c>
      <c r="AB263" s="88">
        <f t="shared" si="57"/>
        <v>133400</v>
      </c>
      <c r="AC263" s="109">
        <f t="shared" si="60"/>
        <v>12006</v>
      </c>
      <c r="AD263" s="109">
        <f t="shared" si="61"/>
        <v>3201.6</v>
      </c>
      <c r="AE263" s="109">
        <f t="shared" si="58"/>
        <v>27857.599999999999</v>
      </c>
      <c r="AF263" s="73">
        <f t="shared" si="59"/>
        <v>185.71733333333333</v>
      </c>
    </row>
    <row r="264" spans="1:32" x14ac:dyDescent="0.25">
      <c r="A264" s="102">
        <v>647</v>
      </c>
      <c r="B264" s="68" t="str">
        <f t="shared" si="47"/>
        <v>2.55, Plant - Folding 36R-20</v>
      </c>
      <c r="C264" s="103">
        <v>2.5499999999999998</v>
      </c>
      <c r="D264" s="68" t="s">
        <v>151</v>
      </c>
      <c r="E264" s="68" t="s">
        <v>283</v>
      </c>
      <c r="F264" s="68" t="s">
        <v>266</v>
      </c>
      <c r="G264" s="68" t="str">
        <f t="shared" si="48"/>
        <v>Plant - Folding 36R-20</v>
      </c>
      <c r="H264" s="85">
        <v>202000</v>
      </c>
      <c r="I264" s="221">
        <v>60</v>
      </c>
      <c r="J264" s="221">
        <v>6.25</v>
      </c>
      <c r="K264" s="221">
        <v>70</v>
      </c>
      <c r="L264" s="86">
        <f t="shared" si="49"/>
        <v>3.1428571428571431E-2</v>
      </c>
      <c r="M264" s="221">
        <v>45</v>
      </c>
      <c r="N264" s="221">
        <v>45</v>
      </c>
      <c r="O264" s="221">
        <v>8</v>
      </c>
      <c r="P264" s="221">
        <v>150</v>
      </c>
      <c r="Q264" s="221">
        <v>0</v>
      </c>
      <c r="R264" s="104">
        <f t="shared" si="50"/>
        <v>1200</v>
      </c>
      <c r="S264" s="104">
        <v>1</v>
      </c>
      <c r="T264" s="104">
        <v>0.27</v>
      </c>
      <c r="U264" s="104">
        <v>1.4</v>
      </c>
      <c r="V264" s="219">
        <f t="shared" si="51"/>
        <v>3830.3891300898013</v>
      </c>
      <c r="W264" s="106">
        <f t="shared" si="52"/>
        <v>25.535927533932007</v>
      </c>
      <c r="X264" s="107">
        <f t="shared" si="53"/>
        <v>11362.5</v>
      </c>
      <c r="Y264" s="108">
        <f t="shared" si="54"/>
        <v>75.75</v>
      </c>
      <c r="Z264" s="88">
        <f t="shared" si="55"/>
        <v>90900</v>
      </c>
      <c r="AA264" s="88">
        <f t="shared" si="56"/>
        <v>13887.5</v>
      </c>
      <c r="AB264" s="88">
        <f t="shared" si="57"/>
        <v>146450</v>
      </c>
      <c r="AC264" s="109">
        <f t="shared" si="60"/>
        <v>13180.5</v>
      </c>
      <c r="AD264" s="109">
        <f t="shared" si="61"/>
        <v>3514.8</v>
      </c>
      <c r="AE264" s="109">
        <f t="shared" si="58"/>
        <v>30582.799999999999</v>
      </c>
      <c r="AF264" s="73">
        <f t="shared" si="59"/>
        <v>203.88533333333334</v>
      </c>
    </row>
    <row r="265" spans="1:32" x14ac:dyDescent="0.25">
      <c r="A265" s="102">
        <v>330</v>
      </c>
      <c r="B265" s="68" t="str">
        <f t="shared" si="47"/>
        <v>2.56, Plant - Rigid  4R-30</v>
      </c>
      <c r="C265" s="103">
        <v>2.56</v>
      </c>
      <c r="D265" s="68" t="s">
        <v>151</v>
      </c>
      <c r="E265" s="68" t="s">
        <v>284</v>
      </c>
      <c r="F265" s="68" t="s">
        <v>172</v>
      </c>
      <c r="G265" s="68" t="str">
        <f t="shared" si="48"/>
        <v>Plant - Rigid  4R-30</v>
      </c>
      <c r="H265" s="85">
        <v>33400</v>
      </c>
      <c r="I265" s="221">
        <v>10</v>
      </c>
      <c r="J265" s="221">
        <v>6.25</v>
      </c>
      <c r="K265" s="221">
        <v>70</v>
      </c>
      <c r="L265" s="86">
        <f t="shared" si="49"/>
        <v>0.18857142857142858</v>
      </c>
      <c r="M265" s="221">
        <v>45</v>
      </c>
      <c r="N265" s="221">
        <v>45</v>
      </c>
      <c r="O265" s="221">
        <v>8</v>
      </c>
      <c r="P265" s="221">
        <v>150</v>
      </c>
      <c r="Q265" s="221">
        <v>0</v>
      </c>
      <c r="R265" s="104">
        <f t="shared" si="50"/>
        <v>1200</v>
      </c>
      <c r="S265" s="104">
        <v>1</v>
      </c>
      <c r="T265" s="104">
        <v>0.27</v>
      </c>
      <c r="U265" s="104">
        <v>1.4</v>
      </c>
      <c r="V265" s="219">
        <f t="shared" si="51"/>
        <v>633.34156903465032</v>
      </c>
      <c r="W265" s="106">
        <f t="shared" si="52"/>
        <v>4.2222771268976684</v>
      </c>
      <c r="X265" s="107">
        <f t="shared" si="53"/>
        <v>1878.75</v>
      </c>
      <c r="Y265" s="108">
        <f t="shared" si="54"/>
        <v>12.525</v>
      </c>
      <c r="Z265" s="88">
        <f t="shared" si="55"/>
        <v>15030</v>
      </c>
      <c r="AA265" s="88">
        <f t="shared" si="56"/>
        <v>2296.25</v>
      </c>
      <c r="AB265" s="88">
        <f t="shared" si="57"/>
        <v>24215</v>
      </c>
      <c r="AC265" s="109">
        <f t="shared" si="60"/>
        <v>2179.35</v>
      </c>
      <c r="AD265" s="109">
        <f t="shared" si="61"/>
        <v>581.16</v>
      </c>
      <c r="AE265" s="109">
        <f t="shared" si="58"/>
        <v>5056.76</v>
      </c>
      <c r="AF265" s="73">
        <f t="shared" si="59"/>
        <v>33.711733333333335</v>
      </c>
    </row>
    <row r="266" spans="1:32" x14ac:dyDescent="0.25">
      <c r="A266" s="102">
        <v>145</v>
      </c>
      <c r="B266" s="68" t="str">
        <f t="shared" ref="B266:B329" si="62">CONCATENATE(C266,D266,E266,F266)</f>
        <v>2.57, Plant - Rigid  4R-36</v>
      </c>
      <c r="C266" s="103">
        <v>2.57</v>
      </c>
      <c r="D266" s="68" t="s">
        <v>151</v>
      </c>
      <c r="E266" s="68" t="s">
        <v>284</v>
      </c>
      <c r="F266" s="68" t="s">
        <v>153</v>
      </c>
      <c r="G266" s="68" t="str">
        <f t="shared" ref="G266:G329" si="63">CONCATENATE(E266,F266)</f>
        <v>Plant - Rigid  4R-36</v>
      </c>
      <c r="H266" s="85">
        <v>28200</v>
      </c>
      <c r="I266" s="221">
        <v>12</v>
      </c>
      <c r="J266" s="221">
        <v>6.25</v>
      </c>
      <c r="K266" s="221">
        <v>70</v>
      </c>
      <c r="L266" s="86">
        <f t="shared" ref="L266:L329" si="64">1/((I266*J266*K266/100*5280)/43560)</f>
        <v>0.15714285714285714</v>
      </c>
      <c r="M266" s="221">
        <v>45</v>
      </c>
      <c r="N266" s="221">
        <v>45</v>
      </c>
      <c r="O266" s="221">
        <v>8</v>
      </c>
      <c r="P266" s="221">
        <v>150</v>
      </c>
      <c r="Q266" s="221">
        <v>0</v>
      </c>
      <c r="R266" s="104">
        <f t="shared" ref="R266:R329" si="65">P266*O266</f>
        <v>1200</v>
      </c>
      <c r="S266" s="104">
        <v>1</v>
      </c>
      <c r="T266" s="104">
        <v>0.27</v>
      </c>
      <c r="U266" s="104">
        <v>1.4</v>
      </c>
      <c r="V266" s="219">
        <f t="shared" ref="V266:V329" si="66">(T266*H266)*((S266*P266/1000)^U266)</f>
        <v>534.73749241847725</v>
      </c>
      <c r="W266" s="106">
        <f t="shared" ref="W266:W329" si="67">V266/P266</f>
        <v>3.5649166161231816</v>
      </c>
      <c r="X266" s="107">
        <f t="shared" ref="X266:X329" si="68">(H266*N266/100)/O266</f>
        <v>1586.25</v>
      </c>
      <c r="Y266" s="108">
        <f t="shared" ref="Y266:Y329" si="69">X266/P266</f>
        <v>10.574999999999999</v>
      </c>
      <c r="Z266" s="88">
        <f t="shared" ref="Z266:Z329" si="70">H266*M266/100</f>
        <v>12690</v>
      </c>
      <c r="AA266" s="88">
        <f t="shared" ref="AA266:AA329" si="71">(H266-Z266)/O266</f>
        <v>1938.75</v>
      </c>
      <c r="AB266" s="88">
        <f t="shared" ref="AB266:AB329" si="72">(Z266+H266)/2</f>
        <v>20445</v>
      </c>
      <c r="AC266" s="109">
        <f t="shared" si="60"/>
        <v>1840.05</v>
      </c>
      <c r="AD266" s="109">
        <f t="shared" si="61"/>
        <v>490.68</v>
      </c>
      <c r="AE266" s="109">
        <f t="shared" ref="AE266:AE329" si="73">AA266+AC266+AD266</f>
        <v>4269.4800000000005</v>
      </c>
      <c r="AF266" s="73">
        <f t="shared" ref="AF266:AF329" si="74">AE266/P266</f>
        <v>28.463200000000004</v>
      </c>
    </row>
    <row r="267" spans="1:32" x14ac:dyDescent="0.25">
      <c r="A267" s="102">
        <v>529</v>
      </c>
      <c r="B267" s="68" t="str">
        <f t="shared" si="62"/>
        <v>2.58, Plant - Rigid 11R-15</v>
      </c>
      <c r="C267" s="103">
        <v>2.58</v>
      </c>
      <c r="D267" s="68" t="s">
        <v>151</v>
      </c>
      <c r="E267" s="68" t="s">
        <v>284</v>
      </c>
      <c r="F267" s="68" t="s">
        <v>268</v>
      </c>
      <c r="G267" s="68" t="str">
        <f t="shared" si="63"/>
        <v>Plant - Rigid 11R-15</v>
      </c>
      <c r="H267" s="85">
        <v>53800</v>
      </c>
      <c r="I267" s="221">
        <v>13.7</v>
      </c>
      <c r="J267" s="221">
        <v>6.25</v>
      </c>
      <c r="K267" s="221">
        <v>70</v>
      </c>
      <c r="L267" s="86">
        <f t="shared" si="64"/>
        <v>0.13764337851929093</v>
      </c>
      <c r="M267" s="221">
        <v>45</v>
      </c>
      <c r="N267" s="221">
        <v>45</v>
      </c>
      <c r="O267" s="221">
        <v>8</v>
      </c>
      <c r="P267" s="221">
        <v>150</v>
      </c>
      <c r="Q267" s="221">
        <v>0</v>
      </c>
      <c r="R267" s="104">
        <f t="shared" si="65"/>
        <v>1200</v>
      </c>
      <c r="S267" s="104">
        <v>1</v>
      </c>
      <c r="T267" s="104">
        <v>0.27</v>
      </c>
      <c r="U267" s="104">
        <v>1.4</v>
      </c>
      <c r="V267" s="219">
        <f t="shared" si="66"/>
        <v>1020.172946528868</v>
      </c>
      <c r="W267" s="106">
        <f t="shared" si="67"/>
        <v>6.8011529768591199</v>
      </c>
      <c r="X267" s="107">
        <f t="shared" si="68"/>
        <v>3026.25</v>
      </c>
      <c r="Y267" s="108">
        <f t="shared" si="69"/>
        <v>20.175000000000001</v>
      </c>
      <c r="Z267" s="88">
        <f t="shared" si="70"/>
        <v>24210</v>
      </c>
      <c r="AA267" s="88">
        <f t="shared" si="71"/>
        <v>3698.75</v>
      </c>
      <c r="AB267" s="88">
        <f t="shared" si="72"/>
        <v>39005</v>
      </c>
      <c r="AC267" s="109">
        <f t="shared" si="60"/>
        <v>3510.45</v>
      </c>
      <c r="AD267" s="109">
        <f t="shared" si="61"/>
        <v>936.12</v>
      </c>
      <c r="AE267" s="109">
        <f t="shared" si="73"/>
        <v>8145.32</v>
      </c>
      <c r="AF267" s="73">
        <f t="shared" si="74"/>
        <v>54.30213333333333</v>
      </c>
    </row>
    <row r="268" spans="1:32" x14ac:dyDescent="0.25">
      <c r="A268" s="102">
        <v>146</v>
      </c>
      <c r="B268" s="68" t="str">
        <f t="shared" si="62"/>
        <v>2.59, Plant - Rigid  6R-30</v>
      </c>
      <c r="C268" s="103">
        <v>2.59</v>
      </c>
      <c r="D268" s="68" t="s">
        <v>151</v>
      </c>
      <c r="E268" s="68" t="s">
        <v>284</v>
      </c>
      <c r="F268" s="68" t="s">
        <v>213</v>
      </c>
      <c r="G268" s="68" t="str">
        <f t="shared" si="63"/>
        <v>Plant - Rigid  6R-30</v>
      </c>
      <c r="H268" s="85">
        <v>40400</v>
      </c>
      <c r="I268" s="221">
        <v>15</v>
      </c>
      <c r="J268" s="221">
        <v>6.25</v>
      </c>
      <c r="K268" s="221">
        <v>70</v>
      </c>
      <c r="L268" s="86">
        <f t="shared" si="64"/>
        <v>0.12571428571428572</v>
      </c>
      <c r="M268" s="221">
        <v>45</v>
      </c>
      <c r="N268" s="221">
        <v>45</v>
      </c>
      <c r="O268" s="221">
        <v>8</v>
      </c>
      <c r="P268" s="221">
        <v>150</v>
      </c>
      <c r="Q268" s="221">
        <v>0</v>
      </c>
      <c r="R268" s="104">
        <f t="shared" si="65"/>
        <v>1200</v>
      </c>
      <c r="S268" s="104">
        <v>1</v>
      </c>
      <c r="T268" s="104">
        <v>0.27</v>
      </c>
      <c r="U268" s="104">
        <v>1.4</v>
      </c>
      <c r="V268" s="219">
        <f t="shared" si="66"/>
        <v>766.07782601796021</v>
      </c>
      <c r="W268" s="106">
        <f t="shared" si="67"/>
        <v>5.1071855067864016</v>
      </c>
      <c r="X268" s="107">
        <f t="shared" si="68"/>
        <v>2272.5</v>
      </c>
      <c r="Y268" s="108">
        <f t="shared" si="69"/>
        <v>15.15</v>
      </c>
      <c r="Z268" s="88">
        <f t="shared" si="70"/>
        <v>18180</v>
      </c>
      <c r="AA268" s="88">
        <f t="shared" si="71"/>
        <v>2777.5</v>
      </c>
      <c r="AB268" s="88">
        <f t="shared" si="72"/>
        <v>29290</v>
      </c>
      <c r="AC268" s="109">
        <f t="shared" si="60"/>
        <v>2636.1</v>
      </c>
      <c r="AD268" s="109">
        <f t="shared" si="61"/>
        <v>702.96</v>
      </c>
      <c r="AE268" s="109">
        <f t="shared" si="73"/>
        <v>6116.56</v>
      </c>
      <c r="AF268" s="73">
        <f t="shared" si="74"/>
        <v>40.77706666666667</v>
      </c>
    </row>
    <row r="269" spans="1:32" x14ac:dyDescent="0.25">
      <c r="A269" s="102">
        <v>147</v>
      </c>
      <c r="B269" s="68" t="str">
        <f t="shared" si="62"/>
        <v>2.6, Plant - Rigid  6R-36</v>
      </c>
      <c r="C269" s="103">
        <v>2.6</v>
      </c>
      <c r="D269" s="68" t="s">
        <v>151</v>
      </c>
      <c r="E269" s="68" t="s">
        <v>284</v>
      </c>
      <c r="F269" s="68" t="s">
        <v>154</v>
      </c>
      <c r="G269" s="68" t="str">
        <f t="shared" si="63"/>
        <v>Plant - Rigid  6R-36</v>
      </c>
      <c r="H269" s="85">
        <v>35900</v>
      </c>
      <c r="I269" s="221">
        <v>18</v>
      </c>
      <c r="J269" s="221">
        <v>6.25</v>
      </c>
      <c r="K269" s="221">
        <v>70</v>
      </c>
      <c r="L269" s="86">
        <f t="shared" si="64"/>
        <v>0.10476190476190476</v>
      </c>
      <c r="M269" s="221">
        <v>45</v>
      </c>
      <c r="N269" s="221">
        <v>45</v>
      </c>
      <c r="O269" s="221">
        <v>8</v>
      </c>
      <c r="P269" s="221">
        <v>150</v>
      </c>
      <c r="Q269" s="221">
        <v>0</v>
      </c>
      <c r="R269" s="104">
        <f t="shared" si="65"/>
        <v>1200</v>
      </c>
      <c r="S269" s="104">
        <v>1</v>
      </c>
      <c r="T269" s="104">
        <v>0.27</v>
      </c>
      <c r="U269" s="104">
        <v>1.4</v>
      </c>
      <c r="V269" s="219">
        <f t="shared" si="66"/>
        <v>680.74737510011812</v>
      </c>
      <c r="W269" s="106">
        <f t="shared" si="67"/>
        <v>4.5383158340007874</v>
      </c>
      <c r="X269" s="107">
        <f t="shared" si="68"/>
        <v>2019.375</v>
      </c>
      <c r="Y269" s="108">
        <f t="shared" si="69"/>
        <v>13.4625</v>
      </c>
      <c r="Z269" s="88">
        <f t="shared" si="70"/>
        <v>16155</v>
      </c>
      <c r="AA269" s="88">
        <f t="shared" si="71"/>
        <v>2468.125</v>
      </c>
      <c r="AB269" s="88">
        <f t="shared" si="72"/>
        <v>26027.5</v>
      </c>
      <c r="AC269" s="109">
        <f t="shared" si="60"/>
        <v>2342.4749999999999</v>
      </c>
      <c r="AD269" s="109">
        <f t="shared" si="61"/>
        <v>624.66</v>
      </c>
      <c r="AE269" s="109">
        <f t="shared" si="73"/>
        <v>5435.26</v>
      </c>
      <c r="AF269" s="73">
        <f t="shared" si="74"/>
        <v>36.235066666666668</v>
      </c>
    </row>
    <row r="270" spans="1:32" x14ac:dyDescent="0.25">
      <c r="A270" s="102">
        <v>534</v>
      </c>
      <c r="B270" s="68" t="str">
        <f t="shared" si="62"/>
        <v>2.61, Plant - Rigid 11R-20</v>
      </c>
      <c r="C270" s="103">
        <v>2.61</v>
      </c>
      <c r="D270" s="68" t="s">
        <v>151</v>
      </c>
      <c r="E270" s="68" t="s">
        <v>284</v>
      </c>
      <c r="F270" s="68" t="s">
        <v>269</v>
      </c>
      <c r="G270" s="68" t="str">
        <f t="shared" si="63"/>
        <v>Plant - Rigid 11R-20</v>
      </c>
      <c r="H270" s="85">
        <v>58500</v>
      </c>
      <c r="I270" s="221">
        <v>18.3</v>
      </c>
      <c r="J270" s="221">
        <v>6.25</v>
      </c>
      <c r="K270" s="221">
        <v>70</v>
      </c>
      <c r="L270" s="86">
        <f t="shared" si="64"/>
        <v>0.10304449648711943</v>
      </c>
      <c r="M270" s="221">
        <v>45</v>
      </c>
      <c r="N270" s="221">
        <v>45</v>
      </c>
      <c r="O270" s="221">
        <v>8</v>
      </c>
      <c r="P270" s="221">
        <v>150</v>
      </c>
      <c r="Q270" s="221">
        <v>0</v>
      </c>
      <c r="R270" s="104">
        <f t="shared" si="65"/>
        <v>1200</v>
      </c>
      <c r="S270" s="104">
        <v>1</v>
      </c>
      <c r="T270" s="104">
        <v>0.27</v>
      </c>
      <c r="U270" s="104">
        <v>1.4</v>
      </c>
      <c r="V270" s="219">
        <f t="shared" si="66"/>
        <v>1109.2958619319475</v>
      </c>
      <c r="W270" s="106">
        <f t="shared" si="67"/>
        <v>7.3953057462129834</v>
      </c>
      <c r="X270" s="107">
        <f t="shared" si="68"/>
        <v>3290.625</v>
      </c>
      <c r="Y270" s="108">
        <f t="shared" si="69"/>
        <v>21.9375</v>
      </c>
      <c r="Z270" s="88">
        <f t="shared" si="70"/>
        <v>26325</v>
      </c>
      <c r="AA270" s="88">
        <f t="shared" si="71"/>
        <v>4021.875</v>
      </c>
      <c r="AB270" s="88">
        <f t="shared" si="72"/>
        <v>42412.5</v>
      </c>
      <c r="AC270" s="109">
        <f t="shared" si="60"/>
        <v>3817.125</v>
      </c>
      <c r="AD270" s="109">
        <f t="shared" si="61"/>
        <v>1017.9</v>
      </c>
      <c r="AE270" s="109">
        <f t="shared" si="73"/>
        <v>8856.9</v>
      </c>
      <c r="AF270" s="73">
        <f t="shared" si="74"/>
        <v>59.045999999999999</v>
      </c>
    </row>
    <row r="271" spans="1:32" x14ac:dyDescent="0.25">
      <c r="A271" s="102">
        <v>149</v>
      </c>
      <c r="B271" s="68" t="str">
        <f t="shared" si="62"/>
        <v>2.62, Plant - Rigid  8R-30</v>
      </c>
      <c r="C271" s="103">
        <v>2.62</v>
      </c>
      <c r="D271" s="68" t="s">
        <v>151</v>
      </c>
      <c r="E271" s="68" t="s">
        <v>284</v>
      </c>
      <c r="F271" s="68" t="s">
        <v>155</v>
      </c>
      <c r="G271" s="68" t="str">
        <f t="shared" si="63"/>
        <v>Plant - Rigid  8R-30</v>
      </c>
      <c r="H271" s="85">
        <v>53600</v>
      </c>
      <c r="I271" s="221">
        <v>20</v>
      </c>
      <c r="J271" s="221">
        <v>6.25</v>
      </c>
      <c r="K271" s="221">
        <v>70</v>
      </c>
      <c r="L271" s="86">
        <f t="shared" si="64"/>
        <v>9.4285714285714292E-2</v>
      </c>
      <c r="M271" s="221">
        <v>45</v>
      </c>
      <c r="N271" s="221">
        <v>45</v>
      </c>
      <c r="O271" s="221">
        <v>8</v>
      </c>
      <c r="P271" s="221">
        <v>150</v>
      </c>
      <c r="Q271" s="221">
        <v>0</v>
      </c>
      <c r="R271" s="104">
        <f t="shared" si="65"/>
        <v>1200</v>
      </c>
      <c r="S271" s="104">
        <v>1</v>
      </c>
      <c r="T271" s="104">
        <v>0.27</v>
      </c>
      <c r="U271" s="104">
        <v>1.4</v>
      </c>
      <c r="V271" s="219">
        <f t="shared" si="66"/>
        <v>1016.3804820436305</v>
      </c>
      <c r="W271" s="106">
        <f t="shared" si="67"/>
        <v>6.7758698802908706</v>
      </c>
      <c r="X271" s="107">
        <f t="shared" si="68"/>
        <v>3015</v>
      </c>
      <c r="Y271" s="108">
        <f t="shared" si="69"/>
        <v>20.100000000000001</v>
      </c>
      <c r="Z271" s="88">
        <f t="shared" si="70"/>
        <v>24120</v>
      </c>
      <c r="AA271" s="88">
        <f t="shared" si="71"/>
        <v>3685</v>
      </c>
      <c r="AB271" s="88">
        <f t="shared" si="72"/>
        <v>38860</v>
      </c>
      <c r="AC271" s="109">
        <f t="shared" si="60"/>
        <v>3497.4</v>
      </c>
      <c r="AD271" s="109">
        <f t="shared" si="61"/>
        <v>932.64</v>
      </c>
      <c r="AE271" s="109">
        <f t="shared" si="73"/>
        <v>8115.04</v>
      </c>
      <c r="AF271" s="73">
        <f t="shared" si="74"/>
        <v>54.10026666666667</v>
      </c>
    </row>
    <row r="272" spans="1:32" x14ac:dyDescent="0.25">
      <c r="A272" s="102">
        <v>153</v>
      </c>
      <c r="B272" s="68" t="str">
        <f t="shared" si="62"/>
        <v>2.63, Plant - Rigid 12R-20</v>
      </c>
      <c r="C272" s="103">
        <v>2.63</v>
      </c>
      <c r="D272" s="68" t="s">
        <v>151</v>
      </c>
      <c r="E272" s="68" t="s">
        <v>284</v>
      </c>
      <c r="F272" s="68" t="s">
        <v>259</v>
      </c>
      <c r="G272" s="68" t="str">
        <f t="shared" si="63"/>
        <v>Plant - Rigid 12R-20</v>
      </c>
      <c r="H272" s="85">
        <v>62500</v>
      </c>
      <c r="I272" s="221">
        <v>20</v>
      </c>
      <c r="J272" s="221">
        <v>6.25</v>
      </c>
      <c r="K272" s="221">
        <v>70</v>
      </c>
      <c r="L272" s="86">
        <f t="shared" si="64"/>
        <v>9.4285714285714292E-2</v>
      </c>
      <c r="M272" s="221">
        <v>45</v>
      </c>
      <c r="N272" s="221">
        <v>45</v>
      </c>
      <c r="O272" s="221">
        <v>8</v>
      </c>
      <c r="P272" s="221">
        <v>150</v>
      </c>
      <c r="Q272" s="221">
        <v>0</v>
      </c>
      <c r="R272" s="104">
        <f t="shared" si="65"/>
        <v>1200</v>
      </c>
      <c r="S272" s="104">
        <v>1</v>
      </c>
      <c r="T272" s="104">
        <v>0.27</v>
      </c>
      <c r="U272" s="104">
        <v>1.4</v>
      </c>
      <c r="V272" s="219">
        <f t="shared" si="66"/>
        <v>1185.145151636696</v>
      </c>
      <c r="W272" s="106">
        <f t="shared" si="67"/>
        <v>7.9009676775779738</v>
      </c>
      <c r="X272" s="107">
        <f t="shared" si="68"/>
        <v>3515.625</v>
      </c>
      <c r="Y272" s="108">
        <f t="shared" si="69"/>
        <v>23.4375</v>
      </c>
      <c r="Z272" s="88">
        <f t="shared" si="70"/>
        <v>28125</v>
      </c>
      <c r="AA272" s="88">
        <f t="shared" si="71"/>
        <v>4296.875</v>
      </c>
      <c r="AB272" s="88">
        <f t="shared" si="72"/>
        <v>45312.5</v>
      </c>
      <c r="AC272" s="109">
        <f t="shared" si="60"/>
        <v>4078.125</v>
      </c>
      <c r="AD272" s="109">
        <f t="shared" si="61"/>
        <v>1087.5</v>
      </c>
      <c r="AE272" s="109">
        <f t="shared" si="73"/>
        <v>9462.5</v>
      </c>
      <c r="AF272" s="73">
        <f t="shared" si="74"/>
        <v>63.083333333333336</v>
      </c>
    </row>
    <row r="273" spans="1:32" x14ac:dyDescent="0.25">
      <c r="A273" s="102">
        <v>507</v>
      </c>
      <c r="B273" s="68" t="str">
        <f t="shared" si="62"/>
        <v>2.64, Plant - Rigid 15R-15</v>
      </c>
      <c r="C273" s="103">
        <v>2.64</v>
      </c>
      <c r="D273" s="68" t="s">
        <v>151</v>
      </c>
      <c r="E273" s="68" t="s">
        <v>284</v>
      </c>
      <c r="F273" s="68" t="s">
        <v>270</v>
      </c>
      <c r="G273" s="68" t="str">
        <f t="shared" si="63"/>
        <v>Plant - Rigid 15R-15</v>
      </c>
      <c r="H273" s="85">
        <v>73300</v>
      </c>
      <c r="I273" s="221">
        <v>20</v>
      </c>
      <c r="J273" s="221">
        <v>6.25</v>
      </c>
      <c r="K273" s="221">
        <v>70</v>
      </c>
      <c r="L273" s="86">
        <f t="shared" si="64"/>
        <v>9.4285714285714292E-2</v>
      </c>
      <c r="M273" s="221">
        <v>45</v>
      </c>
      <c r="N273" s="221">
        <v>45</v>
      </c>
      <c r="O273" s="221">
        <v>8</v>
      </c>
      <c r="P273" s="221">
        <v>150</v>
      </c>
      <c r="Q273" s="221">
        <v>0</v>
      </c>
      <c r="R273" s="104">
        <f t="shared" si="65"/>
        <v>1200</v>
      </c>
      <c r="S273" s="104">
        <v>1</v>
      </c>
      <c r="T273" s="104">
        <v>0.27</v>
      </c>
      <c r="U273" s="104">
        <v>1.4</v>
      </c>
      <c r="V273" s="219">
        <f t="shared" si="66"/>
        <v>1389.9382338395169</v>
      </c>
      <c r="W273" s="106">
        <f t="shared" si="67"/>
        <v>9.2662548922634453</v>
      </c>
      <c r="X273" s="107">
        <f t="shared" si="68"/>
        <v>4123.125</v>
      </c>
      <c r="Y273" s="108">
        <f t="shared" si="69"/>
        <v>27.487500000000001</v>
      </c>
      <c r="Z273" s="88">
        <f t="shared" si="70"/>
        <v>32985</v>
      </c>
      <c r="AA273" s="88">
        <f t="shared" si="71"/>
        <v>5039.375</v>
      </c>
      <c r="AB273" s="88">
        <f t="shared" si="72"/>
        <v>53142.5</v>
      </c>
      <c r="AC273" s="109">
        <f t="shared" si="60"/>
        <v>4782.8249999999998</v>
      </c>
      <c r="AD273" s="109">
        <f t="shared" si="61"/>
        <v>1275.42</v>
      </c>
      <c r="AE273" s="109">
        <f t="shared" si="73"/>
        <v>11097.62</v>
      </c>
      <c r="AF273" s="73">
        <f t="shared" si="74"/>
        <v>73.984133333333332</v>
      </c>
    </row>
    <row r="274" spans="1:32" x14ac:dyDescent="0.25">
      <c r="A274" s="102">
        <v>649</v>
      </c>
      <c r="B274" s="68" t="str">
        <f t="shared" si="62"/>
        <v>2.65, Plant - Rigid 13R-18/20</v>
      </c>
      <c r="C274" s="103">
        <v>2.65</v>
      </c>
      <c r="D274" s="68" t="s">
        <v>151</v>
      </c>
      <c r="E274" s="68" t="s">
        <v>284</v>
      </c>
      <c r="F274" s="68" t="s">
        <v>271</v>
      </c>
      <c r="G274" s="68" t="str">
        <f t="shared" si="63"/>
        <v>Plant - Rigid 13R-18/20</v>
      </c>
      <c r="H274" s="85">
        <v>50000</v>
      </c>
      <c r="I274" s="221">
        <v>21.7</v>
      </c>
      <c r="J274" s="221">
        <v>6.25</v>
      </c>
      <c r="K274" s="221">
        <v>70</v>
      </c>
      <c r="L274" s="86">
        <f t="shared" si="64"/>
        <v>8.6899275839368004E-2</v>
      </c>
      <c r="M274" s="221">
        <v>45</v>
      </c>
      <c r="N274" s="221">
        <v>45</v>
      </c>
      <c r="O274" s="221">
        <v>8</v>
      </c>
      <c r="P274" s="221">
        <v>150</v>
      </c>
      <c r="Q274" s="221">
        <v>0</v>
      </c>
      <c r="R274" s="104">
        <f t="shared" si="65"/>
        <v>1200</v>
      </c>
      <c r="S274" s="104">
        <v>1</v>
      </c>
      <c r="T274" s="104">
        <v>0.27</v>
      </c>
      <c r="U274" s="104">
        <v>1.4</v>
      </c>
      <c r="V274" s="219">
        <f t="shared" si="66"/>
        <v>948.1161213093568</v>
      </c>
      <c r="W274" s="106">
        <f t="shared" si="67"/>
        <v>6.3207741420623789</v>
      </c>
      <c r="X274" s="107">
        <f t="shared" si="68"/>
        <v>2812.5</v>
      </c>
      <c r="Y274" s="108">
        <f t="shared" si="69"/>
        <v>18.75</v>
      </c>
      <c r="Z274" s="88">
        <f t="shared" si="70"/>
        <v>22500</v>
      </c>
      <c r="AA274" s="88">
        <f t="shared" si="71"/>
        <v>3437.5</v>
      </c>
      <c r="AB274" s="88">
        <f t="shared" si="72"/>
        <v>36250</v>
      </c>
      <c r="AC274" s="109">
        <f t="shared" si="60"/>
        <v>3262.5</v>
      </c>
      <c r="AD274" s="109">
        <f t="shared" si="61"/>
        <v>870</v>
      </c>
      <c r="AE274" s="109">
        <f t="shared" si="73"/>
        <v>7570</v>
      </c>
      <c r="AF274" s="73">
        <f t="shared" si="74"/>
        <v>50.466666666666669</v>
      </c>
    </row>
    <row r="275" spans="1:32" x14ac:dyDescent="0.25">
      <c r="A275" s="102">
        <v>150</v>
      </c>
      <c r="B275" s="68" t="str">
        <f t="shared" si="62"/>
        <v>2.66, Plant - Rigid  8R-36</v>
      </c>
      <c r="C275" s="103">
        <v>2.66</v>
      </c>
      <c r="D275" s="68" t="s">
        <v>151</v>
      </c>
      <c r="E275" s="68" t="s">
        <v>284</v>
      </c>
      <c r="F275" s="68" t="s">
        <v>160</v>
      </c>
      <c r="G275" s="68" t="str">
        <f t="shared" si="63"/>
        <v>Plant - Rigid  8R-36</v>
      </c>
      <c r="H275" s="85">
        <v>50200</v>
      </c>
      <c r="I275" s="221">
        <v>24</v>
      </c>
      <c r="J275" s="221">
        <v>6.25</v>
      </c>
      <c r="K275" s="221">
        <v>70</v>
      </c>
      <c r="L275" s="86">
        <f t="shared" si="64"/>
        <v>7.857142857142857E-2</v>
      </c>
      <c r="M275" s="221">
        <v>45</v>
      </c>
      <c r="N275" s="221">
        <v>45</v>
      </c>
      <c r="O275" s="221">
        <v>8</v>
      </c>
      <c r="P275" s="221">
        <v>150</v>
      </c>
      <c r="Q275" s="221">
        <v>0</v>
      </c>
      <c r="R275" s="104">
        <f t="shared" si="65"/>
        <v>1200</v>
      </c>
      <c r="S275" s="104">
        <v>1</v>
      </c>
      <c r="T275" s="104">
        <v>0.27</v>
      </c>
      <c r="U275" s="104">
        <v>1.4</v>
      </c>
      <c r="V275" s="219">
        <f t="shared" si="66"/>
        <v>951.90858579459416</v>
      </c>
      <c r="W275" s="106">
        <f t="shared" si="67"/>
        <v>6.3460572386306273</v>
      </c>
      <c r="X275" s="107">
        <f t="shared" si="68"/>
        <v>2823.75</v>
      </c>
      <c r="Y275" s="108">
        <f t="shared" si="69"/>
        <v>18.824999999999999</v>
      </c>
      <c r="Z275" s="88">
        <f t="shared" si="70"/>
        <v>22590</v>
      </c>
      <c r="AA275" s="88">
        <f t="shared" si="71"/>
        <v>3451.25</v>
      </c>
      <c r="AB275" s="88">
        <f t="shared" si="72"/>
        <v>36395</v>
      </c>
      <c r="AC275" s="109">
        <f t="shared" si="60"/>
        <v>3275.5499999999997</v>
      </c>
      <c r="AD275" s="109">
        <f t="shared" si="61"/>
        <v>873.48</v>
      </c>
      <c r="AE275" s="109">
        <f t="shared" si="73"/>
        <v>7600.2799999999988</v>
      </c>
      <c r="AF275" s="73">
        <f t="shared" si="74"/>
        <v>50.668533333333329</v>
      </c>
    </row>
    <row r="276" spans="1:32" x14ac:dyDescent="0.25">
      <c r="A276" s="102">
        <v>151</v>
      </c>
      <c r="B276" s="68" t="str">
        <f t="shared" si="62"/>
        <v>2.67, Plant - Rigid 10R-30</v>
      </c>
      <c r="C276" s="103">
        <v>2.67</v>
      </c>
      <c r="D276" s="68" t="s">
        <v>151</v>
      </c>
      <c r="E276" s="68" t="s">
        <v>284</v>
      </c>
      <c r="F276" s="68" t="s">
        <v>170</v>
      </c>
      <c r="G276" s="68" t="str">
        <f t="shared" si="63"/>
        <v>Plant - Rigid 10R-30</v>
      </c>
      <c r="H276" s="85">
        <v>47800</v>
      </c>
      <c r="I276" s="221">
        <v>25</v>
      </c>
      <c r="J276" s="221">
        <v>6.25</v>
      </c>
      <c r="K276" s="221">
        <v>70</v>
      </c>
      <c r="L276" s="86">
        <f t="shared" si="64"/>
        <v>7.5428571428571428E-2</v>
      </c>
      <c r="M276" s="221">
        <v>45</v>
      </c>
      <c r="N276" s="221">
        <v>45</v>
      </c>
      <c r="O276" s="221">
        <v>8</v>
      </c>
      <c r="P276" s="221">
        <v>150</v>
      </c>
      <c r="Q276" s="221">
        <v>0</v>
      </c>
      <c r="R276" s="104">
        <f t="shared" si="65"/>
        <v>1200</v>
      </c>
      <c r="S276" s="104">
        <v>1</v>
      </c>
      <c r="T276" s="104">
        <v>0.27</v>
      </c>
      <c r="U276" s="104">
        <v>1.4</v>
      </c>
      <c r="V276" s="219">
        <f t="shared" si="66"/>
        <v>906.39901197174504</v>
      </c>
      <c r="W276" s="106">
        <f t="shared" si="67"/>
        <v>6.0426600798116334</v>
      </c>
      <c r="X276" s="107">
        <f t="shared" si="68"/>
        <v>2688.75</v>
      </c>
      <c r="Y276" s="108">
        <f t="shared" si="69"/>
        <v>17.925000000000001</v>
      </c>
      <c r="Z276" s="88">
        <f t="shared" si="70"/>
        <v>21510</v>
      </c>
      <c r="AA276" s="88">
        <f t="shared" si="71"/>
        <v>3286.25</v>
      </c>
      <c r="AB276" s="88">
        <f t="shared" si="72"/>
        <v>34655</v>
      </c>
      <c r="AC276" s="109">
        <f t="shared" si="60"/>
        <v>3118.95</v>
      </c>
      <c r="AD276" s="109">
        <f t="shared" si="61"/>
        <v>831.72</v>
      </c>
      <c r="AE276" s="109">
        <f t="shared" si="73"/>
        <v>7236.92</v>
      </c>
      <c r="AF276" s="73">
        <f t="shared" si="74"/>
        <v>48.246133333333333</v>
      </c>
    </row>
    <row r="277" spans="1:32" x14ac:dyDescent="0.25">
      <c r="A277" s="102">
        <v>336</v>
      </c>
      <c r="B277" s="68" t="str">
        <f t="shared" si="62"/>
        <v>2.68, Plant - Rigid 12R-30</v>
      </c>
      <c r="C277" s="103">
        <v>2.68</v>
      </c>
      <c r="D277" s="68" t="s">
        <v>151</v>
      </c>
      <c r="E277" s="68" t="s">
        <v>284</v>
      </c>
      <c r="F277" s="68" t="s">
        <v>156</v>
      </c>
      <c r="G277" s="68" t="str">
        <f t="shared" si="63"/>
        <v>Plant - Rigid 12R-30</v>
      </c>
      <c r="H277" s="85">
        <v>77800</v>
      </c>
      <c r="I277" s="221">
        <v>30</v>
      </c>
      <c r="J277" s="221">
        <v>6.25</v>
      </c>
      <c r="K277" s="221">
        <v>70</v>
      </c>
      <c r="L277" s="86">
        <f t="shared" si="64"/>
        <v>6.2857142857142861E-2</v>
      </c>
      <c r="M277" s="221">
        <v>45</v>
      </c>
      <c r="N277" s="221">
        <v>45</v>
      </c>
      <c r="O277" s="221">
        <v>8</v>
      </c>
      <c r="P277" s="221">
        <v>150</v>
      </c>
      <c r="Q277" s="221">
        <v>0</v>
      </c>
      <c r="R277" s="104">
        <f t="shared" si="65"/>
        <v>1200</v>
      </c>
      <c r="S277" s="104">
        <v>1</v>
      </c>
      <c r="T277" s="104">
        <v>0.27</v>
      </c>
      <c r="U277" s="104">
        <v>1.4</v>
      </c>
      <c r="V277" s="219">
        <f t="shared" si="66"/>
        <v>1475.2686847573591</v>
      </c>
      <c r="W277" s="106">
        <f t="shared" si="67"/>
        <v>9.8351245650490604</v>
      </c>
      <c r="X277" s="107">
        <f t="shared" si="68"/>
        <v>4376.25</v>
      </c>
      <c r="Y277" s="108">
        <f t="shared" si="69"/>
        <v>29.175000000000001</v>
      </c>
      <c r="Z277" s="88">
        <f t="shared" si="70"/>
        <v>35010</v>
      </c>
      <c r="AA277" s="88">
        <f t="shared" si="71"/>
        <v>5348.75</v>
      </c>
      <c r="AB277" s="88">
        <f t="shared" si="72"/>
        <v>56405</v>
      </c>
      <c r="AC277" s="109">
        <f t="shared" si="60"/>
        <v>5076.45</v>
      </c>
      <c r="AD277" s="109">
        <f t="shared" si="61"/>
        <v>1353.72</v>
      </c>
      <c r="AE277" s="109">
        <f t="shared" si="73"/>
        <v>11778.92</v>
      </c>
      <c r="AF277" s="73">
        <f t="shared" si="74"/>
        <v>78.526133333333334</v>
      </c>
    </row>
    <row r="278" spans="1:32" x14ac:dyDescent="0.25">
      <c r="A278" s="102">
        <v>650</v>
      </c>
      <c r="B278" s="68" t="str">
        <f t="shared" si="62"/>
        <v>2.69, Plant - Twin Row 8R-36</v>
      </c>
      <c r="C278" s="103">
        <v>2.69</v>
      </c>
      <c r="D278" s="68" t="s">
        <v>151</v>
      </c>
      <c r="E278" s="68" t="s">
        <v>285</v>
      </c>
      <c r="F278" s="68" t="s">
        <v>166</v>
      </c>
      <c r="G278" s="68" t="str">
        <f t="shared" si="63"/>
        <v>Plant - Twin Row 8R-36</v>
      </c>
      <c r="H278" s="85">
        <v>121000</v>
      </c>
      <c r="I278" s="221">
        <v>24</v>
      </c>
      <c r="J278" s="221">
        <v>6.25</v>
      </c>
      <c r="K278" s="221">
        <v>70</v>
      </c>
      <c r="L278" s="86">
        <f t="shared" si="64"/>
        <v>7.857142857142857E-2</v>
      </c>
      <c r="M278" s="221">
        <v>45</v>
      </c>
      <c r="N278" s="221">
        <v>45</v>
      </c>
      <c r="O278" s="221">
        <v>8</v>
      </c>
      <c r="P278" s="221">
        <v>150</v>
      </c>
      <c r="Q278" s="221">
        <v>0</v>
      </c>
      <c r="R278" s="104">
        <f t="shared" si="65"/>
        <v>1200</v>
      </c>
      <c r="S278" s="104">
        <v>1</v>
      </c>
      <c r="T278" s="104">
        <v>0.27</v>
      </c>
      <c r="U278" s="104">
        <v>1.4</v>
      </c>
      <c r="V278" s="219">
        <f t="shared" si="66"/>
        <v>2294.4410135686435</v>
      </c>
      <c r="W278" s="106">
        <f t="shared" si="67"/>
        <v>15.296273423790957</v>
      </c>
      <c r="X278" s="107">
        <f t="shared" si="68"/>
        <v>6806.25</v>
      </c>
      <c r="Y278" s="108">
        <f t="shared" si="69"/>
        <v>45.375</v>
      </c>
      <c r="Z278" s="88">
        <f t="shared" si="70"/>
        <v>54450</v>
      </c>
      <c r="AA278" s="88">
        <f t="shared" si="71"/>
        <v>8318.75</v>
      </c>
      <c r="AB278" s="88">
        <f t="shared" si="72"/>
        <v>87725</v>
      </c>
      <c r="AC278" s="109">
        <f t="shared" si="60"/>
        <v>7895.25</v>
      </c>
      <c r="AD278" s="109">
        <f t="shared" si="61"/>
        <v>2105.4</v>
      </c>
      <c r="AE278" s="109">
        <f t="shared" si="73"/>
        <v>18319.400000000001</v>
      </c>
      <c r="AF278" s="73">
        <f t="shared" si="74"/>
        <v>122.12933333333335</v>
      </c>
    </row>
    <row r="279" spans="1:32" x14ac:dyDescent="0.25">
      <c r="A279" s="102">
        <v>605</v>
      </c>
      <c r="B279" s="68" t="str">
        <f t="shared" si="62"/>
        <v>2.7, Plant - Twin Row 12R-36</v>
      </c>
      <c r="C279" s="103">
        <v>2.7</v>
      </c>
      <c r="D279" s="68" t="s">
        <v>151</v>
      </c>
      <c r="E279" s="68" t="s">
        <v>285</v>
      </c>
      <c r="F279" s="68" t="s">
        <v>158</v>
      </c>
      <c r="G279" s="68" t="str">
        <f t="shared" si="63"/>
        <v>Plant - Twin Row 12R-36</v>
      </c>
      <c r="H279" s="85">
        <v>150000</v>
      </c>
      <c r="I279" s="221">
        <v>36</v>
      </c>
      <c r="J279" s="221">
        <v>6.25</v>
      </c>
      <c r="K279" s="221">
        <v>70</v>
      </c>
      <c r="L279" s="86">
        <f t="shared" si="64"/>
        <v>5.2380952380952382E-2</v>
      </c>
      <c r="M279" s="221">
        <v>45</v>
      </c>
      <c r="N279" s="221">
        <v>45</v>
      </c>
      <c r="O279" s="221">
        <v>8</v>
      </c>
      <c r="P279" s="221">
        <v>150</v>
      </c>
      <c r="Q279" s="221">
        <v>0</v>
      </c>
      <c r="R279" s="104">
        <f t="shared" si="65"/>
        <v>1200</v>
      </c>
      <c r="S279" s="104">
        <v>1</v>
      </c>
      <c r="T279" s="104">
        <v>0.27</v>
      </c>
      <c r="U279" s="104">
        <v>1.4</v>
      </c>
      <c r="V279" s="219">
        <f t="shared" si="66"/>
        <v>2844.3483639280703</v>
      </c>
      <c r="W279" s="106">
        <f t="shared" si="67"/>
        <v>18.962322426187136</v>
      </c>
      <c r="X279" s="107">
        <f t="shared" si="68"/>
        <v>8437.5</v>
      </c>
      <c r="Y279" s="108">
        <f t="shared" si="69"/>
        <v>56.25</v>
      </c>
      <c r="Z279" s="88">
        <f t="shared" si="70"/>
        <v>67500</v>
      </c>
      <c r="AA279" s="88">
        <f t="shared" si="71"/>
        <v>10312.5</v>
      </c>
      <c r="AB279" s="88">
        <f t="shared" si="72"/>
        <v>108750</v>
      </c>
      <c r="AC279" s="109">
        <f t="shared" si="60"/>
        <v>9787.5</v>
      </c>
      <c r="AD279" s="109">
        <f t="shared" si="61"/>
        <v>2610</v>
      </c>
      <c r="AE279" s="109">
        <f t="shared" si="73"/>
        <v>22710</v>
      </c>
      <c r="AF279" s="73">
        <f t="shared" si="74"/>
        <v>151.4</v>
      </c>
    </row>
    <row r="280" spans="1:32" x14ac:dyDescent="0.25">
      <c r="A280" s="102">
        <v>346</v>
      </c>
      <c r="B280" s="68" t="str">
        <f t="shared" si="62"/>
        <v>2.71, Plant &amp; Pre-Folding 12R-20</v>
      </c>
      <c r="C280" s="103">
        <v>2.71</v>
      </c>
      <c r="D280" s="68" t="s">
        <v>151</v>
      </c>
      <c r="E280" s="68" t="s">
        <v>286</v>
      </c>
      <c r="F280" s="68" t="s">
        <v>259</v>
      </c>
      <c r="G280" s="68" t="str">
        <f t="shared" si="63"/>
        <v>Plant &amp; Pre-Folding 12R-20</v>
      </c>
      <c r="H280" s="85">
        <v>70600</v>
      </c>
      <c r="I280" s="221">
        <v>20</v>
      </c>
      <c r="J280" s="221">
        <v>6.25</v>
      </c>
      <c r="K280" s="221">
        <v>65</v>
      </c>
      <c r="L280" s="86">
        <f t="shared" si="64"/>
        <v>0.10153846153846155</v>
      </c>
      <c r="M280" s="221">
        <v>45</v>
      </c>
      <c r="N280" s="221">
        <v>45</v>
      </c>
      <c r="O280" s="221">
        <v>8</v>
      </c>
      <c r="P280" s="221">
        <v>150</v>
      </c>
      <c r="Q280" s="221">
        <v>0</v>
      </c>
      <c r="R280" s="104">
        <f t="shared" si="65"/>
        <v>1200</v>
      </c>
      <c r="S280" s="104">
        <v>1</v>
      </c>
      <c r="T280" s="104">
        <v>0.27</v>
      </c>
      <c r="U280" s="104">
        <v>1.4</v>
      </c>
      <c r="V280" s="219">
        <f t="shared" si="66"/>
        <v>1338.7399632888119</v>
      </c>
      <c r="W280" s="106">
        <f t="shared" si="67"/>
        <v>8.9249330885920788</v>
      </c>
      <c r="X280" s="107">
        <f t="shared" si="68"/>
        <v>3971.25</v>
      </c>
      <c r="Y280" s="108">
        <f t="shared" si="69"/>
        <v>26.475000000000001</v>
      </c>
      <c r="Z280" s="88">
        <f t="shared" si="70"/>
        <v>31770</v>
      </c>
      <c r="AA280" s="88">
        <f t="shared" si="71"/>
        <v>4853.75</v>
      </c>
      <c r="AB280" s="88">
        <f t="shared" si="72"/>
        <v>51185</v>
      </c>
      <c r="AC280" s="109">
        <f t="shared" si="60"/>
        <v>4606.6499999999996</v>
      </c>
      <c r="AD280" s="109">
        <f t="shared" si="61"/>
        <v>1228.44</v>
      </c>
      <c r="AE280" s="109">
        <f t="shared" si="73"/>
        <v>10688.84</v>
      </c>
      <c r="AF280" s="73">
        <f t="shared" si="74"/>
        <v>71.258933333333331</v>
      </c>
    </row>
    <row r="281" spans="1:32" x14ac:dyDescent="0.25">
      <c r="A281" s="102">
        <v>343</v>
      </c>
      <c r="B281" s="68" t="str">
        <f t="shared" si="62"/>
        <v>2.72, Plant &amp; Pre-Folding  8R-36</v>
      </c>
      <c r="C281" s="103">
        <v>2.72</v>
      </c>
      <c r="D281" s="68" t="s">
        <v>151</v>
      </c>
      <c r="E281" s="68" t="s">
        <v>286</v>
      </c>
      <c r="F281" s="68" t="s">
        <v>160</v>
      </c>
      <c r="G281" s="68" t="str">
        <f t="shared" si="63"/>
        <v>Plant &amp; Pre-Folding  8R-36</v>
      </c>
      <c r="H281" s="85">
        <v>78600</v>
      </c>
      <c r="I281" s="221">
        <v>24</v>
      </c>
      <c r="J281" s="221">
        <v>6.25</v>
      </c>
      <c r="K281" s="221">
        <v>65</v>
      </c>
      <c r="L281" s="86">
        <f t="shared" si="64"/>
        <v>8.461538461538462E-2</v>
      </c>
      <c r="M281" s="221">
        <v>45</v>
      </c>
      <c r="N281" s="221">
        <v>45</v>
      </c>
      <c r="O281" s="221">
        <v>8</v>
      </c>
      <c r="P281" s="221">
        <v>150</v>
      </c>
      <c r="Q281" s="221">
        <v>0</v>
      </c>
      <c r="R281" s="104">
        <f t="shared" si="65"/>
        <v>1200</v>
      </c>
      <c r="S281" s="104">
        <v>1</v>
      </c>
      <c r="T281" s="104">
        <v>0.27</v>
      </c>
      <c r="U281" s="104">
        <v>1.4</v>
      </c>
      <c r="V281" s="219">
        <f t="shared" si="66"/>
        <v>1490.4385426983088</v>
      </c>
      <c r="W281" s="106">
        <f t="shared" si="67"/>
        <v>9.9362569513220578</v>
      </c>
      <c r="X281" s="107">
        <f t="shared" si="68"/>
        <v>4421.25</v>
      </c>
      <c r="Y281" s="108">
        <f t="shared" si="69"/>
        <v>29.475000000000001</v>
      </c>
      <c r="Z281" s="88">
        <f t="shared" si="70"/>
        <v>35370</v>
      </c>
      <c r="AA281" s="88">
        <f t="shared" si="71"/>
        <v>5403.75</v>
      </c>
      <c r="AB281" s="88">
        <f t="shared" si="72"/>
        <v>56985</v>
      </c>
      <c r="AC281" s="109">
        <f t="shared" si="60"/>
        <v>5128.6499999999996</v>
      </c>
      <c r="AD281" s="109">
        <f t="shared" si="61"/>
        <v>1367.64</v>
      </c>
      <c r="AE281" s="109">
        <f t="shared" si="73"/>
        <v>11900.039999999999</v>
      </c>
      <c r="AF281" s="73">
        <f t="shared" si="74"/>
        <v>79.33359999999999</v>
      </c>
    </row>
    <row r="282" spans="1:32" x14ac:dyDescent="0.25">
      <c r="A282" s="102">
        <v>350</v>
      </c>
      <c r="B282" s="68" t="str">
        <f t="shared" si="62"/>
        <v>2.73, Plant &amp; Pre-Folding 23R-15</v>
      </c>
      <c r="C282" s="103">
        <v>2.73</v>
      </c>
      <c r="D282" s="68" t="s">
        <v>151</v>
      </c>
      <c r="E282" s="68" t="s">
        <v>286</v>
      </c>
      <c r="F282" s="68" t="s">
        <v>260</v>
      </c>
      <c r="G282" s="68" t="str">
        <f t="shared" si="63"/>
        <v>Plant &amp; Pre-Folding 23R-15</v>
      </c>
      <c r="H282" s="85">
        <v>194000</v>
      </c>
      <c r="I282" s="221">
        <v>28.8</v>
      </c>
      <c r="J282" s="221">
        <v>6.25</v>
      </c>
      <c r="K282" s="221">
        <v>65</v>
      </c>
      <c r="L282" s="86">
        <f t="shared" si="64"/>
        <v>7.0512820512820512E-2</v>
      </c>
      <c r="M282" s="221">
        <v>45</v>
      </c>
      <c r="N282" s="221">
        <v>45</v>
      </c>
      <c r="O282" s="221">
        <v>8</v>
      </c>
      <c r="P282" s="221">
        <v>150</v>
      </c>
      <c r="Q282" s="221">
        <v>0</v>
      </c>
      <c r="R282" s="104">
        <f t="shared" si="65"/>
        <v>1200</v>
      </c>
      <c r="S282" s="104">
        <v>1</v>
      </c>
      <c r="T282" s="104">
        <v>0.27</v>
      </c>
      <c r="U282" s="104">
        <v>1.4</v>
      </c>
      <c r="V282" s="219">
        <f t="shared" si="66"/>
        <v>3678.6905506803041</v>
      </c>
      <c r="W282" s="106">
        <f t="shared" si="67"/>
        <v>24.524603671202026</v>
      </c>
      <c r="X282" s="107">
        <f t="shared" si="68"/>
        <v>10912.5</v>
      </c>
      <c r="Y282" s="108">
        <f t="shared" si="69"/>
        <v>72.75</v>
      </c>
      <c r="Z282" s="88">
        <f t="shared" si="70"/>
        <v>87300</v>
      </c>
      <c r="AA282" s="88">
        <f t="shared" si="71"/>
        <v>13337.5</v>
      </c>
      <c r="AB282" s="88">
        <f t="shared" si="72"/>
        <v>140650</v>
      </c>
      <c r="AC282" s="109">
        <f t="shared" si="60"/>
        <v>12658.5</v>
      </c>
      <c r="AD282" s="109">
        <f t="shared" si="61"/>
        <v>3375.6</v>
      </c>
      <c r="AE282" s="109">
        <f t="shared" si="73"/>
        <v>29371.599999999999</v>
      </c>
      <c r="AF282" s="73">
        <f t="shared" si="74"/>
        <v>195.81066666666666</v>
      </c>
    </row>
    <row r="283" spans="1:32" x14ac:dyDescent="0.25">
      <c r="A283" s="102">
        <v>348</v>
      </c>
      <c r="B283" s="68" t="str">
        <f t="shared" si="62"/>
        <v>2.74, Plant &amp; Pre-Folding 12R-30</v>
      </c>
      <c r="C283" s="103">
        <v>2.74</v>
      </c>
      <c r="D283" s="68" t="s">
        <v>151</v>
      </c>
      <c r="E283" s="68" t="s">
        <v>286</v>
      </c>
      <c r="F283" s="68" t="s">
        <v>156</v>
      </c>
      <c r="G283" s="68" t="str">
        <f t="shared" si="63"/>
        <v>Plant &amp; Pre-Folding 12R-30</v>
      </c>
      <c r="H283" s="85">
        <v>97900</v>
      </c>
      <c r="I283" s="221">
        <v>30</v>
      </c>
      <c r="J283" s="221">
        <v>6.25</v>
      </c>
      <c r="K283" s="221">
        <v>65</v>
      </c>
      <c r="L283" s="86">
        <f t="shared" si="64"/>
        <v>6.7692307692307691E-2</v>
      </c>
      <c r="M283" s="221">
        <v>45</v>
      </c>
      <c r="N283" s="221">
        <v>45</v>
      </c>
      <c r="O283" s="221">
        <v>8</v>
      </c>
      <c r="P283" s="221">
        <v>150</v>
      </c>
      <c r="Q283" s="221">
        <v>0</v>
      </c>
      <c r="R283" s="104">
        <f t="shared" si="65"/>
        <v>1200</v>
      </c>
      <c r="S283" s="104">
        <v>1</v>
      </c>
      <c r="T283" s="104">
        <v>0.27</v>
      </c>
      <c r="U283" s="104">
        <v>1.4</v>
      </c>
      <c r="V283" s="219">
        <f t="shared" si="66"/>
        <v>1856.4113655237206</v>
      </c>
      <c r="W283" s="106">
        <f t="shared" si="67"/>
        <v>12.376075770158138</v>
      </c>
      <c r="X283" s="107">
        <f t="shared" si="68"/>
        <v>5506.875</v>
      </c>
      <c r="Y283" s="108">
        <f t="shared" si="69"/>
        <v>36.712499999999999</v>
      </c>
      <c r="Z283" s="88">
        <f t="shared" si="70"/>
        <v>44055</v>
      </c>
      <c r="AA283" s="88">
        <f t="shared" si="71"/>
        <v>6730.625</v>
      </c>
      <c r="AB283" s="88">
        <f t="shared" si="72"/>
        <v>70977.5</v>
      </c>
      <c r="AC283" s="109">
        <f t="shared" si="60"/>
        <v>6387.9749999999995</v>
      </c>
      <c r="AD283" s="109">
        <f t="shared" si="61"/>
        <v>1703.46</v>
      </c>
      <c r="AE283" s="109">
        <f t="shared" si="73"/>
        <v>14822.059999999998</v>
      </c>
      <c r="AF283" s="73">
        <f t="shared" si="74"/>
        <v>98.813733333333317</v>
      </c>
    </row>
    <row r="284" spans="1:32" x14ac:dyDescent="0.25">
      <c r="A284" s="102">
        <v>547</v>
      </c>
      <c r="B284" s="68" t="str">
        <f t="shared" si="62"/>
        <v>2.75, Plant &amp; Pre-Folding 24R-15</v>
      </c>
      <c r="C284" s="103">
        <v>2.75</v>
      </c>
      <c r="D284" s="68" t="s">
        <v>151</v>
      </c>
      <c r="E284" s="68" t="s">
        <v>286</v>
      </c>
      <c r="F284" s="68" t="s">
        <v>261</v>
      </c>
      <c r="G284" s="68" t="str">
        <f t="shared" si="63"/>
        <v>Plant &amp; Pre-Folding 24R-15</v>
      </c>
      <c r="H284" s="85">
        <v>190000</v>
      </c>
      <c r="I284" s="221">
        <v>30</v>
      </c>
      <c r="J284" s="221">
        <v>6.25</v>
      </c>
      <c r="K284" s="221">
        <v>65</v>
      </c>
      <c r="L284" s="86">
        <f t="shared" si="64"/>
        <v>6.7692307692307691E-2</v>
      </c>
      <c r="M284" s="221">
        <v>45</v>
      </c>
      <c r="N284" s="221">
        <v>45</v>
      </c>
      <c r="O284" s="221">
        <v>8</v>
      </c>
      <c r="P284" s="221">
        <v>150</v>
      </c>
      <c r="Q284" s="221">
        <v>0</v>
      </c>
      <c r="R284" s="104">
        <f t="shared" si="65"/>
        <v>1200</v>
      </c>
      <c r="S284" s="104">
        <v>1</v>
      </c>
      <c r="T284" s="104">
        <v>0.27</v>
      </c>
      <c r="U284" s="104">
        <v>1.4</v>
      </c>
      <c r="V284" s="219">
        <f t="shared" si="66"/>
        <v>3602.8412609755555</v>
      </c>
      <c r="W284" s="106">
        <f t="shared" si="67"/>
        <v>24.018941739837036</v>
      </c>
      <c r="X284" s="107">
        <f t="shared" si="68"/>
        <v>10687.5</v>
      </c>
      <c r="Y284" s="108">
        <f t="shared" si="69"/>
        <v>71.25</v>
      </c>
      <c r="Z284" s="88">
        <f t="shared" si="70"/>
        <v>85500</v>
      </c>
      <c r="AA284" s="88">
        <f t="shared" si="71"/>
        <v>13062.5</v>
      </c>
      <c r="AB284" s="88">
        <f t="shared" si="72"/>
        <v>137750</v>
      </c>
      <c r="AC284" s="109">
        <f t="shared" si="60"/>
        <v>12397.5</v>
      </c>
      <c r="AD284" s="109">
        <f t="shared" si="61"/>
        <v>3306</v>
      </c>
      <c r="AE284" s="109">
        <f t="shared" si="73"/>
        <v>28766</v>
      </c>
      <c r="AF284" s="73">
        <f t="shared" si="74"/>
        <v>191.77333333333334</v>
      </c>
    </row>
    <row r="285" spans="1:32" x14ac:dyDescent="0.25">
      <c r="A285" s="102">
        <v>344</v>
      </c>
      <c r="B285" s="68" t="str">
        <f t="shared" si="62"/>
        <v>2.76, Plant &amp; Pre-Folding  8R-36 2x1</v>
      </c>
      <c r="C285" s="103">
        <v>2.76</v>
      </c>
      <c r="D285" s="68" t="s">
        <v>151</v>
      </c>
      <c r="E285" s="68" t="s">
        <v>286</v>
      </c>
      <c r="F285" s="68" t="s">
        <v>157</v>
      </c>
      <c r="G285" s="68" t="str">
        <f t="shared" si="63"/>
        <v>Plant &amp; Pre-Folding  8R-36 2x1</v>
      </c>
      <c r="H285" s="85">
        <v>111000</v>
      </c>
      <c r="I285" s="221">
        <v>36</v>
      </c>
      <c r="J285" s="221">
        <v>6.25</v>
      </c>
      <c r="K285" s="221">
        <v>65</v>
      </c>
      <c r="L285" s="86">
        <f t="shared" si="64"/>
        <v>5.6410256410256411E-2</v>
      </c>
      <c r="M285" s="221">
        <v>45</v>
      </c>
      <c r="N285" s="221">
        <v>45</v>
      </c>
      <c r="O285" s="221">
        <v>8</v>
      </c>
      <c r="P285" s="221">
        <v>150</v>
      </c>
      <c r="Q285" s="221">
        <v>0</v>
      </c>
      <c r="R285" s="104">
        <f t="shared" si="65"/>
        <v>1200</v>
      </c>
      <c r="S285" s="104">
        <v>1</v>
      </c>
      <c r="T285" s="104">
        <v>0.27</v>
      </c>
      <c r="U285" s="104">
        <v>1.4</v>
      </c>
      <c r="V285" s="219">
        <f t="shared" si="66"/>
        <v>2104.8177893067723</v>
      </c>
      <c r="W285" s="106">
        <f t="shared" si="67"/>
        <v>14.032118595378481</v>
      </c>
      <c r="X285" s="107">
        <f t="shared" si="68"/>
        <v>6243.75</v>
      </c>
      <c r="Y285" s="108">
        <f t="shared" si="69"/>
        <v>41.625</v>
      </c>
      <c r="Z285" s="88">
        <f t="shared" si="70"/>
        <v>49950</v>
      </c>
      <c r="AA285" s="88">
        <f t="shared" si="71"/>
        <v>7631.25</v>
      </c>
      <c r="AB285" s="88">
        <f t="shared" si="72"/>
        <v>80475</v>
      </c>
      <c r="AC285" s="109">
        <f t="shared" si="60"/>
        <v>7242.75</v>
      </c>
      <c r="AD285" s="109">
        <f t="shared" si="61"/>
        <v>1931.4</v>
      </c>
      <c r="AE285" s="109">
        <f t="shared" si="73"/>
        <v>16805.400000000001</v>
      </c>
      <c r="AF285" s="73">
        <f t="shared" si="74"/>
        <v>112.03600000000002</v>
      </c>
    </row>
    <row r="286" spans="1:32" x14ac:dyDescent="0.25">
      <c r="A286" s="102">
        <v>262</v>
      </c>
      <c r="B286" s="68" t="str">
        <f t="shared" si="62"/>
        <v>2.77, Plant &amp; Pre-Folding 12R-36</v>
      </c>
      <c r="C286" s="103">
        <v>2.77</v>
      </c>
      <c r="D286" s="68" t="s">
        <v>151</v>
      </c>
      <c r="E286" s="68" t="s">
        <v>286</v>
      </c>
      <c r="F286" s="68" t="s">
        <v>158</v>
      </c>
      <c r="G286" s="68" t="str">
        <f t="shared" si="63"/>
        <v>Plant &amp; Pre-Folding 12R-36</v>
      </c>
      <c r="H286" s="85">
        <v>111000</v>
      </c>
      <c r="I286" s="221">
        <v>36</v>
      </c>
      <c r="J286" s="221">
        <v>6.25</v>
      </c>
      <c r="K286" s="221">
        <v>65</v>
      </c>
      <c r="L286" s="86">
        <f t="shared" si="64"/>
        <v>5.6410256410256411E-2</v>
      </c>
      <c r="M286" s="221">
        <v>45</v>
      </c>
      <c r="N286" s="221">
        <v>45</v>
      </c>
      <c r="O286" s="221">
        <v>8</v>
      </c>
      <c r="P286" s="221">
        <v>150</v>
      </c>
      <c r="Q286" s="221">
        <v>0</v>
      </c>
      <c r="R286" s="104">
        <f t="shared" si="65"/>
        <v>1200</v>
      </c>
      <c r="S286" s="104">
        <v>1</v>
      </c>
      <c r="T286" s="104">
        <v>0.27</v>
      </c>
      <c r="U286" s="104">
        <v>1.4</v>
      </c>
      <c r="V286" s="219">
        <f t="shared" si="66"/>
        <v>2104.8177893067723</v>
      </c>
      <c r="W286" s="106">
        <f t="shared" si="67"/>
        <v>14.032118595378481</v>
      </c>
      <c r="X286" s="107">
        <f t="shared" si="68"/>
        <v>6243.75</v>
      </c>
      <c r="Y286" s="108">
        <f t="shared" si="69"/>
        <v>41.625</v>
      </c>
      <c r="Z286" s="88">
        <f t="shared" si="70"/>
        <v>49950</v>
      </c>
      <c r="AA286" s="88">
        <f t="shared" si="71"/>
        <v>7631.25</v>
      </c>
      <c r="AB286" s="88">
        <f t="shared" si="72"/>
        <v>80475</v>
      </c>
      <c r="AC286" s="109">
        <f t="shared" si="60"/>
        <v>7242.75</v>
      </c>
      <c r="AD286" s="109">
        <f t="shared" si="61"/>
        <v>1931.4</v>
      </c>
      <c r="AE286" s="109">
        <f t="shared" si="73"/>
        <v>16805.400000000001</v>
      </c>
      <c r="AF286" s="73">
        <f t="shared" si="74"/>
        <v>112.03600000000002</v>
      </c>
    </row>
    <row r="287" spans="1:32" x14ac:dyDescent="0.25">
      <c r="A287" s="102">
        <v>551</v>
      </c>
      <c r="B287" s="68" t="str">
        <f t="shared" si="62"/>
        <v>2.78, Plant &amp; Pre-Folding 31R-15</v>
      </c>
      <c r="C287" s="103">
        <v>2.78</v>
      </c>
      <c r="D287" s="68" t="s">
        <v>151</v>
      </c>
      <c r="E287" s="68" t="s">
        <v>286</v>
      </c>
      <c r="F287" s="68" t="s">
        <v>262</v>
      </c>
      <c r="G287" s="68" t="str">
        <f t="shared" si="63"/>
        <v>Plant &amp; Pre-Folding 31R-15</v>
      </c>
      <c r="H287" s="85">
        <v>235000</v>
      </c>
      <c r="I287" s="221">
        <v>38.700000000000003</v>
      </c>
      <c r="J287" s="221">
        <v>6.25</v>
      </c>
      <c r="K287" s="221">
        <v>65</v>
      </c>
      <c r="L287" s="86">
        <f t="shared" si="64"/>
        <v>5.2474657125819911E-2</v>
      </c>
      <c r="M287" s="221">
        <v>45</v>
      </c>
      <c r="N287" s="221">
        <v>45</v>
      </c>
      <c r="O287" s="221">
        <v>8</v>
      </c>
      <c r="P287" s="221">
        <v>150</v>
      </c>
      <c r="Q287" s="221">
        <v>0</v>
      </c>
      <c r="R287" s="104">
        <f t="shared" si="65"/>
        <v>1200</v>
      </c>
      <c r="S287" s="104">
        <v>1</v>
      </c>
      <c r="T287" s="104">
        <v>0.27</v>
      </c>
      <c r="U287" s="104">
        <v>1.4</v>
      </c>
      <c r="V287" s="219">
        <f t="shared" si="66"/>
        <v>4456.1457701539775</v>
      </c>
      <c r="W287" s="106">
        <f t="shared" si="67"/>
        <v>29.707638467693183</v>
      </c>
      <c r="X287" s="107">
        <f t="shared" si="68"/>
        <v>13218.75</v>
      </c>
      <c r="Y287" s="108">
        <f t="shared" si="69"/>
        <v>88.125</v>
      </c>
      <c r="Z287" s="88">
        <f t="shared" si="70"/>
        <v>105750</v>
      </c>
      <c r="AA287" s="88">
        <f t="shared" si="71"/>
        <v>16156.25</v>
      </c>
      <c r="AB287" s="88">
        <f t="shared" si="72"/>
        <v>170375</v>
      </c>
      <c r="AC287" s="109">
        <f t="shared" si="60"/>
        <v>15333.75</v>
      </c>
      <c r="AD287" s="109">
        <f t="shared" si="61"/>
        <v>4089</v>
      </c>
      <c r="AE287" s="109">
        <f t="shared" si="73"/>
        <v>35579</v>
      </c>
      <c r="AF287" s="73">
        <f t="shared" si="74"/>
        <v>237.19333333333333</v>
      </c>
    </row>
    <row r="288" spans="1:32" x14ac:dyDescent="0.25">
      <c r="A288" s="102">
        <v>349</v>
      </c>
      <c r="B288" s="68" t="str">
        <f t="shared" si="62"/>
        <v>2.79, Plant &amp; Pre-Folding 16R-30</v>
      </c>
      <c r="C288" s="103">
        <v>2.79</v>
      </c>
      <c r="D288" s="68" t="s">
        <v>151</v>
      </c>
      <c r="E288" s="68" t="s">
        <v>286</v>
      </c>
      <c r="F288" s="68" t="s">
        <v>167</v>
      </c>
      <c r="G288" s="68" t="str">
        <f t="shared" si="63"/>
        <v>Plant &amp; Pre-Folding 16R-30</v>
      </c>
      <c r="H288" s="85">
        <v>200000</v>
      </c>
      <c r="I288" s="221">
        <v>40</v>
      </c>
      <c r="J288" s="221">
        <v>6.25</v>
      </c>
      <c r="K288" s="221">
        <v>65</v>
      </c>
      <c r="L288" s="86">
        <f t="shared" si="64"/>
        <v>5.0769230769230775E-2</v>
      </c>
      <c r="M288" s="221">
        <v>45</v>
      </c>
      <c r="N288" s="221">
        <v>45</v>
      </c>
      <c r="O288" s="221">
        <v>8</v>
      </c>
      <c r="P288" s="221">
        <v>150</v>
      </c>
      <c r="Q288" s="221">
        <v>0</v>
      </c>
      <c r="R288" s="104">
        <f t="shared" si="65"/>
        <v>1200</v>
      </c>
      <c r="S288" s="104">
        <v>1</v>
      </c>
      <c r="T288" s="104">
        <v>0.27</v>
      </c>
      <c r="U288" s="104">
        <v>1.4</v>
      </c>
      <c r="V288" s="219">
        <f t="shared" si="66"/>
        <v>3792.4644852374272</v>
      </c>
      <c r="W288" s="106">
        <f t="shared" si="67"/>
        <v>25.283096568249515</v>
      </c>
      <c r="X288" s="107">
        <f t="shared" si="68"/>
        <v>11250</v>
      </c>
      <c r="Y288" s="108">
        <f t="shared" si="69"/>
        <v>75</v>
      </c>
      <c r="Z288" s="88">
        <f t="shared" si="70"/>
        <v>90000</v>
      </c>
      <c r="AA288" s="88">
        <f t="shared" si="71"/>
        <v>13750</v>
      </c>
      <c r="AB288" s="88">
        <f t="shared" si="72"/>
        <v>145000</v>
      </c>
      <c r="AC288" s="109">
        <f t="shared" si="60"/>
        <v>13050</v>
      </c>
      <c r="AD288" s="109">
        <f t="shared" si="61"/>
        <v>3480</v>
      </c>
      <c r="AE288" s="109">
        <f t="shared" si="73"/>
        <v>30280</v>
      </c>
      <c r="AF288" s="73">
        <f t="shared" si="74"/>
        <v>201.86666666666667</v>
      </c>
    </row>
    <row r="289" spans="1:32" x14ac:dyDescent="0.25">
      <c r="A289" s="102">
        <v>351</v>
      </c>
      <c r="B289" s="68" t="str">
        <f t="shared" si="62"/>
        <v>2.8, Plant &amp; Pre-Folding 24R-20</v>
      </c>
      <c r="C289" s="103">
        <v>2.8</v>
      </c>
      <c r="D289" s="68" t="s">
        <v>151</v>
      </c>
      <c r="E289" s="68" t="s">
        <v>286</v>
      </c>
      <c r="F289" s="68" t="s">
        <v>263</v>
      </c>
      <c r="G289" s="68" t="str">
        <f t="shared" si="63"/>
        <v>Plant &amp; Pre-Folding 24R-20</v>
      </c>
      <c r="H289" s="85">
        <v>244000</v>
      </c>
      <c r="I289" s="221">
        <v>40</v>
      </c>
      <c r="J289" s="221">
        <v>6.25</v>
      </c>
      <c r="K289" s="221">
        <v>65</v>
      </c>
      <c r="L289" s="86">
        <f t="shared" si="64"/>
        <v>5.0769230769230775E-2</v>
      </c>
      <c r="M289" s="221">
        <v>45</v>
      </c>
      <c r="N289" s="221">
        <v>45</v>
      </c>
      <c r="O289" s="221">
        <v>8</v>
      </c>
      <c r="P289" s="221">
        <v>150</v>
      </c>
      <c r="Q289" s="221">
        <v>0</v>
      </c>
      <c r="R289" s="104">
        <f t="shared" si="65"/>
        <v>1200</v>
      </c>
      <c r="S289" s="104">
        <v>1</v>
      </c>
      <c r="T289" s="104">
        <v>0.27</v>
      </c>
      <c r="U289" s="104">
        <v>1.4</v>
      </c>
      <c r="V289" s="219">
        <f t="shared" si="66"/>
        <v>4626.8066719896606</v>
      </c>
      <c r="W289" s="106">
        <f t="shared" si="67"/>
        <v>30.845377813264403</v>
      </c>
      <c r="X289" s="107">
        <f t="shared" si="68"/>
        <v>13725</v>
      </c>
      <c r="Y289" s="108">
        <f t="shared" si="69"/>
        <v>91.5</v>
      </c>
      <c r="Z289" s="88">
        <f t="shared" si="70"/>
        <v>109800</v>
      </c>
      <c r="AA289" s="88">
        <f t="shared" si="71"/>
        <v>16775</v>
      </c>
      <c r="AB289" s="88">
        <f t="shared" si="72"/>
        <v>176900</v>
      </c>
      <c r="AC289" s="109">
        <f t="shared" si="60"/>
        <v>15921</v>
      </c>
      <c r="AD289" s="109">
        <f t="shared" si="61"/>
        <v>4245.6000000000004</v>
      </c>
      <c r="AE289" s="109">
        <f t="shared" si="73"/>
        <v>36941.599999999999</v>
      </c>
      <c r="AF289" s="73">
        <f t="shared" si="74"/>
        <v>246.27733333333333</v>
      </c>
    </row>
    <row r="290" spans="1:32" x14ac:dyDescent="0.25">
      <c r="A290" s="102">
        <v>603</v>
      </c>
      <c r="B290" s="68" t="str">
        <f t="shared" si="62"/>
        <v>2.81, Plant &amp; Pre-Folding 32R-15</v>
      </c>
      <c r="C290" s="103">
        <v>2.81</v>
      </c>
      <c r="D290" s="68" t="s">
        <v>151</v>
      </c>
      <c r="E290" s="68" t="s">
        <v>286</v>
      </c>
      <c r="F290" s="68" t="s">
        <v>264</v>
      </c>
      <c r="G290" s="68" t="str">
        <f t="shared" si="63"/>
        <v>Plant &amp; Pre-Folding 32R-15</v>
      </c>
      <c r="H290" s="85">
        <v>239000</v>
      </c>
      <c r="I290" s="221">
        <v>40</v>
      </c>
      <c r="J290" s="221">
        <v>6.25</v>
      </c>
      <c r="K290" s="221">
        <v>65</v>
      </c>
      <c r="L290" s="86">
        <f t="shared" si="64"/>
        <v>5.0769230769230775E-2</v>
      </c>
      <c r="M290" s="221">
        <v>45</v>
      </c>
      <c r="N290" s="221">
        <v>45</v>
      </c>
      <c r="O290" s="221">
        <v>8</v>
      </c>
      <c r="P290" s="221">
        <v>150</v>
      </c>
      <c r="Q290" s="221">
        <v>0</v>
      </c>
      <c r="R290" s="104">
        <f t="shared" si="65"/>
        <v>1200</v>
      </c>
      <c r="S290" s="104">
        <v>1</v>
      </c>
      <c r="T290" s="104">
        <v>0.27</v>
      </c>
      <c r="U290" s="104">
        <v>1.4</v>
      </c>
      <c r="V290" s="219">
        <f t="shared" si="66"/>
        <v>4531.9950598587257</v>
      </c>
      <c r="W290" s="106">
        <f t="shared" si="67"/>
        <v>30.21330039905817</v>
      </c>
      <c r="X290" s="107">
        <f t="shared" si="68"/>
        <v>13443.75</v>
      </c>
      <c r="Y290" s="108">
        <f t="shared" si="69"/>
        <v>89.625</v>
      </c>
      <c r="Z290" s="88">
        <f t="shared" si="70"/>
        <v>107550</v>
      </c>
      <c r="AA290" s="88">
        <f t="shared" si="71"/>
        <v>16431.25</v>
      </c>
      <c r="AB290" s="88">
        <f t="shared" si="72"/>
        <v>173275</v>
      </c>
      <c r="AC290" s="109">
        <f t="shared" si="60"/>
        <v>15594.75</v>
      </c>
      <c r="AD290" s="109">
        <f t="shared" si="61"/>
        <v>4158.6000000000004</v>
      </c>
      <c r="AE290" s="109">
        <f t="shared" si="73"/>
        <v>36184.6</v>
      </c>
      <c r="AF290" s="73">
        <f t="shared" si="74"/>
        <v>241.23066666666665</v>
      </c>
    </row>
    <row r="291" spans="1:32" x14ac:dyDescent="0.25">
      <c r="A291" s="102">
        <v>352</v>
      </c>
      <c r="B291" s="68" t="str">
        <f t="shared" si="62"/>
        <v>2.82, Plant &amp; Pre-Folding 24R-30</v>
      </c>
      <c r="C291" s="103">
        <v>2.82</v>
      </c>
      <c r="D291" s="68" t="s">
        <v>151</v>
      </c>
      <c r="E291" s="68" t="s">
        <v>286</v>
      </c>
      <c r="F291" s="68" t="s">
        <v>265</v>
      </c>
      <c r="G291" s="68" t="str">
        <f t="shared" si="63"/>
        <v>Plant &amp; Pre-Folding 24R-30</v>
      </c>
      <c r="H291" s="85">
        <v>202000</v>
      </c>
      <c r="I291" s="221">
        <v>60</v>
      </c>
      <c r="J291" s="221">
        <v>6.25</v>
      </c>
      <c r="K291" s="221">
        <v>65</v>
      </c>
      <c r="L291" s="86">
        <f t="shared" si="64"/>
        <v>3.3846153846153845E-2</v>
      </c>
      <c r="M291" s="221">
        <v>45</v>
      </c>
      <c r="N291" s="221">
        <v>45</v>
      </c>
      <c r="O291" s="221">
        <v>8</v>
      </c>
      <c r="P291" s="221">
        <v>150</v>
      </c>
      <c r="Q291" s="221">
        <v>0</v>
      </c>
      <c r="R291" s="104">
        <f t="shared" si="65"/>
        <v>1200</v>
      </c>
      <c r="S291" s="104">
        <v>1</v>
      </c>
      <c r="T291" s="104">
        <v>0.27</v>
      </c>
      <c r="U291" s="104">
        <v>1.4</v>
      </c>
      <c r="V291" s="219">
        <f t="shared" si="66"/>
        <v>3830.3891300898013</v>
      </c>
      <c r="W291" s="106">
        <f t="shared" si="67"/>
        <v>25.535927533932007</v>
      </c>
      <c r="X291" s="107">
        <f t="shared" si="68"/>
        <v>11362.5</v>
      </c>
      <c r="Y291" s="108">
        <f t="shared" si="69"/>
        <v>75.75</v>
      </c>
      <c r="Z291" s="88">
        <f t="shared" si="70"/>
        <v>90900</v>
      </c>
      <c r="AA291" s="88">
        <f t="shared" si="71"/>
        <v>13887.5</v>
      </c>
      <c r="AB291" s="88">
        <f t="shared" si="72"/>
        <v>146450</v>
      </c>
      <c r="AC291" s="109">
        <f t="shared" si="60"/>
        <v>13180.5</v>
      </c>
      <c r="AD291" s="109">
        <f t="shared" si="61"/>
        <v>3514.8</v>
      </c>
      <c r="AE291" s="109">
        <f t="shared" si="73"/>
        <v>30582.799999999999</v>
      </c>
      <c r="AF291" s="73">
        <f t="shared" si="74"/>
        <v>203.88533333333334</v>
      </c>
    </row>
    <row r="292" spans="1:32" x14ac:dyDescent="0.25">
      <c r="A292" s="102">
        <v>642</v>
      </c>
      <c r="B292" s="68" t="str">
        <f t="shared" si="62"/>
        <v>2.83, Plant &amp; Pre-Folding 36R-20</v>
      </c>
      <c r="C292" s="103">
        <v>2.83</v>
      </c>
      <c r="D292" s="68" t="s">
        <v>151</v>
      </c>
      <c r="E292" s="68" t="s">
        <v>286</v>
      </c>
      <c r="F292" s="68" t="s">
        <v>266</v>
      </c>
      <c r="G292" s="68" t="str">
        <f t="shared" si="63"/>
        <v>Plant &amp; Pre-Folding 36R-20</v>
      </c>
      <c r="H292" s="85">
        <v>200000</v>
      </c>
      <c r="I292" s="221">
        <v>60</v>
      </c>
      <c r="J292" s="221">
        <v>6.25</v>
      </c>
      <c r="K292" s="221">
        <v>65</v>
      </c>
      <c r="L292" s="86">
        <f t="shared" si="64"/>
        <v>3.3846153846153845E-2</v>
      </c>
      <c r="M292" s="221">
        <v>45</v>
      </c>
      <c r="N292" s="221">
        <v>45</v>
      </c>
      <c r="O292" s="221">
        <v>8</v>
      </c>
      <c r="P292" s="221">
        <v>150</v>
      </c>
      <c r="Q292" s="221">
        <v>0</v>
      </c>
      <c r="R292" s="104">
        <f t="shared" si="65"/>
        <v>1200</v>
      </c>
      <c r="S292" s="104">
        <v>1</v>
      </c>
      <c r="T292" s="104">
        <v>0.27</v>
      </c>
      <c r="U292" s="104">
        <v>1.4</v>
      </c>
      <c r="V292" s="219">
        <f t="shared" si="66"/>
        <v>3792.4644852374272</v>
      </c>
      <c r="W292" s="106">
        <f t="shared" si="67"/>
        <v>25.283096568249515</v>
      </c>
      <c r="X292" s="107">
        <f t="shared" si="68"/>
        <v>11250</v>
      </c>
      <c r="Y292" s="108">
        <f t="shared" si="69"/>
        <v>75</v>
      </c>
      <c r="Z292" s="88">
        <f t="shared" si="70"/>
        <v>90000</v>
      </c>
      <c r="AA292" s="88">
        <f t="shared" si="71"/>
        <v>13750</v>
      </c>
      <c r="AB292" s="88">
        <f t="shared" si="72"/>
        <v>145000</v>
      </c>
      <c r="AC292" s="109">
        <f t="shared" si="60"/>
        <v>13050</v>
      </c>
      <c r="AD292" s="109">
        <f t="shared" si="61"/>
        <v>3480</v>
      </c>
      <c r="AE292" s="109">
        <f t="shared" si="73"/>
        <v>30280</v>
      </c>
      <c r="AF292" s="73">
        <f t="shared" si="74"/>
        <v>201.86666666666667</v>
      </c>
    </row>
    <row r="293" spans="1:32" x14ac:dyDescent="0.25">
      <c r="A293" s="102">
        <v>341</v>
      </c>
      <c r="B293" s="68" t="str">
        <f t="shared" si="62"/>
        <v>2.84, Plant &amp; Pre-Rigid  4R-30</v>
      </c>
      <c r="C293" s="103">
        <v>2.84</v>
      </c>
      <c r="D293" s="68" t="s">
        <v>151</v>
      </c>
      <c r="E293" s="68" t="s">
        <v>287</v>
      </c>
      <c r="F293" s="68" t="s">
        <v>172</v>
      </c>
      <c r="G293" s="68" t="str">
        <f t="shared" si="63"/>
        <v>Plant &amp; Pre-Rigid  4R-30</v>
      </c>
      <c r="H293" s="85">
        <v>39200</v>
      </c>
      <c r="I293" s="221">
        <v>10</v>
      </c>
      <c r="J293" s="221">
        <v>6.25</v>
      </c>
      <c r="K293" s="221">
        <v>65</v>
      </c>
      <c r="L293" s="86">
        <f t="shared" si="64"/>
        <v>0.2030769230769231</v>
      </c>
      <c r="M293" s="221">
        <v>45</v>
      </c>
      <c r="N293" s="221">
        <v>45</v>
      </c>
      <c r="O293" s="221">
        <v>8</v>
      </c>
      <c r="P293" s="221">
        <v>150</v>
      </c>
      <c r="Q293" s="221">
        <v>0</v>
      </c>
      <c r="R293" s="104">
        <f t="shared" si="65"/>
        <v>1200</v>
      </c>
      <c r="S293" s="104">
        <v>1</v>
      </c>
      <c r="T293" s="104">
        <v>0.27</v>
      </c>
      <c r="U293" s="104">
        <v>1.4</v>
      </c>
      <c r="V293" s="219">
        <f t="shared" si="66"/>
        <v>743.3230391065357</v>
      </c>
      <c r="W293" s="106">
        <f t="shared" si="67"/>
        <v>4.9554869273769047</v>
      </c>
      <c r="X293" s="107">
        <f t="shared" si="68"/>
        <v>2205</v>
      </c>
      <c r="Y293" s="108">
        <f t="shared" si="69"/>
        <v>14.7</v>
      </c>
      <c r="Z293" s="88">
        <f t="shared" si="70"/>
        <v>17640</v>
      </c>
      <c r="AA293" s="88">
        <f t="shared" si="71"/>
        <v>2695</v>
      </c>
      <c r="AB293" s="88">
        <f t="shared" si="72"/>
        <v>28420</v>
      </c>
      <c r="AC293" s="109">
        <f t="shared" si="60"/>
        <v>2557.7999999999997</v>
      </c>
      <c r="AD293" s="109">
        <f t="shared" si="61"/>
        <v>682.08</v>
      </c>
      <c r="AE293" s="109">
        <f t="shared" si="73"/>
        <v>5934.8799999999992</v>
      </c>
      <c r="AF293" s="73">
        <f t="shared" si="74"/>
        <v>39.565866666666665</v>
      </c>
    </row>
    <row r="294" spans="1:32" x14ac:dyDescent="0.25">
      <c r="A294" s="102">
        <v>155</v>
      </c>
      <c r="B294" s="68" t="str">
        <f t="shared" si="62"/>
        <v>2.85, Plant &amp; Pre-Rigid  4R-36</v>
      </c>
      <c r="C294" s="103">
        <v>2.85</v>
      </c>
      <c r="D294" s="68" t="s">
        <v>151</v>
      </c>
      <c r="E294" s="68" t="s">
        <v>287</v>
      </c>
      <c r="F294" s="68" t="s">
        <v>153</v>
      </c>
      <c r="G294" s="68" t="str">
        <f t="shared" si="63"/>
        <v>Plant &amp; Pre-Rigid  4R-36</v>
      </c>
      <c r="H294" s="85">
        <v>34100</v>
      </c>
      <c r="I294" s="221">
        <v>12</v>
      </c>
      <c r="J294" s="221">
        <v>6.25</v>
      </c>
      <c r="K294" s="221">
        <v>65</v>
      </c>
      <c r="L294" s="86">
        <f t="shared" si="64"/>
        <v>0.16923076923076924</v>
      </c>
      <c r="M294" s="221">
        <v>45</v>
      </c>
      <c r="N294" s="221">
        <v>45</v>
      </c>
      <c r="O294" s="221">
        <v>8</v>
      </c>
      <c r="P294" s="221">
        <v>150</v>
      </c>
      <c r="Q294" s="221">
        <v>0</v>
      </c>
      <c r="R294" s="104">
        <f t="shared" si="65"/>
        <v>1200</v>
      </c>
      <c r="S294" s="104">
        <v>1</v>
      </c>
      <c r="T294" s="104">
        <v>0.27</v>
      </c>
      <c r="U294" s="104">
        <v>1.4</v>
      </c>
      <c r="V294" s="219">
        <f t="shared" si="66"/>
        <v>646.61519473298131</v>
      </c>
      <c r="W294" s="106">
        <f t="shared" si="67"/>
        <v>4.3107679648865425</v>
      </c>
      <c r="X294" s="107">
        <f t="shared" si="68"/>
        <v>1918.125</v>
      </c>
      <c r="Y294" s="108">
        <f t="shared" si="69"/>
        <v>12.7875</v>
      </c>
      <c r="Z294" s="88">
        <f t="shared" si="70"/>
        <v>15345</v>
      </c>
      <c r="AA294" s="88">
        <f t="shared" si="71"/>
        <v>2344.375</v>
      </c>
      <c r="AB294" s="88">
        <f t="shared" si="72"/>
        <v>24722.5</v>
      </c>
      <c r="AC294" s="109">
        <f t="shared" si="60"/>
        <v>2225.0250000000001</v>
      </c>
      <c r="AD294" s="109">
        <f t="shared" si="61"/>
        <v>593.34</v>
      </c>
      <c r="AE294" s="109">
        <f t="shared" si="73"/>
        <v>5162.74</v>
      </c>
      <c r="AF294" s="73">
        <f t="shared" si="74"/>
        <v>34.418266666666668</v>
      </c>
    </row>
    <row r="295" spans="1:32" x14ac:dyDescent="0.25">
      <c r="A295" s="102">
        <v>531</v>
      </c>
      <c r="B295" s="68" t="str">
        <f t="shared" si="62"/>
        <v>2.86, Plant &amp; Pre-Rigid 11R-15</v>
      </c>
      <c r="C295" s="103">
        <v>2.86</v>
      </c>
      <c r="D295" s="68" t="s">
        <v>151</v>
      </c>
      <c r="E295" s="68" t="s">
        <v>287</v>
      </c>
      <c r="F295" s="68" t="s">
        <v>268</v>
      </c>
      <c r="G295" s="68" t="str">
        <f t="shared" si="63"/>
        <v>Plant &amp; Pre-Rigid 11R-15</v>
      </c>
      <c r="H295" s="85">
        <v>59600</v>
      </c>
      <c r="I295" s="221">
        <v>13.7</v>
      </c>
      <c r="J295" s="221">
        <v>6.25</v>
      </c>
      <c r="K295" s="221">
        <v>65</v>
      </c>
      <c r="L295" s="86">
        <f t="shared" si="64"/>
        <v>0.14823133071308253</v>
      </c>
      <c r="M295" s="221">
        <v>45</v>
      </c>
      <c r="N295" s="221">
        <v>45</v>
      </c>
      <c r="O295" s="221">
        <v>8</v>
      </c>
      <c r="P295" s="221">
        <v>150</v>
      </c>
      <c r="Q295" s="221">
        <v>0</v>
      </c>
      <c r="R295" s="104">
        <f t="shared" si="65"/>
        <v>1200</v>
      </c>
      <c r="S295" s="104">
        <v>1</v>
      </c>
      <c r="T295" s="104">
        <v>0.27</v>
      </c>
      <c r="U295" s="104">
        <v>1.4</v>
      </c>
      <c r="V295" s="219">
        <f t="shared" si="66"/>
        <v>1130.1544166007534</v>
      </c>
      <c r="W295" s="106">
        <f t="shared" si="67"/>
        <v>7.5343627773383561</v>
      </c>
      <c r="X295" s="107">
        <f t="shared" si="68"/>
        <v>3352.5</v>
      </c>
      <c r="Y295" s="108">
        <f t="shared" si="69"/>
        <v>22.35</v>
      </c>
      <c r="Z295" s="88">
        <f t="shared" si="70"/>
        <v>26820</v>
      </c>
      <c r="AA295" s="88">
        <f t="shared" si="71"/>
        <v>4097.5</v>
      </c>
      <c r="AB295" s="88">
        <f t="shared" si="72"/>
        <v>43210</v>
      </c>
      <c r="AC295" s="109">
        <f t="shared" si="60"/>
        <v>3888.8999999999996</v>
      </c>
      <c r="AD295" s="109">
        <f t="shared" si="61"/>
        <v>1037.04</v>
      </c>
      <c r="AE295" s="109">
        <f t="shared" si="73"/>
        <v>9023.4399999999987</v>
      </c>
      <c r="AF295" s="73">
        <f t="shared" si="74"/>
        <v>60.15626666666666</v>
      </c>
    </row>
    <row r="296" spans="1:32" x14ac:dyDescent="0.25">
      <c r="A296" s="102">
        <v>156</v>
      </c>
      <c r="B296" s="68" t="str">
        <f t="shared" si="62"/>
        <v>2.87, Plant &amp; Pre-Rigid  6R-30</v>
      </c>
      <c r="C296" s="103">
        <v>2.87</v>
      </c>
      <c r="D296" s="68" t="s">
        <v>151</v>
      </c>
      <c r="E296" s="68" t="s">
        <v>287</v>
      </c>
      <c r="F296" s="68" t="s">
        <v>213</v>
      </c>
      <c r="G296" s="68" t="str">
        <f t="shared" si="63"/>
        <v>Plant &amp; Pre-Rigid  6R-30</v>
      </c>
      <c r="H296" s="85">
        <v>46200</v>
      </c>
      <c r="I296" s="221">
        <v>15</v>
      </c>
      <c r="J296" s="221">
        <v>6.25</v>
      </c>
      <c r="K296" s="221">
        <v>65</v>
      </c>
      <c r="L296" s="86">
        <f t="shared" si="64"/>
        <v>0.13538461538461538</v>
      </c>
      <c r="M296" s="221">
        <v>45</v>
      </c>
      <c r="N296" s="221">
        <v>45</v>
      </c>
      <c r="O296" s="221">
        <v>8</v>
      </c>
      <c r="P296" s="221">
        <v>150</v>
      </c>
      <c r="Q296" s="221">
        <v>0</v>
      </c>
      <c r="R296" s="104">
        <f t="shared" si="65"/>
        <v>1200</v>
      </c>
      <c r="S296" s="104">
        <v>1</v>
      </c>
      <c r="T296" s="104">
        <v>0.27</v>
      </c>
      <c r="U296" s="104">
        <v>1.4</v>
      </c>
      <c r="V296" s="219">
        <f t="shared" si="66"/>
        <v>876.05929608984559</v>
      </c>
      <c r="W296" s="106">
        <f t="shared" si="67"/>
        <v>5.8403953072656369</v>
      </c>
      <c r="X296" s="107">
        <f t="shared" si="68"/>
        <v>2598.75</v>
      </c>
      <c r="Y296" s="108">
        <f t="shared" si="69"/>
        <v>17.324999999999999</v>
      </c>
      <c r="Z296" s="88">
        <f t="shared" si="70"/>
        <v>20790</v>
      </c>
      <c r="AA296" s="88">
        <f t="shared" si="71"/>
        <v>3176.25</v>
      </c>
      <c r="AB296" s="88">
        <f t="shared" si="72"/>
        <v>33495</v>
      </c>
      <c r="AC296" s="109">
        <f t="shared" si="60"/>
        <v>3014.5499999999997</v>
      </c>
      <c r="AD296" s="109">
        <f t="shared" si="61"/>
        <v>803.88</v>
      </c>
      <c r="AE296" s="109">
        <f t="shared" si="73"/>
        <v>6994.6799999999994</v>
      </c>
      <c r="AF296" s="73">
        <f t="shared" si="74"/>
        <v>46.631199999999993</v>
      </c>
    </row>
    <row r="297" spans="1:32" x14ac:dyDescent="0.25">
      <c r="A297" s="102">
        <v>157</v>
      </c>
      <c r="B297" s="68" t="str">
        <f t="shared" si="62"/>
        <v>2.88, Plant &amp; Pre-Rigid  6R-36</v>
      </c>
      <c r="C297" s="103">
        <v>2.88</v>
      </c>
      <c r="D297" s="68" t="s">
        <v>151</v>
      </c>
      <c r="E297" s="68" t="s">
        <v>287</v>
      </c>
      <c r="F297" s="68" t="s">
        <v>154</v>
      </c>
      <c r="G297" s="68" t="str">
        <f t="shared" si="63"/>
        <v>Plant &amp; Pre-Rigid  6R-36</v>
      </c>
      <c r="H297" s="85">
        <v>41700</v>
      </c>
      <c r="I297" s="221">
        <v>18</v>
      </c>
      <c r="J297" s="221">
        <v>6.25</v>
      </c>
      <c r="K297" s="221">
        <v>65</v>
      </c>
      <c r="L297" s="86">
        <f t="shared" si="64"/>
        <v>0.11282051282051282</v>
      </c>
      <c r="M297" s="221">
        <v>45</v>
      </c>
      <c r="N297" s="221">
        <v>45</v>
      </c>
      <c r="O297" s="221">
        <v>8</v>
      </c>
      <c r="P297" s="221">
        <v>150</v>
      </c>
      <c r="Q297" s="221">
        <v>0</v>
      </c>
      <c r="R297" s="104">
        <f t="shared" si="65"/>
        <v>1200</v>
      </c>
      <c r="S297" s="104">
        <v>1</v>
      </c>
      <c r="T297" s="104">
        <v>0.27</v>
      </c>
      <c r="U297" s="104">
        <v>1.4</v>
      </c>
      <c r="V297" s="219">
        <f t="shared" si="66"/>
        <v>790.7288451720035</v>
      </c>
      <c r="W297" s="106">
        <f t="shared" si="67"/>
        <v>5.2715256344800236</v>
      </c>
      <c r="X297" s="107">
        <f t="shared" si="68"/>
        <v>2345.625</v>
      </c>
      <c r="Y297" s="108">
        <f t="shared" si="69"/>
        <v>15.637499999999999</v>
      </c>
      <c r="Z297" s="88">
        <f t="shared" si="70"/>
        <v>18765</v>
      </c>
      <c r="AA297" s="88">
        <f t="shared" si="71"/>
        <v>2866.875</v>
      </c>
      <c r="AB297" s="88">
        <f t="shared" si="72"/>
        <v>30232.5</v>
      </c>
      <c r="AC297" s="109">
        <f t="shared" si="60"/>
        <v>2720.9249999999997</v>
      </c>
      <c r="AD297" s="109">
        <f t="shared" si="61"/>
        <v>725.58</v>
      </c>
      <c r="AE297" s="109">
        <f t="shared" si="73"/>
        <v>6313.3799999999992</v>
      </c>
      <c r="AF297" s="73">
        <f t="shared" si="74"/>
        <v>42.089199999999998</v>
      </c>
    </row>
    <row r="298" spans="1:32" x14ac:dyDescent="0.25">
      <c r="A298" s="102">
        <v>535</v>
      </c>
      <c r="B298" s="68" t="str">
        <f t="shared" si="62"/>
        <v>2.89, Plant &amp; Pre-Rigid 11R-20</v>
      </c>
      <c r="C298" s="103">
        <v>2.89</v>
      </c>
      <c r="D298" s="68" t="s">
        <v>151</v>
      </c>
      <c r="E298" s="68" t="s">
        <v>287</v>
      </c>
      <c r="F298" s="68" t="s">
        <v>269</v>
      </c>
      <c r="G298" s="68" t="str">
        <f t="shared" si="63"/>
        <v>Plant &amp; Pre-Rigid 11R-20</v>
      </c>
      <c r="H298" s="85">
        <v>64300</v>
      </c>
      <c r="I298" s="221">
        <v>18.3</v>
      </c>
      <c r="J298" s="221">
        <v>6.25</v>
      </c>
      <c r="K298" s="221">
        <v>65</v>
      </c>
      <c r="L298" s="86">
        <f t="shared" si="64"/>
        <v>0.11097099621689785</v>
      </c>
      <c r="M298" s="221">
        <v>45</v>
      </c>
      <c r="N298" s="221">
        <v>45</v>
      </c>
      <c r="O298" s="221">
        <v>8</v>
      </c>
      <c r="P298" s="221">
        <v>150</v>
      </c>
      <c r="Q298" s="221">
        <v>0</v>
      </c>
      <c r="R298" s="104">
        <f t="shared" si="65"/>
        <v>1200</v>
      </c>
      <c r="S298" s="104">
        <v>1</v>
      </c>
      <c r="T298" s="104">
        <v>0.27</v>
      </c>
      <c r="U298" s="104">
        <v>1.4</v>
      </c>
      <c r="V298" s="219">
        <f t="shared" si="66"/>
        <v>1219.2773320038327</v>
      </c>
      <c r="W298" s="106">
        <f t="shared" si="67"/>
        <v>8.1285155466922188</v>
      </c>
      <c r="X298" s="107">
        <f t="shared" si="68"/>
        <v>3616.875</v>
      </c>
      <c r="Y298" s="108">
        <f t="shared" si="69"/>
        <v>24.112500000000001</v>
      </c>
      <c r="Z298" s="88">
        <f t="shared" si="70"/>
        <v>28935</v>
      </c>
      <c r="AA298" s="88">
        <f t="shared" si="71"/>
        <v>4420.625</v>
      </c>
      <c r="AB298" s="88">
        <f t="shared" si="72"/>
        <v>46617.5</v>
      </c>
      <c r="AC298" s="109">
        <f t="shared" si="60"/>
        <v>4195.5749999999998</v>
      </c>
      <c r="AD298" s="109">
        <f t="shared" si="61"/>
        <v>1118.82</v>
      </c>
      <c r="AE298" s="109">
        <f t="shared" si="73"/>
        <v>9735.02</v>
      </c>
      <c r="AF298" s="73">
        <f t="shared" si="74"/>
        <v>64.900133333333329</v>
      </c>
    </row>
    <row r="299" spans="1:32" x14ac:dyDescent="0.25">
      <c r="A299" s="102">
        <v>621</v>
      </c>
      <c r="B299" s="68" t="str">
        <f t="shared" si="62"/>
        <v>2.9, Plant &amp; Pre-Rigid 15R-15</v>
      </c>
      <c r="C299" s="103">
        <v>2.9</v>
      </c>
      <c r="D299" s="68" t="s">
        <v>151</v>
      </c>
      <c r="E299" s="68" t="s">
        <v>287</v>
      </c>
      <c r="F299" s="68" t="s">
        <v>270</v>
      </c>
      <c r="G299" s="68" t="str">
        <f t="shared" si="63"/>
        <v>Plant &amp; Pre-Rigid 15R-15</v>
      </c>
      <c r="H299" s="85">
        <v>83600</v>
      </c>
      <c r="I299" s="221">
        <v>18.7</v>
      </c>
      <c r="J299" s="221">
        <v>6.25</v>
      </c>
      <c r="K299" s="221">
        <v>65</v>
      </c>
      <c r="L299" s="86">
        <f t="shared" si="64"/>
        <v>0.10859728506787329</v>
      </c>
      <c r="M299" s="221">
        <v>45</v>
      </c>
      <c r="N299" s="221">
        <v>45</v>
      </c>
      <c r="O299" s="221">
        <v>8</v>
      </c>
      <c r="P299" s="221">
        <v>150</v>
      </c>
      <c r="Q299" s="221">
        <v>0</v>
      </c>
      <c r="R299" s="104">
        <f t="shared" si="65"/>
        <v>1200</v>
      </c>
      <c r="S299" s="104">
        <v>1</v>
      </c>
      <c r="T299" s="104">
        <v>0.27</v>
      </c>
      <c r="U299" s="104">
        <v>1.4</v>
      </c>
      <c r="V299" s="219">
        <f t="shared" si="66"/>
        <v>1585.2501548292446</v>
      </c>
      <c r="W299" s="106">
        <f t="shared" si="67"/>
        <v>10.568334365528298</v>
      </c>
      <c r="X299" s="107">
        <f t="shared" si="68"/>
        <v>4702.5</v>
      </c>
      <c r="Y299" s="108">
        <f t="shared" si="69"/>
        <v>31.35</v>
      </c>
      <c r="Z299" s="88">
        <f t="shared" si="70"/>
        <v>37620</v>
      </c>
      <c r="AA299" s="88">
        <f t="shared" si="71"/>
        <v>5747.5</v>
      </c>
      <c r="AB299" s="88">
        <f t="shared" si="72"/>
        <v>60610</v>
      </c>
      <c r="AC299" s="109">
        <f t="shared" si="60"/>
        <v>5454.9</v>
      </c>
      <c r="AD299" s="109">
        <f t="shared" si="61"/>
        <v>1454.64</v>
      </c>
      <c r="AE299" s="109">
        <f t="shared" si="73"/>
        <v>12657.039999999999</v>
      </c>
      <c r="AF299" s="73">
        <f t="shared" si="74"/>
        <v>84.380266666666657</v>
      </c>
    </row>
    <row r="300" spans="1:32" x14ac:dyDescent="0.25">
      <c r="A300" s="102">
        <v>159</v>
      </c>
      <c r="B300" s="68" t="str">
        <f t="shared" si="62"/>
        <v>2.91, Plant &amp; Pre-Rigid  8R-30</v>
      </c>
      <c r="C300" s="103">
        <v>2.91</v>
      </c>
      <c r="D300" s="68" t="s">
        <v>151</v>
      </c>
      <c r="E300" s="68" t="s">
        <v>287</v>
      </c>
      <c r="F300" s="68" t="s">
        <v>155</v>
      </c>
      <c r="G300" s="68" t="str">
        <f t="shared" si="63"/>
        <v>Plant &amp; Pre-Rigid  8R-30</v>
      </c>
      <c r="H300" s="85">
        <v>59400</v>
      </c>
      <c r="I300" s="221">
        <v>20</v>
      </c>
      <c r="J300" s="221">
        <v>6.25</v>
      </c>
      <c r="K300" s="221">
        <v>65</v>
      </c>
      <c r="L300" s="86">
        <f t="shared" si="64"/>
        <v>0.10153846153846155</v>
      </c>
      <c r="M300" s="221">
        <v>45</v>
      </c>
      <c r="N300" s="221">
        <v>45</v>
      </c>
      <c r="O300" s="221">
        <v>8</v>
      </c>
      <c r="P300" s="221">
        <v>150</v>
      </c>
      <c r="Q300" s="221">
        <v>0</v>
      </c>
      <c r="R300" s="104">
        <f t="shared" si="65"/>
        <v>1200</v>
      </c>
      <c r="S300" s="104">
        <v>1</v>
      </c>
      <c r="T300" s="104">
        <v>0.27</v>
      </c>
      <c r="U300" s="104">
        <v>1.4</v>
      </c>
      <c r="V300" s="219">
        <f t="shared" si="66"/>
        <v>1126.361952115516</v>
      </c>
      <c r="W300" s="106">
        <f t="shared" si="67"/>
        <v>7.5090796807701068</v>
      </c>
      <c r="X300" s="107">
        <f t="shared" si="68"/>
        <v>3341.25</v>
      </c>
      <c r="Y300" s="108">
        <f t="shared" si="69"/>
        <v>22.274999999999999</v>
      </c>
      <c r="Z300" s="88">
        <f t="shared" si="70"/>
        <v>26730</v>
      </c>
      <c r="AA300" s="88">
        <f t="shared" si="71"/>
        <v>4083.75</v>
      </c>
      <c r="AB300" s="88">
        <f t="shared" si="72"/>
        <v>43065</v>
      </c>
      <c r="AC300" s="109">
        <f t="shared" si="60"/>
        <v>3875.85</v>
      </c>
      <c r="AD300" s="109">
        <f t="shared" si="61"/>
        <v>1033.56</v>
      </c>
      <c r="AE300" s="109">
        <f t="shared" si="73"/>
        <v>8993.16</v>
      </c>
      <c r="AF300" s="73">
        <f t="shared" si="74"/>
        <v>59.9544</v>
      </c>
    </row>
    <row r="301" spans="1:32" x14ac:dyDescent="0.25">
      <c r="A301" s="102">
        <v>163</v>
      </c>
      <c r="B301" s="68" t="str">
        <f t="shared" si="62"/>
        <v>2.92, Plant &amp; Pre-Rigid 12R-20</v>
      </c>
      <c r="C301" s="103">
        <v>2.92</v>
      </c>
      <c r="D301" s="68" t="s">
        <v>151</v>
      </c>
      <c r="E301" s="68" t="s">
        <v>287</v>
      </c>
      <c r="F301" s="68" t="s">
        <v>259</v>
      </c>
      <c r="G301" s="68" t="str">
        <f t="shared" si="63"/>
        <v>Plant &amp; Pre-Rigid 12R-20</v>
      </c>
      <c r="H301" s="85">
        <v>68300</v>
      </c>
      <c r="I301" s="221">
        <v>20</v>
      </c>
      <c r="J301" s="221">
        <v>6.25</v>
      </c>
      <c r="K301" s="221">
        <v>65</v>
      </c>
      <c r="L301" s="86">
        <f t="shared" si="64"/>
        <v>0.10153846153846155</v>
      </c>
      <c r="M301" s="221">
        <v>45</v>
      </c>
      <c r="N301" s="221">
        <v>45</v>
      </c>
      <c r="O301" s="221">
        <v>8</v>
      </c>
      <c r="P301" s="221">
        <v>150</v>
      </c>
      <c r="Q301" s="221">
        <v>0</v>
      </c>
      <c r="R301" s="104">
        <f t="shared" si="65"/>
        <v>1200</v>
      </c>
      <c r="S301" s="104">
        <v>1</v>
      </c>
      <c r="T301" s="104">
        <v>0.27</v>
      </c>
      <c r="U301" s="104">
        <v>1.4</v>
      </c>
      <c r="V301" s="219">
        <f t="shared" si="66"/>
        <v>1295.1266217085813</v>
      </c>
      <c r="W301" s="106">
        <f t="shared" si="67"/>
        <v>8.6341774780572091</v>
      </c>
      <c r="X301" s="107">
        <f t="shared" si="68"/>
        <v>3841.875</v>
      </c>
      <c r="Y301" s="108">
        <f t="shared" si="69"/>
        <v>25.612500000000001</v>
      </c>
      <c r="Z301" s="88">
        <f t="shared" si="70"/>
        <v>30735</v>
      </c>
      <c r="AA301" s="88">
        <f t="shared" si="71"/>
        <v>4695.625</v>
      </c>
      <c r="AB301" s="88">
        <f t="shared" si="72"/>
        <v>49517.5</v>
      </c>
      <c r="AC301" s="109">
        <f t="shared" si="60"/>
        <v>4456.5749999999998</v>
      </c>
      <c r="AD301" s="109">
        <f t="shared" si="61"/>
        <v>1188.42</v>
      </c>
      <c r="AE301" s="109">
        <f t="shared" si="73"/>
        <v>10340.620000000001</v>
      </c>
      <c r="AF301" s="73">
        <f t="shared" si="74"/>
        <v>68.937466666666666</v>
      </c>
    </row>
    <row r="302" spans="1:32" x14ac:dyDescent="0.25">
      <c r="A302" s="102">
        <v>644</v>
      </c>
      <c r="B302" s="68" t="str">
        <f t="shared" si="62"/>
        <v>2.93, Plant &amp; Pre-Rigid 13R-18/20</v>
      </c>
      <c r="C302" s="103">
        <v>2.93</v>
      </c>
      <c r="D302" s="68" t="s">
        <v>151</v>
      </c>
      <c r="E302" s="68" t="s">
        <v>287</v>
      </c>
      <c r="F302" s="68" t="s">
        <v>271</v>
      </c>
      <c r="G302" s="68" t="str">
        <f t="shared" si="63"/>
        <v>Plant &amp; Pre-Rigid 13R-18/20</v>
      </c>
      <c r="H302" s="85">
        <v>55400</v>
      </c>
      <c r="I302" s="221">
        <v>21.7</v>
      </c>
      <c r="J302" s="221">
        <v>6.25</v>
      </c>
      <c r="K302" s="221">
        <v>65</v>
      </c>
      <c r="L302" s="86">
        <f t="shared" si="64"/>
        <v>9.3583835519319397E-2</v>
      </c>
      <c r="M302" s="221">
        <v>45</v>
      </c>
      <c r="N302" s="221">
        <v>45</v>
      </c>
      <c r="O302" s="221">
        <v>8</v>
      </c>
      <c r="P302" s="221">
        <v>150</v>
      </c>
      <c r="Q302" s="221">
        <v>0</v>
      </c>
      <c r="R302" s="104">
        <f t="shared" si="65"/>
        <v>1200</v>
      </c>
      <c r="S302" s="104">
        <v>1</v>
      </c>
      <c r="T302" s="104">
        <v>0.27</v>
      </c>
      <c r="U302" s="104">
        <v>1.4</v>
      </c>
      <c r="V302" s="219">
        <f t="shared" si="66"/>
        <v>1050.5126624107675</v>
      </c>
      <c r="W302" s="106">
        <f t="shared" si="67"/>
        <v>7.0034177494051164</v>
      </c>
      <c r="X302" s="107">
        <f t="shared" si="68"/>
        <v>3116.25</v>
      </c>
      <c r="Y302" s="108">
        <f t="shared" si="69"/>
        <v>20.774999999999999</v>
      </c>
      <c r="Z302" s="88">
        <f t="shared" si="70"/>
        <v>24930</v>
      </c>
      <c r="AA302" s="88">
        <f t="shared" si="71"/>
        <v>3808.75</v>
      </c>
      <c r="AB302" s="88">
        <f t="shared" si="72"/>
        <v>40165</v>
      </c>
      <c r="AC302" s="109">
        <f t="shared" si="60"/>
        <v>3614.85</v>
      </c>
      <c r="AD302" s="109">
        <f t="shared" si="61"/>
        <v>963.96</v>
      </c>
      <c r="AE302" s="109">
        <f t="shared" si="73"/>
        <v>8387.5600000000013</v>
      </c>
      <c r="AF302" s="73">
        <f t="shared" si="74"/>
        <v>55.917066666666678</v>
      </c>
    </row>
    <row r="303" spans="1:32" x14ac:dyDescent="0.25">
      <c r="A303" s="102">
        <v>160</v>
      </c>
      <c r="B303" s="68" t="str">
        <f t="shared" si="62"/>
        <v>2.94, Plant &amp; Pre-Rigid  8R-36</v>
      </c>
      <c r="C303" s="103">
        <v>2.94</v>
      </c>
      <c r="D303" s="68" t="s">
        <v>151</v>
      </c>
      <c r="E303" s="68" t="s">
        <v>287</v>
      </c>
      <c r="F303" s="68" t="s">
        <v>160</v>
      </c>
      <c r="G303" s="68" t="str">
        <f t="shared" si="63"/>
        <v>Plant &amp; Pre-Rigid  8R-36</v>
      </c>
      <c r="H303" s="85">
        <v>56000</v>
      </c>
      <c r="I303" s="221">
        <v>24</v>
      </c>
      <c r="J303" s="221">
        <v>6.25</v>
      </c>
      <c r="K303" s="221">
        <v>65</v>
      </c>
      <c r="L303" s="86">
        <f t="shared" si="64"/>
        <v>8.461538461538462E-2</v>
      </c>
      <c r="M303" s="221">
        <v>45</v>
      </c>
      <c r="N303" s="221">
        <v>45</v>
      </c>
      <c r="O303" s="221">
        <v>8</v>
      </c>
      <c r="P303" s="221">
        <v>150</v>
      </c>
      <c r="Q303" s="221">
        <v>0</v>
      </c>
      <c r="R303" s="104">
        <f t="shared" si="65"/>
        <v>1200</v>
      </c>
      <c r="S303" s="104">
        <v>1</v>
      </c>
      <c r="T303" s="104">
        <v>0.27</v>
      </c>
      <c r="U303" s="104">
        <v>1.4</v>
      </c>
      <c r="V303" s="219">
        <f t="shared" si="66"/>
        <v>1061.8900558664798</v>
      </c>
      <c r="W303" s="106">
        <f t="shared" si="67"/>
        <v>7.0792670391098653</v>
      </c>
      <c r="X303" s="107">
        <f t="shared" si="68"/>
        <v>3150</v>
      </c>
      <c r="Y303" s="108">
        <f t="shared" si="69"/>
        <v>21</v>
      </c>
      <c r="Z303" s="88">
        <f t="shared" si="70"/>
        <v>25200</v>
      </c>
      <c r="AA303" s="88">
        <f t="shared" si="71"/>
        <v>3850</v>
      </c>
      <c r="AB303" s="88">
        <f t="shared" si="72"/>
        <v>40600</v>
      </c>
      <c r="AC303" s="109">
        <f t="shared" si="60"/>
        <v>3654</v>
      </c>
      <c r="AD303" s="109">
        <f t="shared" si="61"/>
        <v>974.4</v>
      </c>
      <c r="AE303" s="109">
        <f t="shared" si="73"/>
        <v>8478.4</v>
      </c>
      <c r="AF303" s="73">
        <f t="shared" si="74"/>
        <v>56.522666666666666</v>
      </c>
    </row>
    <row r="304" spans="1:32" x14ac:dyDescent="0.25">
      <c r="A304" s="102">
        <v>161</v>
      </c>
      <c r="B304" s="68" t="str">
        <f t="shared" si="62"/>
        <v>2.95, Plant &amp; Pre-Rigid 10R-30</v>
      </c>
      <c r="C304" s="103">
        <v>2.95</v>
      </c>
      <c r="D304" s="68" t="s">
        <v>151</v>
      </c>
      <c r="E304" s="68" t="s">
        <v>287</v>
      </c>
      <c r="F304" s="68" t="s">
        <v>170</v>
      </c>
      <c r="G304" s="68" t="str">
        <f t="shared" si="63"/>
        <v>Plant &amp; Pre-Rigid 10R-30</v>
      </c>
      <c r="H304" s="85">
        <v>53000</v>
      </c>
      <c r="I304" s="221">
        <v>25</v>
      </c>
      <c r="J304" s="221">
        <v>6.25</v>
      </c>
      <c r="K304" s="221">
        <v>65</v>
      </c>
      <c r="L304" s="86">
        <f t="shared" si="64"/>
        <v>8.1230769230769231E-2</v>
      </c>
      <c r="M304" s="221">
        <v>45</v>
      </c>
      <c r="N304" s="221">
        <v>45</v>
      </c>
      <c r="O304" s="221">
        <v>8</v>
      </c>
      <c r="P304" s="221">
        <v>150</v>
      </c>
      <c r="Q304" s="221">
        <v>0</v>
      </c>
      <c r="R304" s="104">
        <f t="shared" si="65"/>
        <v>1200</v>
      </c>
      <c r="S304" s="104">
        <v>1</v>
      </c>
      <c r="T304" s="104">
        <v>0.27</v>
      </c>
      <c r="U304" s="104">
        <v>1.4</v>
      </c>
      <c r="V304" s="219">
        <f t="shared" si="66"/>
        <v>1005.0030885879183</v>
      </c>
      <c r="W304" s="106">
        <f t="shared" si="67"/>
        <v>6.7000205905861225</v>
      </c>
      <c r="X304" s="107">
        <f t="shared" si="68"/>
        <v>2981.25</v>
      </c>
      <c r="Y304" s="108">
        <f t="shared" si="69"/>
        <v>19.875</v>
      </c>
      <c r="Z304" s="88">
        <f t="shared" si="70"/>
        <v>23850</v>
      </c>
      <c r="AA304" s="88">
        <f t="shared" si="71"/>
        <v>3643.75</v>
      </c>
      <c r="AB304" s="88">
        <f t="shared" si="72"/>
        <v>38425</v>
      </c>
      <c r="AC304" s="109">
        <f t="shared" si="60"/>
        <v>3458.25</v>
      </c>
      <c r="AD304" s="109">
        <f t="shared" si="61"/>
        <v>922.2</v>
      </c>
      <c r="AE304" s="109">
        <f t="shared" si="73"/>
        <v>8024.2</v>
      </c>
      <c r="AF304" s="73">
        <f t="shared" si="74"/>
        <v>53.494666666666667</v>
      </c>
    </row>
    <row r="305" spans="1:32" x14ac:dyDescent="0.25">
      <c r="A305" s="102">
        <v>347</v>
      </c>
      <c r="B305" s="68" t="str">
        <f t="shared" si="62"/>
        <v>2.96, Plant &amp; Pre-Rigid 12R-30</v>
      </c>
      <c r="C305" s="103">
        <v>2.96</v>
      </c>
      <c r="D305" s="68" t="s">
        <v>151</v>
      </c>
      <c r="E305" s="68" t="s">
        <v>287</v>
      </c>
      <c r="F305" s="68" t="s">
        <v>156</v>
      </c>
      <c r="G305" s="68" t="str">
        <f t="shared" si="63"/>
        <v>Plant &amp; Pre-Rigid 12R-30</v>
      </c>
      <c r="H305" s="85">
        <v>88100</v>
      </c>
      <c r="I305" s="221">
        <v>30</v>
      </c>
      <c r="J305" s="221">
        <v>6.25</v>
      </c>
      <c r="K305" s="221">
        <v>65</v>
      </c>
      <c r="L305" s="86">
        <f t="shared" si="64"/>
        <v>6.7692307692307691E-2</v>
      </c>
      <c r="M305" s="221">
        <v>45</v>
      </c>
      <c r="N305" s="221">
        <v>45</v>
      </c>
      <c r="O305" s="221">
        <v>8</v>
      </c>
      <c r="P305" s="221">
        <v>150</v>
      </c>
      <c r="Q305" s="221">
        <v>0</v>
      </c>
      <c r="R305" s="104">
        <f t="shared" si="65"/>
        <v>1200</v>
      </c>
      <c r="S305" s="104">
        <v>1</v>
      </c>
      <c r="T305" s="104">
        <v>0.27</v>
      </c>
      <c r="U305" s="104">
        <v>1.4</v>
      </c>
      <c r="V305" s="219">
        <f t="shared" si="66"/>
        <v>1670.5806057470866</v>
      </c>
      <c r="W305" s="106">
        <f t="shared" si="67"/>
        <v>11.137204038313911</v>
      </c>
      <c r="X305" s="107">
        <f t="shared" si="68"/>
        <v>4955.625</v>
      </c>
      <c r="Y305" s="108">
        <f t="shared" si="69"/>
        <v>33.037500000000001</v>
      </c>
      <c r="Z305" s="88">
        <f t="shared" si="70"/>
        <v>39645</v>
      </c>
      <c r="AA305" s="88">
        <f t="shared" si="71"/>
        <v>6056.875</v>
      </c>
      <c r="AB305" s="88">
        <f t="shared" si="72"/>
        <v>63872.5</v>
      </c>
      <c r="AC305" s="109">
        <f t="shared" si="60"/>
        <v>5748.5249999999996</v>
      </c>
      <c r="AD305" s="109">
        <f t="shared" si="61"/>
        <v>1532.94</v>
      </c>
      <c r="AE305" s="109">
        <f t="shared" si="73"/>
        <v>13338.34</v>
      </c>
      <c r="AF305" s="73">
        <f t="shared" si="74"/>
        <v>88.922266666666673</v>
      </c>
    </row>
    <row r="306" spans="1:32" x14ac:dyDescent="0.25">
      <c r="A306" s="102">
        <v>645</v>
      </c>
      <c r="B306" s="68" t="str">
        <f t="shared" si="62"/>
        <v>2.97, Plant &amp; Pre-Twin Row 8R-36</v>
      </c>
      <c r="C306" s="103">
        <v>2.97</v>
      </c>
      <c r="D306" s="68" t="s">
        <v>151</v>
      </c>
      <c r="E306" s="68" t="s">
        <v>288</v>
      </c>
      <c r="F306" s="68" t="s">
        <v>166</v>
      </c>
      <c r="G306" s="68" t="str">
        <f t="shared" si="63"/>
        <v>Plant &amp; Pre-Twin Row 8R-36</v>
      </c>
      <c r="H306" s="85">
        <v>127000</v>
      </c>
      <c r="I306" s="221">
        <v>24</v>
      </c>
      <c r="J306" s="221">
        <v>6.25</v>
      </c>
      <c r="K306" s="221">
        <v>65</v>
      </c>
      <c r="L306" s="86">
        <f t="shared" si="64"/>
        <v>8.461538461538462E-2</v>
      </c>
      <c r="M306" s="221">
        <v>45</v>
      </c>
      <c r="N306" s="221">
        <v>45</v>
      </c>
      <c r="O306" s="221">
        <v>8</v>
      </c>
      <c r="P306" s="221">
        <v>150</v>
      </c>
      <c r="Q306" s="221">
        <v>0</v>
      </c>
      <c r="R306" s="104">
        <f t="shared" si="65"/>
        <v>1200</v>
      </c>
      <c r="S306" s="104">
        <v>1</v>
      </c>
      <c r="T306" s="104">
        <v>0.27</v>
      </c>
      <c r="U306" s="104">
        <v>1.4</v>
      </c>
      <c r="V306" s="219">
        <f t="shared" si="66"/>
        <v>2408.2149481257661</v>
      </c>
      <c r="W306" s="106">
        <f t="shared" si="67"/>
        <v>16.054766320838439</v>
      </c>
      <c r="X306" s="107">
        <f t="shared" si="68"/>
        <v>7143.75</v>
      </c>
      <c r="Y306" s="108">
        <f t="shared" si="69"/>
        <v>47.625</v>
      </c>
      <c r="Z306" s="88">
        <f t="shared" si="70"/>
        <v>57150</v>
      </c>
      <c r="AA306" s="88">
        <f t="shared" si="71"/>
        <v>8731.25</v>
      </c>
      <c r="AB306" s="88">
        <f t="shared" si="72"/>
        <v>92075</v>
      </c>
      <c r="AC306" s="109">
        <f t="shared" si="60"/>
        <v>8286.75</v>
      </c>
      <c r="AD306" s="109">
        <f t="shared" si="61"/>
        <v>2209.8000000000002</v>
      </c>
      <c r="AE306" s="109">
        <f t="shared" si="73"/>
        <v>19227.8</v>
      </c>
      <c r="AF306" s="73">
        <f t="shared" si="74"/>
        <v>128.18533333333332</v>
      </c>
    </row>
    <row r="307" spans="1:32" x14ac:dyDescent="0.25">
      <c r="A307" s="102">
        <v>604</v>
      </c>
      <c r="B307" s="68" t="str">
        <f t="shared" si="62"/>
        <v>2.98, Plant &amp; Pre-Twin Row 12R-36</v>
      </c>
      <c r="C307" s="103">
        <v>2.98</v>
      </c>
      <c r="D307" s="68" t="s">
        <v>151</v>
      </c>
      <c r="E307" s="68" t="s">
        <v>288</v>
      </c>
      <c r="F307" s="68" t="s">
        <v>158</v>
      </c>
      <c r="G307" s="68" t="str">
        <f t="shared" si="63"/>
        <v>Plant &amp; Pre-Twin Row 12R-36</v>
      </c>
      <c r="H307" s="85">
        <v>161000</v>
      </c>
      <c r="I307" s="221">
        <v>36</v>
      </c>
      <c r="J307" s="221">
        <v>6.25</v>
      </c>
      <c r="K307" s="221">
        <v>65</v>
      </c>
      <c r="L307" s="86">
        <f t="shared" si="64"/>
        <v>5.6410256410256411E-2</v>
      </c>
      <c r="M307" s="221">
        <v>45</v>
      </c>
      <c r="N307" s="221">
        <v>45</v>
      </c>
      <c r="O307" s="221">
        <v>8</v>
      </c>
      <c r="P307" s="221">
        <v>150</v>
      </c>
      <c r="Q307" s="221">
        <v>0</v>
      </c>
      <c r="R307" s="104">
        <f t="shared" si="65"/>
        <v>1200</v>
      </c>
      <c r="S307" s="104">
        <v>1</v>
      </c>
      <c r="T307" s="104">
        <v>0.27</v>
      </c>
      <c r="U307" s="104">
        <v>1.4</v>
      </c>
      <c r="V307" s="219">
        <f t="shared" si="66"/>
        <v>3052.9339106161287</v>
      </c>
      <c r="W307" s="106">
        <f t="shared" si="67"/>
        <v>20.352892737440857</v>
      </c>
      <c r="X307" s="107">
        <f t="shared" si="68"/>
        <v>9056.25</v>
      </c>
      <c r="Y307" s="108">
        <f t="shared" si="69"/>
        <v>60.375</v>
      </c>
      <c r="Z307" s="88">
        <f t="shared" si="70"/>
        <v>72450</v>
      </c>
      <c r="AA307" s="88">
        <f t="shared" si="71"/>
        <v>11068.75</v>
      </c>
      <c r="AB307" s="88">
        <f t="shared" si="72"/>
        <v>116725</v>
      </c>
      <c r="AC307" s="109">
        <f t="shared" si="60"/>
        <v>10505.25</v>
      </c>
      <c r="AD307" s="109">
        <f t="shared" si="61"/>
        <v>2801.4</v>
      </c>
      <c r="AE307" s="109">
        <f t="shared" si="73"/>
        <v>24375.4</v>
      </c>
      <c r="AF307" s="73">
        <f t="shared" si="74"/>
        <v>162.50266666666667</v>
      </c>
    </row>
    <row r="308" spans="1:32" x14ac:dyDescent="0.25">
      <c r="A308" s="102"/>
      <c r="B308" s="68" t="str">
        <f t="shared" si="62"/>
        <v>2.99, Plow 4 Bottom Switch</v>
      </c>
      <c r="C308" s="103">
        <v>2.99</v>
      </c>
      <c r="D308" s="68" t="s">
        <v>151</v>
      </c>
      <c r="E308" s="68" t="s">
        <v>289</v>
      </c>
      <c r="F308" s="68" t="s">
        <v>290</v>
      </c>
      <c r="G308" s="68" t="str">
        <f t="shared" si="63"/>
        <v>Plow 4 Bottom Switch</v>
      </c>
      <c r="H308" s="85">
        <v>16000</v>
      </c>
      <c r="I308" s="221">
        <v>6</v>
      </c>
      <c r="J308" s="221">
        <v>4</v>
      </c>
      <c r="K308" s="221">
        <v>80</v>
      </c>
      <c r="L308" s="86">
        <f t="shared" si="64"/>
        <v>0.4296875</v>
      </c>
      <c r="M308" s="221">
        <v>30</v>
      </c>
      <c r="N308" s="221">
        <v>40</v>
      </c>
      <c r="O308" s="221">
        <v>8</v>
      </c>
      <c r="P308" s="221">
        <v>150</v>
      </c>
      <c r="Q308" s="221">
        <v>0</v>
      </c>
      <c r="R308" s="104">
        <f t="shared" si="65"/>
        <v>1200</v>
      </c>
      <c r="S308" s="104">
        <v>1</v>
      </c>
      <c r="T308" s="104">
        <v>0.27</v>
      </c>
      <c r="U308" s="104">
        <v>1.4</v>
      </c>
      <c r="V308" s="219">
        <f t="shared" si="66"/>
        <v>303.39715881899417</v>
      </c>
      <c r="W308" s="106">
        <f t="shared" si="67"/>
        <v>2.0226477254599611</v>
      </c>
      <c r="X308" s="107">
        <f t="shared" si="68"/>
        <v>800</v>
      </c>
      <c r="Y308" s="108">
        <f t="shared" si="69"/>
        <v>5.333333333333333</v>
      </c>
      <c r="Z308" s="88">
        <f t="shared" si="70"/>
        <v>4800</v>
      </c>
      <c r="AA308" s="88">
        <f t="shared" si="71"/>
        <v>1400</v>
      </c>
      <c r="AB308" s="88">
        <f t="shared" si="72"/>
        <v>10400</v>
      </c>
      <c r="AC308" s="109">
        <f t="shared" si="60"/>
        <v>936</v>
      </c>
      <c r="AD308" s="109">
        <f t="shared" si="61"/>
        <v>249.6</v>
      </c>
      <c r="AE308" s="109">
        <f t="shared" si="73"/>
        <v>2585.6</v>
      </c>
      <c r="AF308" s="73">
        <f t="shared" si="74"/>
        <v>17.237333333333332</v>
      </c>
    </row>
    <row r="309" spans="1:32" x14ac:dyDescent="0.25">
      <c r="A309" s="102"/>
      <c r="B309" s="68" t="str">
        <f t="shared" si="62"/>
        <v>3, Plow 5 Bottom Switch</v>
      </c>
      <c r="C309" s="103">
        <v>3</v>
      </c>
      <c r="D309" s="68" t="s">
        <v>151</v>
      </c>
      <c r="E309" s="68" t="s">
        <v>289</v>
      </c>
      <c r="F309" s="68" t="s">
        <v>291</v>
      </c>
      <c r="G309" s="68" t="str">
        <f t="shared" si="63"/>
        <v>Plow 5 Bottom Switch</v>
      </c>
      <c r="H309" s="85">
        <v>18000</v>
      </c>
      <c r="I309" s="221">
        <v>7.5</v>
      </c>
      <c r="J309" s="221">
        <v>4</v>
      </c>
      <c r="K309" s="221">
        <v>80</v>
      </c>
      <c r="L309" s="86">
        <f t="shared" si="64"/>
        <v>0.34375</v>
      </c>
      <c r="M309" s="221">
        <v>30</v>
      </c>
      <c r="N309" s="221">
        <v>40</v>
      </c>
      <c r="O309" s="221">
        <v>8</v>
      </c>
      <c r="P309" s="221">
        <v>150</v>
      </c>
      <c r="Q309" s="221">
        <v>0</v>
      </c>
      <c r="R309" s="104">
        <f t="shared" si="65"/>
        <v>1200</v>
      </c>
      <c r="S309" s="104">
        <v>1</v>
      </c>
      <c r="T309" s="104">
        <v>0.27</v>
      </c>
      <c r="U309" s="104">
        <v>1.4</v>
      </c>
      <c r="V309" s="219">
        <f t="shared" si="66"/>
        <v>341.32180367136846</v>
      </c>
      <c r="W309" s="106">
        <f t="shared" si="67"/>
        <v>2.2754786911424563</v>
      </c>
      <c r="X309" s="107">
        <f t="shared" si="68"/>
        <v>900</v>
      </c>
      <c r="Y309" s="108">
        <f t="shared" si="69"/>
        <v>6</v>
      </c>
      <c r="Z309" s="88">
        <f t="shared" si="70"/>
        <v>5400</v>
      </c>
      <c r="AA309" s="88">
        <f t="shared" si="71"/>
        <v>1575</v>
      </c>
      <c r="AB309" s="88">
        <f t="shared" si="72"/>
        <v>11700</v>
      </c>
      <c r="AC309" s="109">
        <f t="shared" si="60"/>
        <v>1053</v>
      </c>
      <c r="AD309" s="109">
        <f t="shared" si="61"/>
        <v>280.8</v>
      </c>
      <c r="AE309" s="109">
        <f t="shared" si="73"/>
        <v>2908.8</v>
      </c>
      <c r="AF309" s="73">
        <f t="shared" si="74"/>
        <v>19.391999999999999</v>
      </c>
    </row>
    <row r="310" spans="1:32" x14ac:dyDescent="0.25">
      <c r="A310" s="102">
        <v>29</v>
      </c>
      <c r="B310" s="68" t="str">
        <f t="shared" si="62"/>
        <v>3.01, Roller/Cultipacker 12'</v>
      </c>
      <c r="C310" s="103">
        <v>3.01</v>
      </c>
      <c r="D310" s="68" t="s">
        <v>151</v>
      </c>
      <c r="E310" s="68" t="s">
        <v>292</v>
      </c>
      <c r="F310" s="68" t="s">
        <v>231</v>
      </c>
      <c r="G310" s="68" t="str">
        <f t="shared" si="63"/>
        <v>Roller/Cultipacker 12'</v>
      </c>
      <c r="H310" s="85">
        <v>7470</v>
      </c>
      <c r="I310" s="221">
        <v>12</v>
      </c>
      <c r="J310" s="221">
        <v>6.5</v>
      </c>
      <c r="K310" s="221">
        <v>85</v>
      </c>
      <c r="L310" s="86">
        <f t="shared" si="64"/>
        <v>0.12443438914027148</v>
      </c>
      <c r="M310" s="221">
        <v>25</v>
      </c>
      <c r="N310" s="221">
        <v>85</v>
      </c>
      <c r="O310" s="221">
        <v>12</v>
      </c>
      <c r="P310" s="221">
        <v>300</v>
      </c>
      <c r="Q310" s="221">
        <v>0</v>
      </c>
      <c r="R310" s="104">
        <f t="shared" si="65"/>
        <v>3600</v>
      </c>
      <c r="S310" s="104">
        <v>1</v>
      </c>
      <c r="T310" s="104">
        <v>0.27</v>
      </c>
      <c r="U310" s="104">
        <v>1.4</v>
      </c>
      <c r="V310" s="219">
        <f t="shared" si="66"/>
        <v>373.81276065282395</v>
      </c>
      <c r="W310" s="106">
        <f t="shared" si="67"/>
        <v>1.2460425355094131</v>
      </c>
      <c r="X310" s="107">
        <f t="shared" si="68"/>
        <v>529.125</v>
      </c>
      <c r="Y310" s="108">
        <f t="shared" si="69"/>
        <v>1.7637499999999999</v>
      </c>
      <c r="Z310" s="88">
        <f t="shared" si="70"/>
        <v>1867.5</v>
      </c>
      <c r="AA310" s="88">
        <f t="shared" si="71"/>
        <v>466.875</v>
      </c>
      <c r="AB310" s="88">
        <f t="shared" si="72"/>
        <v>4668.75</v>
      </c>
      <c r="AC310" s="109">
        <f t="shared" si="60"/>
        <v>420.1875</v>
      </c>
      <c r="AD310" s="109">
        <f t="shared" si="61"/>
        <v>112.05</v>
      </c>
      <c r="AE310" s="109">
        <f t="shared" si="73"/>
        <v>999.11249999999995</v>
      </c>
      <c r="AF310" s="73">
        <f t="shared" si="74"/>
        <v>3.3303749999999996</v>
      </c>
    </row>
    <row r="311" spans="1:32" x14ac:dyDescent="0.25">
      <c r="A311" s="102">
        <v>30</v>
      </c>
      <c r="B311" s="68" t="str">
        <f t="shared" si="62"/>
        <v>3.02, Roller/Cultipacker 20'</v>
      </c>
      <c r="C311" s="103">
        <v>3.02</v>
      </c>
      <c r="D311" s="68" t="s">
        <v>151</v>
      </c>
      <c r="E311" s="68" t="s">
        <v>292</v>
      </c>
      <c r="F311" s="68" t="s">
        <v>205</v>
      </c>
      <c r="G311" s="68" t="str">
        <f t="shared" si="63"/>
        <v>Roller/Cultipacker 20'</v>
      </c>
      <c r="H311" s="85">
        <v>13500</v>
      </c>
      <c r="I311" s="221">
        <v>20</v>
      </c>
      <c r="J311" s="221">
        <v>6.5</v>
      </c>
      <c r="K311" s="221">
        <v>85</v>
      </c>
      <c r="L311" s="86">
        <f t="shared" si="64"/>
        <v>7.4660633484162894E-2</v>
      </c>
      <c r="M311" s="221">
        <v>25</v>
      </c>
      <c r="N311" s="221">
        <v>85</v>
      </c>
      <c r="O311" s="221">
        <v>12</v>
      </c>
      <c r="P311" s="221">
        <v>300</v>
      </c>
      <c r="Q311" s="221">
        <v>0</v>
      </c>
      <c r="R311" s="104">
        <f t="shared" si="65"/>
        <v>3600</v>
      </c>
      <c r="S311" s="104">
        <v>1</v>
      </c>
      <c r="T311" s="104">
        <v>0.27</v>
      </c>
      <c r="U311" s="104">
        <v>1.4</v>
      </c>
      <c r="V311" s="219">
        <f t="shared" si="66"/>
        <v>675.56523009546504</v>
      </c>
      <c r="W311" s="106">
        <f t="shared" si="67"/>
        <v>2.2518841003182168</v>
      </c>
      <c r="X311" s="107">
        <f t="shared" si="68"/>
        <v>956.25</v>
      </c>
      <c r="Y311" s="108">
        <f t="shared" si="69"/>
        <v>3.1875</v>
      </c>
      <c r="Z311" s="88">
        <f t="shared" si="70"/>
        <v>3375</v>
      </c>
      <c r="AA311" s="88">
        <f t="shared" si="71"/>
        <v>843.75</v>
      </c>
      <c r="AB311" s="88">
        <f t="shared" si="72"/>
        <v>8437.5</v>
      </c>
      <c r="AC311" s="109">
        <f t="shared" si="60"/>
        <v>759.375</v>
      </c>
      <c r="AD311" s="109">
        <f t="shared" si="61"/>
        <v>202.5</v>
      </c>
      <c r="AE311" s="109">
        <f t="shared" si="73"/>
        <v>1805.625</v>
      </c>
      <c r="AF311" s="73">
        <f t="shared" si="74"/>
        <v>6.0187499999999998</v>
      </c>
    </row>
    <row r="312" spans="1:32" x14ac:dyDescent="0.25">
      <c r="A312" s="102">
        <v>172</v>
      </c>
      <c r="B312" s="68" t="str">
        <f t="shared" si="62"/>
        <v>3.03, Roller/Cultipacker 30'</v>
      </c>
      <c r="C312" s="103">
        <v>3.03</v>
      </c>
      <c r="D312" s="68" t="s">
        <v>151</v>
      </c>
      <c r="E312" s="68" t="s">
        <v>292</v>
      </c>
      <c r="F312" s="68" t="s">
        <v>236</v>
      </c>
      <c r="G312" s="68" t="str">
        <f t="shared" si="63"/>
        <v>Roller/Cultipacker 30'</v>
      </c>
      <c r="H312" s="85">
        <v>21100</v>
      </c>
      <c r="I312" s="221">
        <v>30</v>
      </c>
      <c r="J312" s="221">
        <v>6.5</v>
      </c>
      <c r="K312" s="221">
        <v>85</v>
      </c>
      <c r="L312" s="86">
        <f t="shared" si="64"/>
        <v>4.9773755656108601E-2</v>
      </c>
      <c r="M312" s="221">
        <v>25</v>
      </c>
      <c r="N312" s="221">
        <v>85</v>
      </c>
      <c r="O312" s="221">
        <v>12</v>
      </c>
      <c r="P312" s="221">
        <v>300</v>
      </c>
      <c r="Q312" s="221">
        <v>0</v>
      </c>
      <c r="R312" s="104">
        <f t="shared" si="65"/>
        <v>3600</v>
      </c>
      <c r="S312" s="104">
        <v>1</v>
      </c>
      <c r="T312" s="104">
        <v>0.27</v>
      </c>
      <c r="U312" s="104">
        <v>1.4</v>
      </c>
      <c r="V312" s="219">
        <f t="shared" si="66"/>
        <v>1055.8834337047635</v>
      </c>
      <c r="W312" s="106">
        <f t="shared" si="67"/>
        <v>3.5196114456825454</v>
      </c>
      <c r="X312" s="107">
        <f t="shared" si="68"/>
        <v>1494.5833333333333</v>
      </c>
      <c r="Y312" s="108">
        <f t="shared" si="69"/>
        <v>4.9819444444444443</v>
      </c>
      <c r="Z312" s="88">
        <f t="shared" si="70"/>
        <v>5275</v>
      </c>
      <c r="AA312" s="88">
        <f t="shared" si="71"/>
        <v>1318.75</v>
      </c>
      <c r="AB312" s="88">
        <f t="shared" si="72"/>
        <v>13187.5</v>
      </c>
      <c r="AC312" s="109">
        <f t="shared" si="60"/>
        <v>1186.875</v>
      </c>
      <c r="AD312" s="109">
        <f t="shared" si="61"/>
        <v>316.5</v>
      </c>
      <c r="AE312" s="109">
        <f t="shared" si="73"/>
        <v>2822.125</v>
      </c>
      <c r="AF312" s="73">
        <f t="shared" si="74"/>
        <v>9.4070833333333326</v>
      </c>
    </row>
    <row r="313" spans="1:32" x14ac:dyDescent="0.25">
      <c r="A313" s="102">
        <v>717</v>
      </c>
      <c r="B313" s="68" t="str">
        <f t="shared" si="62"/>
        <v>3.04, Roller/Cultipacker 38'</v>
      </c>
      <c r="C313" s="103">
        <v>3.04</v>
      </c>
      <c r="D313" s="68" t="s">
        <v>151</v>
      </c>
      <c r="E313" s="68" t="s">
        <v>292</v>
      </c>
      <c r="F313" s="68" t="s">
        <v>293</v>
      </c>
      <c r="G313" s="68" t="str">
        <f t="shared" si="63"/>
        <v>Roller/Cultipacker 38'</v>
      </c>
      <c r="H313" s="85">
        <v>27500</v>
      </c>
      <c r="I313" s="221">
        <v>38</v>
      </c>
      <c r="J313" s="221">
        <v>6.5</v>
      </c>
      <c r="K313" s="221">
        <v>85</v>
      </c>
      <c r="L313" s="86">
        <f t="shared" si="64"/>
        <v>3.9295070254822574E-2</v>
      </c>
      <c r="M313" s="221">
        <v>25</v>
      </c>
      <c r="N313" s="221">
        <v>85</v>
      </c>
      <c r="O313" s="221">
        <v>12</v>
      </c>
      <c r="P313" s="221">
        <v>300</v>
      </c>
      <c r="Q313" s="221">
        <v>0</v>
      </c>
      <c r="R313" s="104">
        <f t="shared" si="65"/>
        <v>3600</v>
      </c>
      <c r="S313" s="104">
        <v>1</v>
      </c>
      <c r="T313" s="104">
        <v>0.27</v>
      </c>
      <c r="U313" s="104">
        <v>1.4</v>
      </c>
      <c r="V313" s="219">
        <f t="shared" si="66"/>
        <v>1376.1513946389102</v>
      </c>
      <c r="W313" s="106">
        <f t="shared" si="67"/>
        <v>4.587171315463034</v>
      </c>
      <c r="X313" s="107">
        <f t="shared" si="68"/>
        <v>1947.9166666666667</v>
      </c>
      <c r="Y313" s="108">
        <f t="shared" si="69"/>
        <v>6.4930555555555562</v>
      </c>
      <c r="Z313" s="88">
        <f t="shared" si="70"/>
        <v>6875</v>
      </c>
      <c r="AA313" s="88">
        <f t="shared" si="71"/>
        <v>1718.75</v>
      </c>
      <c r="AB313" s="88">
        <f t="shared" si="72"/>
        <v>17187.5</v>
      </c>
      <c r="AC313" s="109">
        <f t="shared" si="60"/>
        <v>1546.875</v>
      </c>
      <c r="AD313" s="109">
        <f t="shared" si="61"/>
        <v>412.5</v>
      </c>
      <c r="AE313" s="109">
        <f t="shared" si="73"/>
        <v>3678.125</v>
      </c>
      <c r="AF313" s="73">
        <f t="shared" si="74"/>
        <v>12.260416666666666</v>
      </c>
    </row>
    <row r="314" spans="1:32" x14ac:dyDescent="0.25">
      <c r="A314" s="102">
        <v>718</v>
      </c>
      <c r="B314" s="68" t="str">
        <f t="shared" si="62"/>
        <v>3.05, Roller/Stubble 20'</v>
      </c>
      <c r="C314" s="103">
        <v>3.05</v>
      </c>
      <c r="D314" s="68" t="s">
        <v>151</v>
      </c>
      <c r="E314" s="68" t="s">
        <v>294</v>
      </c>
      <c r="F314" s="68" t="s">
        <v>205</v>
      </c>
      <c r="G314" s="68" t="str">
        <f t="shared" si="63"/>
        <v>Roller/Stubble 20'</v>
      </c>
      <c r="H314" s="85">
        <v>15900</v>
      </c>
      <c r="I314" s="221">
        <v>20</v>
      </c>
      <c r="J314" s="221">
        <v>6.5</v>
      </c>
      <c r="K314" s="221">
        <v>85</v>
      </c>
      <c r="L314" s="86">
        <f t="shared" si="64"/>
        <v>7.4660633484162894E-2</v>
      </c>
      <c r="M314" s="221">
        <v>25</v>
      </c>
      <c r="N314" s="221">
        <v>85</v>
      </c>
      <c r="O314" s="221">
        <v>12</v>
      </c>
      <c r="P314" s="221">
        <v>300</v>
      </c>
      <c r="Q314" s="221">
        <v>0</v>
      </c>
      <c r="R314" s="104">
        <f t="shared" si="65"/>
        <v>3600</v>
      </c>
      <c r="S314" s="104">
        <v>1</v>
      </c>
      <c r="T314" s="104">
        <v>0.27</v>
      </c>
      <c r="U314" s="104">
        <v>1.4</v>
      </c>
      <c r="V314" s="219">
        <f t="shared" si="66"/>
        <v>795.66571544576982</v>
      </c>
      <c r="W314" s="106">
        <f t="shared" si="67"/>
        <v>2.6522190514858992</v>
      </c>
      <c r="X314" s="107">
        <f t="shared" si="68"/>
        <v>1126.25</v>
      </c>
      <c r="Y314" s="108">
        <f t="shared" si="69"/>
        <v>3.7541666666666669</v>
      </c>
      <c r="Z314" s="88">
        <f t="shared" si="70"/>
        <v>3975</v>
      </c>
      <c r="AA314" s="88">
        <f t="shared" si="71"/>
        <v>993.75</v>
      </c>
      <c r="AB314" s="88">
        <f t="shared" si="72"/>
        <v>9937.5</v>
      </c>
      <c r="AC314" s="109">
        <f t="shared" si="60"/>
        <v>894.375</v>
      </c>
      <c r="AD314" s="109">
        <f t="shared" si="61"/>
        <v>238.5</v>
      </c>
      <c r="AE314" s="109">
        <f t="shared" si="73"/>
        <v>2126.625</v>
      </c>
      <c r="AF314" s="73">
        <f t="shared" si="74"/>
        <v>7.0887500000000001</v>
      </c>
    </row>
    <row r="315" spans="1:32" x14ac:dyDescent="0.25">
      <c r="A315" s="102">
        <v>719</v>
      </c>
      <c r="B315" s="68" t="str">
        <f t="shared" si="62"/>
        <v>3.06, Roller/Stubble 32'</v>
      </c>
      <c r="C315" s="103">
        <v>3.06</v>
      </c>
      <c r="D315" s="68" t="s">
        <v>151</v>
      </c>
      <c r="E315" s="68" t="s">
        <v>294</v>
      </c>
      <c r="F315" s="68" t="s">
        <v>198</v>
      </c>
      <c r="G315" s="68" t="str">
        <f t="shared" si="63"/>
        <v>Roller/Stubble 32'</v>
      </c>
      <c r="H315" s="85">
        <v>23700</v>
      </c>
      <c r="I315" s="221">
        <v>32</v>
      </c>
      <c r="J315" s="221">
        <v>6.5</v>
      </c>
      <c r="K315" s="221">
        <v>85</v>
      </c>
      <c r="L315" s="86">
        <f t="shared" si="64"/>
        <v>4.6662895927601804E-2</v>
      </c>
      <c r="M315" s="221">
        <v>25</v>
      </c>
      <c r="N315" s="221">
        <v>85</v>
      </c>
      <c r="O315" s="221">
        <v>12</v>
      </c>
      <c r="P315" s="221">
        <v>300</v>
      </c>
      <c r="Q315" s="221">
        <v>0</v>
      </c>
      <c r="R315" s="104">
        <f t="shared" si="65"/>
        <v>3600</v>
      </c>
      <c r="S315" s="104">
        <v>1</v>
      </c>
      <c r="T315" s="104">
        <v>0.27</v>
      </c>
      <c r="U315" s="104">
        <v>1.4</v>
      </c>
      <c r="V315" s="219">
        <f t="shared" si="66"/>
        <v>1185.9922928342605</v>
      </c>
      <c r="W315" s="106">
        <f t="shared" si="67"/>
        <v>3.9533076427808682</v>
      </c>
      <c r="X315" s="107">
        <f t="shared" si="68"/>
        <v>1678.75</v>
      </c>
      <c r="Y315" s="108">
        <f t="shared" si="69"/>
        <v>5.5958333333333332</v>
      </c>
      <c r="Z315" s="88">
        <f t="shared" si="70"/>
        <v>5925</v>
      </c>
      <c r="AA315" s="88">
        <f t="shared" si="71"/>
        <v>1481.25</v>
      </c>
      <c r="AB315" s="88">
        <f t="shared" si="72"/>
        <v>14812.5</v>
      </c>
      <c r="AC315" s="109">
        <f t="shared" si="60"/>
        <v>1333.125</v>
      </c>
      <c r="AD315" s="109">
        <f t="shared" si="61"/>
        <v>355.5</v>
      </c>
      <c r="AE315" s="109">
        <f t="shared" si="73"/>
        <v>3169.875</v>
      </c>
      <c r="AF315" s="73">
        <f t="shared" si="74"/>
        <v>10.56625</v>
      </c>
    </row>
    <row r="316" spans="1:32" x14ac:dyDescent="0.25">
      <c r="A316" s="102">
        <v>485</v>
      </c>
      <c r="B316" s="68" t="str">
        <f t="shared" si="62"/>
        <v>3.07, Rotary Cutter  7'</v>
      </c>
      <c r="C316" s="103">
        <v>3.07</v>
      </c>
      <c r="D316" s="68" t="s">
        <v>151</v>
      </c>
      <c r="E316" s="68" t="s">
        <v>295</v>
      </c>
      <c r="F316" s="68" t="s">
        <v>296</v>
      </c>
      <c r="G316" s="68" t="str">
        <f t="shared" si="63"/>
        <v>Rotary Cutter  7'</v>
      </c>
      <c r="H316" s="85">
        <v>6740</v>
      </c>
      <c r="I316" s="221">
        <v>7</v>
      </c>
      <c r="J316" s="221">
        <v>8.75</v>
      </c>
      <c r="K316" s="221">
        <v>80</v>
      </c>
      <c r="L316" s="86">
        <f t="shared" si="64"/>
        <v>0.1683673469387755</v>
      </c>
      <c r="M316" s="221">
        <v>30</v>
      </c>
      <c r="N316" s="221">
        <v>150</v>
      </c>
      <c r="O316" s="221">
        <v>10</v>
      </c>
      <c r="P316" s="221">
        <v>185</v>
      </c>
      <c r="Q316" s="221">
        <v>0</v>
      </c>
      <c r="R316" s="104">
        <f t="shared" si="65"/>
        <v>1850</v>
      </c>
      <c r="S316" s="104">
        <v>1</v>
      </c>
      <c r="T316" s="104">
        <v>0.27</v>
      </c>
      <c r="U316" s="104">
        <v>1.4</v>
      </c>
      <c r="V316" s="219">
        <f t="shared" si="66"/>
        <v>171.42102217819632</v>
      </c>
      <c r="W316" s="106">
        <f t="shared" si="67"/>
        <v>0.9266001198821423</v>
      </c>
      <c r="X316" s="107">
        <f t="shared" si="68"/>
        <v>1011</v>
      </c>
      <c r="Y316" s="108">
        <f t="shared" si="69"/>
        <v>5.4648648648648646</v>
      </c>
      <c r="Z316" s="88">
        <f t="shared" si="70"/>
        <v>2022</v>
      </c>
      <c r="AA316" s="88">
        <f t="shared" si="71"/>
        <v>471.8</v>
      </c>
      <c r="AB316" s="88">
        <f t="shared" si="72"/>
        <v>4381</v>
      </c>
      <c r="AC316" s="109">
        <f t="shared" si="60"/>
        <v>394.28999999999996</v>
      </c>
      <c r="AD316" s="109">
        <f t="shared" si="61"/>
        <v>105.14400000000001</v>
      </c>
      <c r="AE316" s="109">
        <f t="shared" si="73"/>
        <v>971.23399999999992</v>
      </c>
      <c r="AF316" s="73">
        <f t="shared" si="74"/>
        <v>5.2499135135135129</v>
      </c>
    </row>
    <row r="317" spans="1:32" x14ac:dyDescent="0.25">
      <c r="A317" s="102">
        <v>199</v>
      </c>
      <c r="B317" s="68" t="str">
        <f t="shared" si="62"/>
        <v>3.08, Rotary Cutter 12'</v>
      </c>
      <c r="C317" s="103">
        <v>3.08</v>
      </c>
      <c r="D317" s="68" t="s">
        <v>151</v>
      </c>
      <c r="E317" s="68" t="s">
        <v>295</v>
      </c>
      <c r="F317" s="68" t="s">
        <v>231</v>
      </c>
      <c r="G317" s="68" t="str">
        <f t="shared" si="63"/>
        <v>Rotary Cutter 12'</v>
      </c>
      <c r="H317" s="85">
        <v>21100</v>
      </c>
      <c r="I317" s="221">
        <v>12</v>
      </c>
      <c r="J317" s="221">
        <v>8.75</v>
      </c>
      <c r="K317" s="221">
        <v>80</v>
      </c>
      <c r="L317" s="86">
        <f t="shared" si="64"/>
        <v>9.8214285714285712E-2</v>
      </c>
      <c r="M317" s="221">
        <v>30</v>
      </c>
      <c r="N317" s="221">
        <v>150</v>
      </c>
      <c r="O317" s="221">
        <v>10</v>
      </c>
      <c r="P317" s="221">
        <v>185</v>
      </c>
      <c r="Q317" s="221">
        <v>0</v>
      </c>
      <c r="R317" s="104">
        <f t="shared" si="65"/>
        <v>1850</v>
      </c>
      <c r="S317" s="104">
        <v>1</v>
      </c>
      <c r="T317" s="104">
        <v>0.27</v>
      </c>
      <c r="U317" s="104">
        <v>1.4</v>
      </c>
      <c r="V317" s="219">
        <f t="shared" si="66"/>
        <v>536.64444628485785</v>
      </c>
      <c r="W317" s="106">
        <f t="shared" si="67"/>
        <v>2.9007807907289616</v>
      </c>
      <c r="X317" s="107">
        <f t="shared" si="68"/>
        <v>3165</v>
      </c>
      <c r="Y317" s="108">
        <f t="shared" si="69"/>
        <v>17.108108108108109</v>
      </c>
      <c r="Z317" s="88">
        <f t="shared" si="70"/>
        <v>6330</v>
      </c>
      <c r="AA317" s="88">
        <f t="shared" si="71"/>
        <v>1477</v>
      </c>
      <c r="AB317" s="88">
        <f t="shared" si="72"/>
        <v>13715</v>
      </c>
      <c r="AC317" s="109">
        <f t="shared" si="60"/>
        <v>1234.3499999999999</v>
      </c>
      <c r="AD317" s="109">
        <f t="shared" si="61"/>
        <v>329.16</v>
      </c>
      <c r="AE317" s="109">
        <f t="shared" si="73"/>
        <v>3040.5099999999998</v>
      </c>
      <c r="AF317" s="73">
        <f t="shared" si="74"/>
        <v>16.435189189189188</v>
      </c>
    </row>
    <row r="318" spans="1:32" x14ac:dyDescent="0.25">
      <c r="A318" s="102">
        <v>484</v>
      </c>
      <c r="B318" s="68" t="str">
        <f t="shared" si="62"/>
        <v>3.09, Rotary Cutter-Flex 15'</v>
      </c>
      <c r="C318" s="103">
        <v>3.09</v>
      </c>
      <c r="D318" s="68" t="s">
        <v>151</v>
      </c>
      <c r="E318" s="68" t="s">
        <v>297</v>
      </c>
      <c r="F318" s="68" t="s">
        <v>204</v>
      </c>
      <c r="G318" s="68" t="str">
        <f t="shared" si="63"/>
        <v>Rotary Cutter-Flex 15'</v>
      </c>
      <c r="H318" s="85">
        <v>27500</v>
      </c>
      <c r="I318" s="221">
        <v>15</v>
      </c>
      <c r="J318" s="221">
        <v>8.75</v>
      </c>
      <c r="K318" s="221">
        <v>80</v>
      </c>
      <c r="L318" s="86">
        <f t="shared" si="64"/>
        <v>7.857142857142857E-2</v>
      </c>
      <c r="M318" s="221">
        <v>30</v>
      </c>
      <c r="N318" s="221">
        <v>150</v>
      </c>
      <c r="O318" s="221">
        <v>10</v>
      </c>
      <c r="P318" s="221">
        <v>185</v>
      </c>
      <c r="Q318" s="221">
        <v>0</v>
      </c>
      <c r="R318" s="104">
        <f t="shared" si="65"/>
        <v>1850</v>
      </c>
      <c r="S318" s="104">
        <v>1</v>
      </c>
      <c r="T318" s="104">
        <v>0.27</v>
      </c>
      <c r="U318" s="104">
        <v>1.4</v>
      </c>
      <c r="V318" s="219">
        <f t="shared" si="66"/>
        <v>699.41811719590487</v>
      </c>
      <c r="W318" s="106">
        <f t="shared" si="67"/>
        <v>3.7806384713292154</v>
      </c>
      <c r="X318" s="107">
        <f t="shared" si="68"/>
        <v>4125</v>
      </c>
      <c r="Y318" s="108">
        <f t="shared" si="69"/>
        <v>22.297297297297298</v>
      </c>
      <c r="Z318" s="88">
        <f t="shared" si="70"/>
        <v>8250</v>
      </c>
      <c r="AA318" s="88">
        <f t="shared" si="71"/>
        <v>1925</v>
      </c>
      <c r="AB318" s="88">
        <f t="shared" si="72"/>
        <v>17875</v>
      </c>
      <c r="AC318" s="109">
        <f t="shared" si="60"/>
        <v>1608.75</v>
      </c>
      <c r="AD318" s="109">
        <f t="shared" si="61"/>
        <v>429</v>
      </c>
      <c r="AE318" s="109">
        <f t="shared" si="73"/>
        <v>3962.75</v>
      </c>
      <c r="AF318" s="73">
        <f t="shared" si="74"/>
        <v>21.420270270270269</v>
      </c>
    </row>
    <row r="319" spans="1:32" x14ac:dyDescent="0.25">
      <c r="A319" s="102">
        <v>562</v>
      </c>
      <c r="B319" s="68" t="str">
        <f t="shared" si="62"/>
        <v>3.1, Rotary Cutter-Flex 20'</v>
      </c>
      <c r="C319" s="103">
        <v>3.1</v>
      </c>
      <c r="D319" s="68" t="s">
        <v>151</v>
      </c>
      <c r="E319" s="68" t="s">
        <v>297</v>
      </c>
      <c r="F319" s="68" t="s">
        <v>205</v>
      </c>
      <c r="G319" s="68" t="str">
        <f t="shared" si="63"/>
        <v>Rotary Cutter-Flex 20'</v>
      </c>
      <c r="H319" s="85">
        <v>42200</v>
      </c>
      <c r="I319" s="221">
        <v>20</v>
      </c>
      <c r="J319" s="221">
        <v>8.75</v>
      </c>
      <c r="K319" s="221">
        <v>80</v>
      </c>
      <c r="L319" s="86">
        <f t="shared" si="64"/>
        <v>5.8928571428571434E-2</v>
      </c>
      <c r="M319" s="221">
        <v>30</v>
      </c>
      <c r="N319" s="221">
        <v>150</v>
      </c>
      <c r="O319" s="221">
        <v>10</v>
      </c>
      <c r="P319" s="221">
        <v>185</v>
      </c>
      <c r="Q319" s="221">
        <v>0</v>
      </c>
      <c r="R319" s="104">
        <f t="shared" si="65"/>
        <v>1850</v>
      </c>
      <c r="S319" s="104">
        <v>1</v>
      </c>
      <c r="T319" s="104">
        <v>0.27</v>
      </c>
      <c r="U319" s="104">
        <v>1.4</v>
      </c>
      <c r="V319" s="219">
        <f t="shared" si="66"/>
        <v>1073.2888925697157</v>
      </c>
      <c r="W319" s="106">
        <f t="shared" si="67"/>
        <v>5.8015615814579231</v>
      </c>
      <c r="X319" s="107">
        <f t="shared" si="68"/>
        <v>6330</v>
      </c>
      <c r="Y319" s="108">
        <f t="shared" si="69"/>
        <v>34.216216216216218</v>
      </c>
      <c r="Z319" s="88">
        <f t="shared" si="70"/>
        <v>12660</v>
      </c>
      <c r="AA319" s="88">
        <f t="shared" si="71"/>
        <v>2954</v>
      </c>
      <c r="AB319" s="88">
        <f t="shared" si="72"/>
        <v>27430</v>
      </c>
      <c r="AC319" s="109">
        <f t="shared" si="60"/>
        <v>2468.6999999999998</v>
      </c>
      <c r="AD319" s="109">
        <f t="shared" si="61"/>
        <v>658.32</v>
      </c>
      <c r="AE319" s="109">
        <f t="shared" si="73"/>
        <v>6081.0199999999995</v>
      </c>
      <c r="AF319" s="73">
        <f t="shared" si="74"/>
        <v>32.870378378378376</v>
      </c>
    </row>
    <row r="320" spans="1:32" x14ac:dyDescent="0.25">
      <c r="A320" s="102">
        <v>626</v>
      </c>
      <c r="B320" s="68" t="str">
        <f t="shared" si="62"/>
        <v>3.11, Row Cond &amp; Inc-Fold. 26'</v>
      </c>
      <c r="C320" s="103">
        <v>3.11</v>
      </c>
      <c r="D320" s="68" t="s">
        <v>151</v>
      </c>
      <c r="E320" s="68" t="s">
        <v>298</v>
      </c>
      <c r="F320" s="68" t="s">
        <v>299</v>
      </c>
      <c r="G320" s="68" t="str">
        <f t="shared" si="63"/>
        <v>Row Cond &amp; Inc-Fold. 26'</v>
      </c>
      <c r="H320" s="85">
        <v>37600</v>
      </c>
      <c r="I320" s="221">
        <v>26</v>
      </c>
      <c r="J320" s="221">
        <v>6.25</v>
      </c>
      <c r="K320" s="221">
        <v>80</v>
      </c>
      <c r="L320" s="86">
        <f t="shared" si="64"/>
        <v>6.3461538461538458E-2</v>
      </c>
      <c r="M320" s="221">
        <v>30</v>
      </c>
      <c r="N320" s="221">
        <v>25</v>
      </c>
      <c r="O320" s="221">
        <v>10</v>
      </c>
      <c r="P320" s="221">
        <v>100</v>
      </c>
      <c r="Q320" s="221">
        <v>0</v>
      </c>
      <c r="R320" s="104">
        <f t="shared" si="65"/>
        <v>1000</v>
      </c>
      <c r="S320" s="104">
        <v>1</v>
      </c>
      <c r="T320" s="104">
        <v>0.27</v>
      </c>
      <c r="U320" s="104">
        <v>1.4</v>
      </c>
      <c r="V320" s="219">
        <f t="shared" si="66"/>
        <v>404.15839954591064</v>
      </c>
      <c r="W320" s="106">
        <f t="shared" si="67"/>
        <v>4.0415839954591064</v>
      </c>
      <c r="X320" s="107">
        <f t="shared" si="68"/>
        <v>940</v>
      </c>
      <c r="Y320" s="108">
        <f t="shared" si="69"/>
        <v>9.4</v>
      </c>
      <c r="Z320" s="88">
        <f t="shared" si="70"/>
        <v>11280</v>
      </c>
      <c r="AA320" s="88">
        <f t="shared" si="71"/>
        <v>2632</v>
      </c>
      <c r="AB320" s="88">
        <f t="shared" si="72"/>
        <v>24440</v>
      </c>
      <c r="AC320" s="109">
        <f t="shared" si="60"/>
        <v>2199.6</v>
      </c>
      <c r="AD320" s="109">
        <f t="shared" si="61"/>
        <v>586.56000000000006</v>
      </c>
      <c r="AE320" s="109">
        <f t="shared" si="73"/>
        <v>5418.1600000000008</v>
      </c>
      <c r="AF320" s="73">
        <f t="shared" si="74"/>
        <v>54.18160000000001</v>
      </c>
    </row>
    <row r="321" spans="1:32" x14ac:dyDescent="0.25">
      <c r="A321" s="102">
        <v>176</v>
      </c>
      <c r="B321" s="68" t="str">
        <f t="shared" si="62"/>
        <v>3.12, Row Cond &amp; Inc-Fold. 38'</v>
      </c>
      <c r="C321" s="103">
        <v>3.12</v>
      </c>
      <c r="D321" s="68" t="s">
        <v>151</v>
      </c>
      <c r="E321" s="68" t="s">
        <v>298</v>
      </c>
      <c r="F321" s="68" t="s">
        <v>293</v>
      </c>
      <c r="G321" s="68" t="str">
        <f t="shared" si="63"/>
        <v>Row Cond &amp; Inc-Fold. 38'</v>
      </c>
      <c r="H321" s="85">
        <v>49800</v>
      </c>
      <c r="I321" s="221">
        <v>38</v>
      </c>
      <c r="J321" s="221">
        <v>6.25</v>
      </c>
      <c r="K321" s="221">
        <v>80</v>
      </c>
      <c r="L321" s="86">
        <f t="shared" si="64"/>
        <v>4.3421052631578944E-2</v>
      </c>
      <c r="M321" s="221">
        <v>30</v>
      </c>
      <c r="N321" s="221">
        <v>25</v>
      </c>
      <c r="O321" s="221">
        <v>10</v>
      </c>
      <c r="P321" s="221">
        <v>100</v>
      </c>
      <c r="Q321" s="221">
        <v>0</v>
      </c>
      <c r="R321" s="104">
        <f t="shared" si="65"/>
        <v>1000</v>
      </c>
      <c r="S321" s="104">
        <v>1</v>
      </c>
      <c r="T321" s="104">
        <v>0.27</v>
      </c>
      <c r="U321" s="104">
        <v>1.4</v>
      </c>
      <c r="V321" s="219">
        <f t="shared" si="66"/>
        <v>535.29490152623271</v>
      </c>
      <c r="W321" s="106">
        <f t="shared" si="67"/>
        <v>5.3529490152623271</v>
      </c>
      <c r="X321" s="107">
        <f t="shared" si="68"/>
        <v>1245</v>
      </c>
      <c r="Y321" s="108">
        <f t="shared" si="69"/>
        <v>12.45</v>
      </c>
      <c r="Z321" s="88">
        <f t="shared" si="70"/>
        <v>14940</v>
      </c>
      <c r="AA321" s="88">
        <f t="shared" si="71"/>
        <v>3486</v>
      </c>
      <c r="AB321" s="88">
        <f t="shared" si="72"/>
        <v>32370</v>
      </c>
      <c r="AC321" s="109">
        <f t="shared" si="60"/>
        <v>2913.2999999999997</v>
      </c>
      <c r="AD321" s="109">
        <f t="shared" si="61"/>
        <v>776.88</v>
      </c>
      <c r="AE321" s="109">
        <f t="shared" si="73"/>
        <v>7176.1799999999994</v>
      </c>
      <c r="AF321" s="73">
        <f t="shared" si="74"/>
        <v>71.761799999999994</v>
      </c>
    </row>
    <row r="322" spans="1:32" x14ac:dyDescent="0.25">
      <c r="A322" s="102">
        <v>173</v>
      </c>
      <c r="B322" s="68" t="str">
        <f t="shared" si="62"/>
        <v>3.13, Row Cond &amp; Inc-Rigid 13'</v>
      </c>
      <c r="C322" s="103">
        <v>3.13</v>
      </c>
      <c r="D322" s="68" t="s">
        <v>151</v>
      </c>
      <c r="E322" s="68" t="s">
        <v>300</v>
      </c>
      <c r="F322" s="68" t="s">
        <v>246</v>
      </c>
      <c r="G322" s="68" t="str">
        <f t="shared" si="63"/>
        <v>Row Cond &amp; Inc-Rigid 13'</v>
      </c>
      <c r="H322" s="85">
        <v>18700</v>
      </c>
      <c r="I322" s="221">
        <v>13</v>
      </c>
      <c r="J322" s="221">
        <v>6.25</v>
      </c>
      <c r="K322" s="221">
        <v>80</v>
      </c>
      <c r="L322" s="86">
        <f t="shared" si="64"/>
        <v>0.12692307692307692</v>
      </c>
      <c r="M322" s="221">
        <v>30</v>
      </c>
      <c r="N322" s="221">
        <v>25</v>
      </c>
      <c r="O322" s="221">
        <v>10</v>
      </c>
      <c r="P322" s="221">
        <v>100</v>
      </c>
      <c r="Q322" s="221">
        <v>0</v>
      </c>
      <c r="R322" s="104">
        <f t="shared" si="65"/>
        <v>1000</v>
      </c>
      <c r="S322" s="104">
        <v>1</v>
      </c>
      <c r="T322" s="104">
        <v>0.27</v>
      </c>
      <c r="U322" s="104">
        <v>1.4</v>
      </c>
      <c r="V322" s="219">
        <f t="shared" si="66"/>
        <v>201.00431041246088</v>
      </c>
      <c r="W322" s="106">
        <f t="shared" si="67"/>
        <v>2.010043104124609</v>
      </c>
      <c r="X322" s="107">
        <f t="shared" si="68"/>
        <v>467.5</v>
      </c>
      <c r="Y322" s="108">
        <f t="shared" si="69"/>
        <v>4.6749999999999998</v>
      </c>
      <c r="Z322" s="88">
        <f t="shared" si="70"/>
        <v>5610</v>
      </c>
      <c r="AA322" s="88">
        <f t="shared" si="71"/>
        <v>1309</v>
      </c>
      <c r="AB322" s="88">
        <f t="shared" si="72"/>
        <v>12155</v>
      </c>
      <c r="AC322" s="109">
        <f t="shared" si="60"/>
        <v>1093.95</v>
      </c>
      <c r="AD322" s="109">
        <f t="shared" si="61"/>
        <v>291.72000000000003</v>
      </c>
      <c r="AE322" s="109">
        <f t="shared" si="73"/>
        <v>2694.67</v>
      </c>
      <c r="AF322" s="73">
        <f t="shared" si="74"/>
        <v>26.9467</v>
      </c>
    </row>
    <row r="323" spans="1:32" x14ac:dyDescent="0.25">
      <c r="A323" s="102">
        <v>174</v>
      </c>
      <c r="B323" s="68" t="str">
        <f t="shared" si="62"/>
        <v>3.14, Row Cond &amp; Inc-Rigid 21'</v>
      </c>
      <c r="C323" s="103">
        <v>3.14</v>
      </c>
      <c r="D323" s="68" t="s">
        <v>151</v>
      </c>
      <c r="E323" s="68" t="s">
        <v>300</v>
      </c>
      <c r="F323" s="68" t="s">
        <v>241</v>
      </c>
      <c r="G323" s="68" t="str">
        <f t="shared" si="63"/>
        <v>Row Cond &amp; Inc-Rigid 21'</v>
      </c>
      <c r="H323" s="85">
        <v>26900</v>
      </c>
      <c r="I323" s="221">
        <v>21</v>
      </c>
      <c r="J323" s="221">
        <v>6.25</v>
      </c>
      <c r="K323" s="221">
        <v>80</v>
      </c>
      <c r="L323" s="86">
        <f t="shared" si="64"/>
        <v>7.857142857142857E-2</v>
      </c>
      <c r="M323" s="221">
        <v>30</v>
      </c>
      <c r="N323" s="221">
        <v>25</v>
      </c>
      <c r="O323" s="221">
        <v>10</v>
      </c>
      <c r="P323" s="221">
        <v>100</v>
      </c>
      <c r="Q323" s="221">
        <v>0</v>
      </c>
      <c r="R323" s="104">
        <f t="shared" si="65"/>
        <v>1000</v>
      </c>
      <c r="S323" s="104">
        <v>1</v>
      </c>
      <c r="T323" s="104">
        <v>0.27</v>
      </c>
      <c r="U323" s="104">
        <v>1.4</v>
      </c>
      <c r="V323" s="219">
        <f t="shared" si="66"/>
        <v>289.14523797300524</v>
      </c>
      <c r="W323" s="106">
        <f t="shared" si="67"/>
        <v>2.8914523797300524</v>
      </c>
      <c r="X323" s="107">
        <f t="shared" si="68"/>
        <v>672.5</v>
      </c>
      <c r="Y323" s="108">
        <f t="shared" si="69"/>
        <v>6.7249999999999996</v>
      </c>
      <c r="Z323" s="88">
        <f t="shared" si="70"/>
        <v>8070</v>
      </c>
      <c r="AA323" s="88">
        <f t="shared" si="71"/>
        <v>1883</v>
      </c>
      <c r="AB323" s="88">
        <f t="shared" si="72"/>
        <v>17485</v>
      </c>
      <c r="AC323" s="109">
        <f t="shared" si="60"/>
        <v>1573.6499999999999</v>
      </c>
      <c r="AD323" s="109">
        <f t="shared" si="61"/>
        <v>419.64</v>
      </c>
      <c r="AE323" s="109">
        <f t="shared" si="73"/>
        <v>3876.2899999999995</v>
      </c>
      <c r="AF323" s="73">
        <f t="shared" si="74"/>
        <v>38.762899999999995</v>
      </c>
    </row>
    <row r="324" spans="1:32" x14ac:dyDescent="0.25">
      <c r="A324" s="102">
        <v>175</v>
      </c>
      <c r="B324" s="68" t="str">
        <f t="shared" si="62"/>
        <v>3.15, Row Cond &amp; Inc-Rigid 26'</v>
      </c>
      <c r="C324" s="103">
        <v>3.15</v>
      </c>
      <c r="D324" s="68" t="s">
        <v>151</v>
      </c>
      <c r="E324" s="68" t="s">
        <v>300</v>
      </c>
      <c r="F324" s="68" t="s">
        <v>299</v>
      </c>
      <c r="G324" s="68" t="str">
        <f t="shared" si="63"/>
        <v>Row Cond &amp; Inc-Rigid 26'</v>
      </c>
      <c r="H324" s="85">
        <v>29300</v>
      </c>
      <c r="I324" s="221">
        <v>62</v>
      </c>
      <c r="J324" s="221">
        <v>6.25</v>
      </c>
      <c r="K324" s="221">
        <v>80</v>
      </c>
      <c r="L324" s="86">
        <f t="shared" si="64"/>
        <v>2.661290322580645E-2</v>
      </c>
      <c r="M324" s="221">
        <v>30</v>
      </c>
      <c r="N324" s="221">
        <v>25</v>
      </c>
      <c r="O324" s="221">
        <v>10</v>
      </c>
      <c r="P324" s="221">
        <v>100</v>
      </c>
      <c r="Q324" s="221">
        <v>0</v>
      </c>
      <c r="R324" s="104">
        <f t="shared" si="65"/>
        <v>1000</v>
      </c>
      <c r="S324" s="104">
        <v>1</v>
      </c>
      <c r="T324" s="104">
        <v>0.27</v>
      </c>
      <c r="U324" s="104">
        <v>1.4</v>
      </c>
      <c r="V324" s="219">
        <f t="shared" si="66"/>
        <v>314.94258262487187</v>
      </c>
      <c r="W324" s="106">
        <f t="shared" si="67"/>
        <v>3.1494258262487187</v>
      </c>
      <c r="X324" s="107">
        <f t="shared" si="68"/>
        <v>732.5</v>
      </c>
      <c r="Y324" s="108">
        <f t="shared" si="69"/>
        <v>7.3250000000000002</v>
      </c>
      <c r="Z324" s="88">
        <f t="shared" si="70"/>
        <v>8790</v>
      </c>
      <c r="AA324" s="88">
        <f t="shared" si="71"/>
        <v>2051</v>
      </c>
      <c r="AB324" s="88">
        <f t="shared" si="72"/>
        <v>19045</v>
      </c>
      <c r="AC324" s="109">
        <f t="shared" si="60"/>
        <v>1714.05</v>
      </c>
      <c r="AD324" s="109">
        <f t="shared" si="61"/>
        <v>457.08</v>
      </c>
      <c r="AE324" s="109">
        <f t="shared" si="73"/>
        <v>4222.13</v>
      </c>
      <c r="AF324" s="73">
        <f t="shared" si="74"/>
        <v>42.221299999999999</v>
      </c>
    </row>
    <row r="325" spans="1:32" x14ac:dyDescent="0.25">
      <c r="A325" s="102">
        <v>654</v>
      </c>
      <c r="B325" s="68" t="str">
        <f t="shared" si="62"/>
        <v>3.16, Row Cond Folding 26'</v>
      </c>
      <c r="C325" s="103">
        <v>3.16</v>
      </c>
      <c r="D325" s="68" t="s">
        <v>151</v>
      </c>
      <c r="E325" s="68" t="s">
        <v>301</v>
      </c>
      <c r="F325" s="68" t="s">
        <v>299</v>
      </c>
      <c r="G325" s="68" t="str">
        <f t="shared" si="63"/>
        <v>Row Cond Folding 26'</v>
      </c>
      <c r="H325" s="85">
        <v>31900</v>
      </c>
      <c r="I325" s="221">
        <v>26</v>
      </c>
      <c r="J325" s="221">
        <v>6.25</v>
      </c>
      <c r="K325" s="221">
        <v>85</v>
      </c>
      <c r="L325" s="86">
        <f t="shared" si="64"/>
        <v>5.972850678733032E-2</v>
      </c>
      <c r="M325" s="221">
        <v>30</v>
      </c>
      <c r="N325" s="221">
        <v>25</v>
      </c>
      <c r="O325" s="221">
        <v>10</v>
      </c>
      <c r="P325" s="221">
        <v>100</v>
      </c>
      <c r="Q325" s="221">
        <v>0</v>
      </c>
      <c r="R325" s="104">
        <f t="shared" si="65"/>
        <v>1000</v>
      </c>
      <c r="S325" s="104">
        <v>1</v>
      </c>
      <c r="T325" s="104">
        <v>0.27</v>
      </c>
      <c r="U325" s="104">
        <v>1.4</v>
      </c>
      <c r="V325" s="219">
        <f t="shared" si="66"/>
        <v>342.88970599772739</v>
      </c>
      <c r="W325" s="106">
        <f t="shared" si="67"/>
        <v>3.4288970599772739</v>
      </c>
      <c r="X325" s="107">
        <f t="shared" si="68"/>
        <v>797.5</v>
      </c>
      <c r="Y325" s="108">
        <f t="shared" si="69"/>
        <v>7.9749999999999996</v>
      </c>
      <c r="Z325" s="88">
        <f t="shared" si="70"/>
        <v>9570</v>
      </c>
      <c r="AA325" s="88">
        <f t="shared" si="71"/>
        <v>2233</v>
      </c>
      <c r="AB325" s="88">
        <f t="shared" si="72"/>
        <v>20735</v>
      </c>
      <c r="AC325" s="109">
        <f t="shared" ref="AC325:AC388" si="75">AB325*intir</f>
        <v>1866.1499999999999</v>
      </c>
      <c r="AD325" s="109">
        <f t="shared" ref="AD325:AD390" si="76">AB325*itr</f>
        <v>497.64</v>
      </c>
      <c r="AE325" s="109">
        <f t="shared" si="73"/>
        <v>4596.79</v>
      </c>
      <c r="AF325" s="73">
        <f t="shared" si="74"/>
        <v>45.9679</v>
      </c>
    </row>
    <row r="326" spans="1:32" x14ac:dyDescent="0.25">
      <c r="A326" s="102">
        <v>180</v>
      </c>
      <c r="B326" s="68" t="str">
        <f t="shared" si="62"/>
        <v>3.17, Row Cond Folding 38'</v>
      </c>
      <c r="C326" s="103">
        <v>3.17</v>
      </c>
      <c r="D326" s="68" t="s">
        <v>151</v>
      </c>
      <c r="E326" s="68" t="s">
        <v>301</v>
      </c>
      <c r="F326" s="68" t="s">
        <v>293</v>
      </c>
      <c r="G326" s="68" t="str">
        <f t="shared" si="63"/>
        <v>Row Cond Folding 38'</v>
      </c>
      <c r="H326" s="85">
        <v>40100</v>
      </c>
      <c r="I326" s="221">
        <v>38</v>
      </c>
      <c r="J326" s="221">
        <v>6.25</v>
      </c>
      <c r="K326" s="221">
        <v>85</v>
      </c>
      <c r="L326" s="86">
        <f t="shared" si="64"/>
        <v>4.0866873065015484E-2</v>
      </c>
      <c r="M326" s="221">
        <v>30</v>
      </c>
      <c r="N326" s="221">
        <v>25</v>
      </c>
      <c r="O326" s="221">
        <v>10</v>
      </c>
      <c r="P326" s="221">
        <v>100</v>
      </c>
      <c r="Q326" s="221">
        <v>0</v>
      </c>
      <c r="R326" s="104">
        <f t="shared" si="65"/>
        <v>1000</v>
      </c>
      <c r="S326" s="104">
        <v>1</v>
      </c>
      <c r="T326" s="104">
        <v>0.27</v>
      </c>
      <c r="U326" s="104">
        <v>1.4</v>
      </c>
      <c r="V326" s="219">
        <f t="shared" si="66"/>
        <v>431.03063355827175</v>
      </c>
      <c r="W326" s="106">
        <f t="shared" si="67"/>
        <v>4.3103063355827178</v>
      </c>
      <c r="X326" s="107">
        <f t="shared" si="68"/>
        <v>1002.5</v>
      </c>
      <c r="Y326" s="108">
        <f t="shared" si="69"/>
        <v>10.025</v>
      </c>
      <c r="Z326" s="88">
        <f t="shared" si="70"/>
        <v>12030</v>
      </c>
      <c r="AA326" s="88">
        <f t="shared" si="71"/>
        <v>2807</v>
      </c>
      <c r="AB326" s="88">
        <f t="shared" si="72"/>
        <v>26065</v>
      </c>
      <c r="AC326" s="109">
        <f t="shared" si="75"/>
        <v>2345.85</v>
      </c>
      <c r="AD326" s="109">
        <f t="shared" si="76"/>
        <v>625.56000000000006</v>
      </c>
      <c r="AE326" s="109">
        <f t="shared" si="73"/>
        <v>5778.4100000000008</v>
      </c>
      <c r="AF326" s="73">
        <f t="shared" si="74"/>
        <v>57.784100000000009</v>
      </c>
    </row>
    <row r="327" spans="1:32" x14ac:dyDescent="0.25">
      <c r="A327" s="102">
        <v>177</v>
      </c>
      <c r="B327" s="68" t="str">
        <f t="shared" si="62"/>
        <v>3.18, Row Cond Rigid 13'</v>
      </c>
      <c r="C327" s="103">
        <v>3.18</v>
      </c>
      <c r="D327" s="68" t="s">
        <v>151</v>
      </c>
      <c r="E327" s="68" t="s">
        <v>302</v>
      </c>
      <c r="F327" s="68" t="s">
        <v>246</v>
      </c>
      <c r="G327" s="68" t="str">
        <f t="shared" si="63"/>
        <v>Row Cond Rigid 13'</v>
      </c>
      <c r="H327" s="85">
        <v>12900</v>
      </c>
      <c r="I327" s="221">
        <v>13</v>
      </c>
      <c r="J327" s="221">
        <v>6.25</v>
      </c>
      <c r="K327" s="221">
        <v>85</v>
      </c>
      <c r="L327" s="86">
        <f t="shared" si="64"/>
        <v>0.11945701357466064</v>
      </c>
      <c r="M327" s="221">
        <v>30</v>
      </c>
      <c r="N327" s="221">
        <v>25</v>
      </c>
      <c r="O327" s="221">
        <v>10</v>
      </c>
      <c r="P327" s="221">
        <v>100</v>
      </c>
      <c r="Q327" s="221">
        <v>0</v>
      </c>
      <c r="R327" s="104">
        <f t="shared" si="65"/>
        <v>1000</v>
      </c>
      <c r="S327" s="104">
        <v>1</v>
      </c>
      <c r="T327" s="104">
        <v>0.27</v>
      </c>
      <c r="U327" s="104">
        <v>1.4</v>
      </c>
      <c r="V327" s="219">
        <f t="shared" si="66"/>
        <v>138.66072750378319</v>
      </c>
      <c r="W327" s="106">
        <f t="shared" si="67"/>
        <v>1.386607275037832</v>
      </c>
      <c r="X327" s="107">
        <f t="shared" si="68"/>
        <v>322.5</v>
      </c>
      <c r="Y327" s="108">
        <f t="shared" si="69"/>
        <v>3.2250000000000001</v>
      </c>
      <c r="Z327" s="88">
        <f t="shared" si="70"/>
        <v>3870</v>
      </c>
      <c r="AA327" s="88">
        <f t="shared" si="71"/>
        <v>903</v>
      </c>
      <c r="AB327" s="88">
        <f t="shared" si="72"/>
        <v>8385</v>
      </c>
      <c r="AC327" s="109">
        <f t="shared" si="75"/>
        <v>754.65</v>
      </c>
      <c r="AD327" s="109">
        <f t="shared" si="76"/>
        <v>201.24</v>
      </c>
      <c r="AE327" s="109">
        <f t="shared" si="73"/>
        <v>1858.89</v>
      </c>
      <c r="AF327" s="73">
        <f t="shared" si="74"/>
        <v>18.588900000000002</v>
      </c>
    </row>
    <row r="328" spans="1:32" x14ac:dyDescent="0.25">
      <c r="A328" s="102">
        <v>178</v>
      </c>
      <c r="B328" s="68" t="str">
        <f t="shared" si="62"/>
        <v>3.19, Row Cond Rigid 21'</v>
      </c>
      <c r="C328" s="103">
        <v>3.19</v>
      </c>
      <c r="D328" s="68" t="s">
        <v>151</v>
      </c>
      <c r="E328" s="68" t="s">
        <v>302</v>
      </c>
      <c r="F328" s="68" t="s">
        <v>241</v>
      </c>
      <c r="G328" s="68" t="str">
        <f t="shared" si="63"/>
        <v>Row Cond Rigid 21'</v>
      </c>
      <c r="H328" s="85">
        <v>21200</v>
      </c>
      <c r="I328" s="221">
        <v>21</v>
      </c>
      <c r="J328" s="221">
        <v>6.25</v>
      </c>
      <c r="K328" s="221">
        <v>85</v>
      </c>
      <c r="L328" s="86">
        <f t="shared" si="64"/>
        <v>7.3949579831932774E-2</v>
      </c>
      <c r="M328" s="221">
        <v>30</v>
      </c>
      <c r="N328" s="221">
        <v>25</v>
      </c>
      <c r="O328" s="221">
        <v>10</v>
      </c>
      <c r="P328" s="221">
        <v>100</v>
      </c>
      <c r="Q328" s="221">
        <v>0</v>
      </c>
      <c r="R328" s="104">
        <f t="shared" si="65"/>
        <v>1000</v>
      </c>
      <c r="S328" s="104">
        <v>1</v>
      </c>
      <c r="T328" s="104">
        <v>0.27</v>
      </c>
      <c r="U328" s="104">
        <v>1.4</v>
      </c>
      <c r="V328" s="219">
        <f t="shared" si="66"/>
        <v>227.87654442482196</v>
      </c>
      <c r="W328" s="106">
        <f t="shared" si="67"/>
        <v>2.2787654442482195</v>
      </c>
      <c r="X328" s="107">
        <f t="shared" si="68"/>
        <v>530</v>
      </c>
      <c r="Y328" s="108">
        <f t="shared" si="69"/>
        <v>5.3</v>
      </c>
      <c r="Z328" s="88">
        <f t="shared" si="70"/>
        <v>6360</v>
      </c>
      <c r="AA328" s="88">
        <f t="shared" si="71"/>
        <v>1484</v>
      </c>
      <c r="AB328" s="88">
        <f t="shared" si="72"/>
        <v>13780</v>
      </c>
      <c r="AC328" s="109">
        <f t="shared" si="75"/>
        <v>1240.2</v>
      </c>
      <c r="AD328" s="109">
        <f t="shared" si="76"/>
        <v>330.72</v>
      </c>
      <c r="AE328" s="109">
        <f t="shared" si="73"/>
        <v>3054.92</v>
      </c>
      <c r="AF328" s="73">
        <f t="shared" si="74"/>
        <v>30.549199999999999</v>
      </c>
    </row>
    <row r="329" spans="1:32" x14ac:dyDescent="0.25">
      <c r="A329" s="102">
        <v>179</v>
      </c>
      <c r="B329" s="68" t="str">
        <f t="shared" si="62"/>
        <v>3.2, Row Cond Rigid 26'</v>
      </c>
      <c r="C329" s="103">
        <v>3.2</v>
      </c>
      <c r="D329" s="68" t="s">
        <v>151</v>
      </c>
      <c r="E329" s="68" t="s">
        <v>302</v>
      </c>
      <c r="F329" s="68" t="s">
        <v>299</v>
      </c>
      <c r="G329" s="68" t="str">
        <f t="shared" si="63"/>
        <v>Row Cond Rigid 26'</v>
      </c>
      <c r="H329" s="85">
        <v>23600</v>
      </c>
      <c r="I329" s="221">
        <v>26</v>
      </c>
      <c r="J329" s="221">
        <v>6.25</v>
      </c>
      <c r="K329" s="221">
        <v>85</v>
      </c>
      <c r="L329" s="86">
        <f t="shared" si="64"/>
        <v>5.972850678733032E-2</v>
      </c>
      <c r="M329" s="221">
        <v>30</v>
      </c>
      <c r="N329" s="221">
        <v>25</v>
      </c>
      <c r="O329" s="221">
        <v>10</v>
      </c>
      <c r="P329" s="221">
        <v>100</v>
      </c>
      <c r="Q329" s="221">
        <v>0</v>
      </c>
      <c r="R329" s="104">
        <f t="shared" si="65"/>
        <v>1000</v>
      </c>
      <c r="S329" s="104">
        <v>1</v>
      </c>
      <c r="T329" s="104">
        <v>0.27</v>
      </c>
      <c r="U329" s="104">
        <v>1.4</v>
      </c>
      <c r="V329" s="219">
        <f t="shared" si="66"/>
        <v>253.6738890766886</v>
      </c>
      <c r="W329" s="106">
        <f t="shared" si="67"/>
        <v>2.5367388907668857</v>
      </c>
      <c r="X329" s="107">
        <f t="shared" si="68"/>
        <v>590</v>
      </c>
      <c r="Y329" s="108">
        <f t="shared" si="69"/>
        <v>5.9</v>
      </c>
      <c r="Z329" s="88">
        <f t="shared" si="70"/>
        <v>7080</v>
      </c>
      <c r="AA329" s="88">
        <f t="shared" si="71"/>
        <v>1652</v>
      </c>
      <c r="AB329" s="88">
        <f t="shared" si="72"/>
        <v>15340</v>
      </c>
      <c r="AC329" s="109">
        <f t="shared" si="75"/>
        <v>1380.6</v>
      </c>
      <c r="AD329" s="109">
        <f t="shared" si="76"/>
        <v>368.16</v>
      </c>
      <c r="AE329" s="109">
        <f t="shared" si="73"/>
        <v>3400.7599999999998</v>
      </c>
      <c r="AF329" s="73">
        <f t="shared" si="74"/>
        <v>34.007599999999996</v>
      </c>
    </row>
    <row r="330" spans="1:32" x14ac:dyDescent="0.25">
      <c r="A330" s="102">
        <v>615</v>
      </c>
      <c r="B330" s="68" t="str">
        <f t="shared" ref="B330:B390" si="77">CONCATENATE(C330,D330,E330,F330)</f>
        <v>3.21, Row Cond./Roll-Fold. 26'</v>
      </c>
      <c r="C330" s="103">
        <v>3.21</v>
      </c>
      <c r="D330" s="68" t="s">
        <v>151</v>
      </c>
      <c r="E330" s="68" t="s">
        <v>303</v>
      </c>
      <c r="F330" s="68" t="s">
        <v>299</v>
      </c>
      <c r="G330" s="68" t="str">
        <f t="shared" ref="G330:G390" si="78">CONCATENATE(E330,F330)</f>
        <v>Row Cond./Roll-Fold. 26'</v>
      </c>
      <c r="H330" s="85">
        <v>38000</v>
      </c>
      <c r="I330" s="221">
        <v>26</v>
      </c>
      <c r="J330" s="221">
        <v>5.5</v>
      </c>
      <c r="K330" s="221">
        <v>80</v>
      </c>
      <c r="L330" s="86">
        <f t="shared" ref="L330:L390" si="79">1/((I330*J330*K330/100*5280)/43560)</f>
        <v>7.2115384615384609E-2</v>
      </c>
      <c r="M330" s="221">
        <v>30</v>
      </c>
      <c r="N330" s="221">
        <v>40</v>
      </c>
      <c r="O330" s="221">
        <v>10</v>
      </c>
      <c r="P330" s="221">
        <v>160</v>
      </c>
      <c r="Q330" s="221">
        <v>0</v>
      </c>
      <c r="R330" s="104">
        <f t="shared" ref="R330:R390" si="80">P330*O330</f>
        <v>1600</v>
      </c>
      <c r="S330" s="104">
        <v>1</v>
      </c>
      <c r="T330" s="104">
        <v>0.27</v>
      </c>
      <c r="U330" s="104">
        <v>1.4</v>
      </c>
      <c r="V330" s="219">
        <f t="shared" ref="V330:V390" si="81">(T330*H330)*((S330*P330/1000)^U330)</f>
        <v>788.70634832956705</v>
      </c>
      <c r="W330" s="106">
        <f t="shared" ref="W330:W390" si="82">V330/P330</f>
        <v>4.9294146770597944</v>
      </c>
      <c r="X330" s="107">
        <f t="shared" ref="X330:X390" si="83">(H330*N330/100)/O330</f>
        <v>1520</v>
      </c>
      <c r="Y330" s="108">
        <f t="shared" ref="Y330:Y390" si="84">X330/P330</f>
        <v>9.5</v>
      </c>
      <c r="Z330" s="88">
        <f t="shared" ref="Z330:Z390" si="85">H330*M330/100</f>
        <v>11400</v>
      </c>
      <c r="AA330" s="88">
        <f t="shared" ref="AA330:AA390" si="86">(H330-Z330)/O330</f>
        <v>2660</v>
      </c>
      <c r="AB330" s="88">
        <f t="shared" ref="AB330:AB390" si="87">(Z330+H330)/2</f>
        <v>24700</v>
      </c>
      <c r="AC330" s="109">
        <f t="shared" si="75"/>
        <v>2223</v>
      </c>
      <c r="AD330" s="109">
        <f t="shared" si="76"/>
        <v>592.80000000000007</v>
      </c>
      <c r="AE330" s="109">
        <f t="shared" ref="AE330:AE390" si="88">AA330+AC330+AD330</f>
        <v>5475.8</v>
      </c>
      <c r="AF330" s="73">
        <f t="shared" ref="AF330:AF390" si="89">AE330/P330</f>
        <v>34.223750000000003</v>
      </c>
    </row>
    <row r="331" spans="1:32" x14ac:dyDescent="0.25">
      <c r="A331" s="102">
        <v>617</v>
      </c>
      <c r="B331" s="68" t="str">
        <f t="shared" si="77"/>
        <v>3.22, Row Cond./Roll-Fold. 30'</v>
      </c>
      <c r="C331" s="103">
        <v>3.22</v>
      </c>
      <c r="D331" s="68" t="s">
        <v>151</v>
      </c>
      <c r="E331" s="68" t="s">
        <v>303</v>
      </c>
      <c r="F331" s="68" t="s">
        <v>236</v>
      </c>
      <c r="G331" s="68" t="str">
        <f t="shared" si="78"/>
        <v>Row Cond./Roll-Fold. 30'</v>
      </c>
      <c r="H331" s="85">
        <v>69000</v>
      </c>
      <c r="I331" s="221">
        <v>30</v>
      </c>
      <c r="J331" s="221">
        <v>5.5</v>
      </c>
      <c r="K331" s="221">
        <v>80</v>
      </c>
      <c r="L331" s="86">
        <f t="shared" si="79"/>
        <v>6.25E-2</v>
      </c>
      <c r="M331" s="221">
        <v>30</v>
      </c>
      <c r="N331" s="221">
        <v>40</v>
      </c>
      <c r="O331" s="221">
        <v>10</v>
      </c>
      <c r="P331" s="221">
        <v>160</v>
      </c>
      <c r="Q331" s="221">
        <v>0</v>
      </c>
      <c r="R331" s="104">
        <f t="shared" si="80"/>
        <v>1600</v>
      </c>
      <c r="S331" s="104">
        <v>1</v>
      </c>
      <c r="T331" s="104">
        <v>0.27</v>
      </c>
      <c r="U331" s="104">
        <v>1.4</v>
      </c>
      <c r="V331" s="219">
        <f t="shared" si="81"/>
        <v>1432.1246851247402</v>
      </c>
      <c r="W331" s="106">
        <f t="shared" si="82"/>
        <v>8.9507792820296253</v>
      </c>
      <c r="X331" s="107">
        <f t="shared" si="83"/>
        <v>2760</v>
      </c>
      <c r="Y331" s="108">
        <f t="shared" si="84"/>
        <v>17.25</v>
      </c>
      <c r="Z331" s="88">
        <f t="shared" si="85"/>
        <v>20700</v>
      </c>
      <c r="AA331" s="88">
        <f t="shared" si="86"/>
        <v>4830</v>
      </c>
      <c r="AB331" s="88">
        <f t="shared" si="87"/>
        <v>44850</v>
      </c>
      <c r="AC331" s="109">
        <f t="shared" si="75"/>
        <v>4036.5</v>
      </c>
      <c r="AD331" s="109">
        <f t="shared" si="76"/>
        <v>1076.4000000000001</v>
      </c>
      <c r="AE331" s="109">
        <f t="shared" si="88"/>
        <v>9942.9</v>
      </c>
      <c r="AF331" s="73">
        <f t="shared" si="89"/>
        <v>62.143124999999998</v>
      </c>
    </row>
    <row r="332" spans="1:32" x14ac:dyDescent="0.25">
      <c r="A332" s="102">
        <v>619</v>
      </c>
      <c r="B332" s="68" t="str">
        <f t="shared" si="77"/>
        <v>3.23, Row Cond./Roll-Fold. 40'</v>
      </c>
      <c r="C332" s="103">
        <v>3.23</v>
      </c>
      <c r="D332" s="68" t="s">
        <v>151</v>
      </c>
      <c r="E332" s="68" t="s">
        <v>303</v>
      </c>
      <c r="F332" s="68" t="s">
        <v>243</v>
      </c>
      <c r="G332" s="68" t="str">
        <f t="shared" si="78"/>
        <v>Row Cond./Roll-Fold. 40'</v>
      </c>
      <c r="H332" s="85">
        <v>57100</v>
      </c>
      <c r="I332" s="221">
        <v>40</v>
      </c>
      <c r="J332" s="221">
        <v>5.5</v>
      </c>
      <c r="K332" s="221">
        <v>80</v>
      </c>
      <c r="L332" s="86">
        <f t="shared" si="79"/>
        <v>4.6875E-2</v>
      </c>
      <c r="M332" s="221">
        <v>30</v>
      </c>
      <c r="N332" s="221">
        <v>40</v>
      </c>
      <c r="O332" s="221">
        <v>10</v>
      </c>
      <c r="P332" s="221">
        <v>160</v>
      </c>
      <c r="Q332" s="221">
        <v>0</v>
      </c>
      <c r="R332" s="104">
        <f t="shared" si="80"/>
        <v>1600</v>
      </c>
      <c r="S332" s="104">
        <v>1</v>
      </c>
      <c r="T332" s="104">
        <v>0.27</v>
      </c>
      <c r="U332" s="104">
        <v>1.4</v>
      </c>
      <c r="V332" s="219">
        <f t="shared" si="81"/>
        <v>1185.1350655162707</v>
      </c>
      <c r="W332" s="106">
        <f t="shared" si="82"/>
        <v>7.4070941594766921</v>
      </c>
      <c r="X332" s="107">
        <f t="shared" si="83"/>
        <v>2284</v>
      </c>
      <c r="Y332" s="108">
        <f t="shared" si="84"/>
        <v>14.275</v>
      </c>
      <c r="Z332" s="88">
        <f t="shared" si="85"/>
        <v>17130</v>
      </c>
      <c r="AA332" s="88">
        <f t="shared" si="86"/>
        <v>3997</v>
      </c>
      <c r="AB332" s="88">
        <f t="shared" si="87"/>
        <v>37115</v>
      </c>
      <c r="AC332" s="109">
        <f t="shared" si="75"/>
        <v>3340.35</v>
      </c>
      <c r="AD332" s="109">
        <f t="shared" si="76"/>
        <v>890.76</v>
      </c>
      <c r="AE332" s="109">
        <f t="shared" si="88"/>
        <v>8228.11</v>
      </c>
      <c r="AF332" s="73">
        <f t="shared" si="89"/>
        <v>51.425687500000002</v>
      </c>
    </row>
    <row r="333" spans="1:32" x14ac:dyDescent="0.25">
      <c r="A333" s="102">
        <v>612</v>
      </c>
      <c r="B333" s="68" t="str">
        <f t="shared" si="77"/>
        <v>3.24, Row Cond./Roll-Rigid 21'</v>
      </c>
      <c r="C333" s="103">
        <v>3.24</v>
      </c>
      <c r="D333" s="68" t="s">
        <v>151</v>
      </c>
      <c r="E333" s="68" t="s">
        <v>304</v>
      </c>
      <c r="F333" s="68" t="s">
        <v>241</v>
      </c>
      <c r="G333" s="68" t="str">
        <f t="shared" si="78"/>
        <v>Row Cond./Roll-Rigid 21'</v>
      </c>
      <c r="H333" s="85">
        <v>38400</v>
      </c>
      <c r="I333" s="221">
        <v>21</v>
      </c>
      <c r="J333" s="221">
        <v>5.5</v>
      </c>
      <c r="K333" s="221">
        <v>80</v>
      </c>
      <c r="L333" s="86">
        <f t="shared" si="79"/>
        <v>8.9285714285714274E-2</v>
      </c>
      <c r="M333" s="221">
        <v>30</v>
      </c>
      <c r="N333" s="221">
        <v>40</v>
      </c>
      <c r="O333" s="221">
        <v>10</v>
      </c>
      <c r="P333" s="221">
        <v>160</v>
      </c>
      <c r="Q333" s="221">
        <v>0</v>
      </c>
      <c r="R333" s="104">
        <f t="shared" si="80"/>
        <v>1600</v>
      </c>
      <c r="S333" s="104">
        <v>1</v>
      </c>
      <c r="T333" s="104">
        <v>0.27</v>
      </c>
      <c r="U333" s="104">
        <v>1.4</v>
      </c>
      <c r="V333" s="219">
        <f t="shared" si="81"/>
        <v>797.0085204172467</v>
      </c>
      <c r="W333" s="106">
        <f t="shared" si="82"/>
        <v>4.9813032526077921</v>
      </c>
      <c r="X333" s="107">
        <f t="shared" si="83"/>
        <v>1536</v>
      </c>
      <c r="Y333" s="108">
        <f t="shared" si="84"/>
        <v>9.6</v>
      </c>
      <c r="Z333" s="88">
        <f t="shared" si="85"/>
        <v>11520</v>
      </c>
      <c r="AA333" s="88">
        <f t="shared" si="86"/>
        <v>2688</v>
      </c>
      <c r="AB333" s="88">
        <f t="shared" si="87"/>
        <v>24960</v>
      </c>
      <c r="AC333" s="109">
        <f t="shared" si="75"/>
        <v>2246.4</v>
      </c>
      <c r="AD333" s="109">
        <f t="shared" si="76"/>
        <v>599.04</v>
      </c>
      <c r="AE333" s="109">
        <f t="shared" si="88"/>
        <v>5533.44</v>
      </c>
      <c r="AF333" s="73">
        <f t="shared" si="89"/>
        <v>34.583999999999996</v>
      </c>
    </row>
    <row r="334" spans="1:32" x14ac:dyDescent="0.25">
      <c r="A334" s="102">
        <v>614</v>
      </c>
      <c r="B334" s="68" t="str">
        <f t="shared" si="77"/>
        <v>3.25, Row Cond./Roll-Rigid 26'</v>
      </c>
      <c r="C334" s="103">
        <v>3.25</v>
      </c>
      <c r="D334" s="68" t="s">
        <v>151</v>
      </c>
      <c r="E334" s="68" t="s">
        <v>304</v>
      </c>
      <c r="F334" s="68" t="s">
        <v>299</v>
      </c>
      <c r="G334" s="68" t="str">
        <f t="shared" si="78"/>
        <v>Row Cond./Roll-Rigid 26'</v>
      </c>
      <c r="H334" s="85">
        <v>42300</v>
      </c>
      <c r="I334" s="221">
        <v>26</v>
      </c>
      <c r="J334" s="221">
        <v>5.5</v>
      </c>
      <c r="K334" s="221">
        <v>80</v>
      </c>
      <c r="L334" s="86">
        <f t="shared" si="79"/>
        <v>7.2115384615384609E-2</v>
      </c>
      <c r="M334" s="221">
        <v>30</v>
      </c>
      <c r="N334" s="221">
        <v>40</v>
      </c>
      <c r="O334" s="221">
        <v>10</v>
      </c>
      <c r="P334" s="221">
        <v>160</v>
      </c>
      <c r="Q334" s="221">
        <v>0</v>
      </c>
      <c r="R334" s="104">
        <f t="shared" si="80"/>
        <v>1600</v>
      </c>
      <c r="S334" s="104">
        <v>1</v>
      </c>
      <c r="T334" s="104">
        <v>0.27</v>
      </c>
      <c r="U334" s="104">
        <v>1.4</v>
      </c>
      <c r="V334" s="219">
        <f t="shared" si="81"/>
        <v>877.95469827212332</v>
      </c>
      <c r="W334" s="106">
        <f t="shared" si="82"/>
        <v>5.4872168642007706</v>
      </c>
      <c r="X334" s="107">
        <f t="shared" si="83"/>
        <v>1692</v>
      </c>
      <c r="Y334" s="108">
        <f t="shared" si="84"/>
        <v>10.574999999999999</v>
      </c>
      <c r="Z334" s="88">
        <f t="shared" si="85"/>
        <v>12690</v>
      </c>
      <c r="AA334" s="88">
        <f t="shared" si="86"/>
        <v>2961</v>
      </c>
      <c r="AB334" s="88">
        <f t="shared" si="87"/>
        <v>27495</v>
      </c>
      <c r="AC334" s="109">
        <f t="shared" si="75"/>
        <v>2474.5499999999997</v>
      </c>
      <c r="AD334" s="109">
        <f t="shared" si="76"/>
        <v>659.88</v>
      </c>
      <c r="AE334" s="109">
        <f t="shared" si="88"/>
        <v>6095.4299999999994</v>
      </c>
      <c r="AF334" s="73">
        <f t="shared" si="89"/>
        <v>38.096437499999993</v>
      </c>
    </row>
    <row r="335" spans="1:32" x14ac:dyDescent="0.25">
      <c r="A335" s="102">
        <v>187</v>
      </c>
      <c r="B335" s="68" t="str">
        <f t="shared" si="77"/>
        <v>3.26, Spin Spreader 5 ton</v>
      </c>
      <c r="C335" s="103">
        <v>3.26</v>
      </c>
      <c r="D335" s="68" t="s">
        <v>151</v>
      </c>
      <c r="E335" s="68" t="s">
        <v>305</v>
      </c>
      <c r="F335" s="68" t="s">
        <v>306</v>
      </c>
      <c r="G335" s="68" t="str">
        <f t="shared" si="78"/>
        <v>Spin Spreader 5 ton</v>
      </c>
      <c r="H335" s="85">
        <v>14500</v>
      </c>
      <c r="I335" s="221">
        <v>40</v>
      </c>
      <c r="J335" s="221">
        <v>7</v>
      </c>
      <c r="K335" s="221">
        <v>70</v>
      </c>
      <c r="L335" s="86">
        <f t="shared" si="79"/>
        <v>4.2091836734693876E-2</v>
      </c>
      <c r="M335" s="221">
        <v>40</v>
      </c>
      <c r="N335" s="221">
        <v>45</v>
      </c>
      <c r="O335" s="221">
        <v>8</v>
      </c>
      <c r="P335" s="221">
        <v>100</v>
      </c>
      <c r="Q335" s="221">
        <v>0</v>
      </c>
      <c r="R335" s="104">
        <f t="shared" si="80"/>
        <v>800</v>
      </c>
      <c r="S335" s="104">
        <v>1</v>
      </c>
      <c r="T335" s="104">
        <v>0.27</v>
      </c>
      <c r="U335" s="104">
        <v>1.4</v>
      </c>
      <c r="V335" s="219">
        <f t="shared" si="81"/>
        <v>155.85895727169429</v>
      </c>
      <c r="W335" s="106">
        <f t="shared" si="82"/>
        <v>1.558589572716943</v>
      </c>
      <c r="X335" s="107">
        <f t="shared" si="83"/>
        <v>815.625</v>
      </c>
      <c r="Y335" s="108">
        <f t="shared" si="84"/>
        <v>8.15625</v>
      </c>
      <c r="Z335" s="88">
        <f t="shared" si="85"/>
        <v>5800</v>
      </c>
      <c r="AA335" s="88">
        <f t="shared" si="86"/>
        <v>1087.5</v>
      </c>
      <c r="AB335" s="88">
        <f t="shared" si="87"/>
        <v>10150</v>
      </c>
      <c r="AC335" s="109">
        <f t="shared" si="75"/>
        <v>913.5</v>
      </c>
      <c r="AD335" s="109">
        <f t="shared" si="76"/>
        <v>243.6</v>
      </c>
      <c r="AE335" s="109">
        <f t="shared" si="88"/>
        <v>2244.6</v>
      </c>
      <c r="AF335" s="73">
        <f t="shared" si="89"/>
        <v>22.445999999999998</v>
      </c>
    </row>
    <row r="336" spans="1:32" x14ac:dyDescent="0.25">
      <c r="A336" s="102">
        <v>735</v>
      </c>
      <c r="B336" s="68" t="str">
        <f t="shared" si="77"/>
        <v>3.27, Spray (ATV Ropewick) 75"</v>
      </c>
      <c r="C336" s="103">
        <v>3.27</v>
      </c>
      <c r="D336" s="68" t="s">
        <v>151</v>
      </c>
      <c r="E336" s="68" t="s">
        <v>307</v>
      </c>
      <c r="F336" s="68" t="s">
        <v>308</v>
      </c>
      <c r="G336" s="68" t="str">
        <f t="shared" si="78"/>
        <v>Spray (ATV Ropewick) 75"</v>
      </c>
      <c r="H336" s="85">
        <v>730</v>
      </c>
      <c r="I336" s="221">
        <v>6.5</v>
      </c>
      <c r="J336" s="221">
        <v>7.5</v>
      </c>
      <c r="K336" s="221">
        <v>65</v>
      </c>
      <c r="L336" s="86">
        <f t="shared" si="79"/>
        <v>0.26035502958579881</v>
      </c>
      <c r="M336" s="221">
        <v>40</v>
      </c>
      <c r="N336" s="221">
        <v>75</v>
      </c>
      <c r="O336" s="221">
        <v>8</v>
      </c>
      <c r="P336" s="221">
        <v>200</v>
      </c>
      <c r="Q336" s="221">
        <v>0</v>
      </c>
      <c r="R336" s="104">
        <f t="shared" si="80"/>
        <v>1600</v>
      </c>
      <c r="S336" s="104">
        <v>1</v>
      </c>
      <c r="T336" s="104">
        <v>0.27</v>
      </c>
      <c r="U336" s="104">
        <v>1.4</v>
      </c>
      <c r="V336" s="219">
        <f t="shared" si="81"/>
        <v>20.707545209919306</v>
      </c>
      <c r="W336" s="106">
        <f t="shared" si="82"/>
        <v>0.10353772604959653</v>
      </c>
      <c r="X336" s="107">
        <f t="shared" si="83"/>
        <v>68.4375</v>
      </c>
      <c r="Y336" s="108">
        <f t="shared" si="84"/>
        <v>0.34218749999999998</v>
      </c>
      <c r="Z336" s="88">
        <f t="shared" si="85"/>
        <v>292</v>
      </c>
      <c r="AA336" s="88">
        <f t="shared" si="86"/>
        <v>54.75</v>
      </c>
      <c r="AB336" s="88">
        <f t="shared" si="87"/>
        <v>511</v>
      </c>
      <c r="AC336" s="109">
        <f t="shared" si="75"/>
        <v>45.989999999999995</v>
      </c>
      <c r="AD336" s="109">
        <f t="shared" si="76"/>
        <v>12.264000000000001</v>
      </c>
      <c r="AE336" s="109">
        <f t="shared" si="88"/>
        <v>113.00399999999999</v>
      </c>
      <c r="AF336" s="73">
        <f t="shared" si="89"/>
        <v>0.56501999999999997</v>
      </c>
    </row>
    <row r="337" spans="1:32" x14ac:dyDescent="0.25">
      <c r="A337" s="102">
        <v>734</v>
      </c>
      <c r="B337" s="68" t="str">
        <f t="shared" si="77"/>
        <v>3.28, Spray (ATV) 12'/17'</v>
      </c>
      <c r="C337" s="103">
        <v>3.28</v>
      </c>
      <c r="D337" s="68" t="s">
        <v>151</v>
      </c>
      <c r="E337" s="68" t="s">
        <v>309</v>
      </c>
      <c r="F337" s="68" t="s">
        <v>310</v>
      </c>
      <c r="G337" s="68" t="str">
        <f t="shared" si="78"/>
        <v>Spray (ATV) 12'/17'</v>
      </c>
      <c r="H337" s="85">
        <v>2500</v>
      </c>
      <c r="I337" s="221">
        <v>15</v>
      </c>
      <c r="J337" s="221">
        <v>7.5</v>
      </c>
      <c r="K337" s="221">
        <v>65</v>
      </c>
      <c r="L337" s="86">
        <f t="shared" si="79"/>
        <v>0.11282051282051282</v>
      </c>
      <c r="M337" s="221">
        <v>40</v>
      </c>
      <c r="N337" s="221">
        <v>75</v>
      </c>
      <c r="O337" s="221">
        <v>8</v>
      </c>
      <c r="P337" s="221">
        <v>200</v>
      </c>
      <c r="Q337" s="221">
        <v>0</v>
      </c>
      <c r="R337" s="104">
        <f t="shared" si="80"/>
        <v>1600</v>
      </c>
      <c r="S337" s="104">
        <v>1</v>
      </c>
      <c r="T337" s="104">
        <v>0.27</v>
      </c>
      <c r="U337" s="104">
        <v>1.4</v>
      </c>
      <c r="V337" s="219">
        <f t="shared" si="81"/>
        <v>70.916250718901722</v>
      </c>
      <c r="W337" s="106">
        <f t="shared" si="82"/>
        <v>0.35458125359450859</v>
      </c>
      <c r="X337" s="107">
        <f t="shared" si="83"/>
        <v>234.375</v>
      </c>
      <c r="Y337" s="108">
        <f t="shared" si="84"/>
        <v>1.171875</v>
      </c>
      <c r="Z337" s="88">
        <f t="shared" si="85"/>
        <v>1000</v>
      </c>
      <c r="AA337" s="88">
        <f t="shared" si="86"/>
        <v>187.5</v>
      </c>
      <c r="AB337" s="88">
        <f t="shared" si="87"/>
        <v>1750</v>
      </c>
      <c r="AC337" s="109">
        <f t="shared" si="75"/>
        <v>157.5</v>
      </c>
      <c r="AD337" s="109">
        <f t="shared" si="76"/>
        <v>42</v>
      </c>
      <c r="AE337" s="109">
        <f t="shared" si="88"/>
        <v>387</v>
      </c>
      <c r="AF337" s="73">
        <f t="shared" si="89"/>
        <v>1.9350000000000001</v>
      </c>
    </row>
    <row r="338" spans="1:32" x14ac:dyDescent="0.25">
      <c r="A338" s="102">
        <v>733</v>
      </c>
      <c r="B338" s="68" t="str">
        <f t="shared" si="77"/>
        <v>3.29, Spray (ATV) 20'</v>
      </c>
      <c r="C338" s="103">
        <v>3.29</v>
      </c>
      <c r="D338" s="68" t="s">
        <v>151</v>
      </c>
      <c r="E338" s="68" t="s">
        <v>309</v>
      </c>
      <c r="F338" s="68" t="s">
        <v>205</v>
      </c>
      <c r="G338" s="68" t="str">
        <f t="shared" si="78"/>
        <v>Spray (ATV) 20'</v>
      </c>
      <c r="H338" s="85">
        <v>1440</v>
      </c>
      <c r="I338" s="221">
        <v>20</v>
      </c>
      <c r="J338" s="221">
        <v>7.5</v>
      </c>
      <c r="K338" s="221">
        <v>65</v>
      </c>
      <c r="L338" s="86">
        <f t="shared" si="79"/>
        <v>8.461538461538462E-2</v>
      </c>
      <c r="M338" s="221">
        <v>40</v>
      </c>
      <c r="N338" s="221">
        <v>75</v>
      </c>
      <c r="O338" s="221">
        <v>8</v>
      </c>
      <c r="P338" s="221">
        <v>200</v>
      </c>
      <c r="Q338" s="221">
        <v>0</v>
      </c>
      <c r="R338" s="104">
        <f t="shared" si="80"/>
        <v>1600</v>
      </c>
      <c r="S338" s="104">
        <v>1</v>
      </c>
      <c r="T338" s="104">
        <v>0.27</v>
      </c>
      <c r="U338" s="104">
        <v>1.4</v>
      </c>
      <c r="V338" s="219">
        <f t="shared" si="81"/>
        <v>40.847760414087396</v>
      </c>
      <c r="W338" s="106">
        <f t="shared" si="82"/>
        <v>0.20423880207043699</v>
      </c>
      <c r="X338" s="107">
        <f t="shared" si="83"/>
        <v>135</v>
      </c>
      <c r="Y338" s="108">
        <f t="shared" si="84"/>
        <v>0.67500000000000004</v>
      </c>
      <c r="Z338" s="88">
        <f t="shared" si="85"/>
        <v>576</v>
      </c>
      <c r="AA338" s="88">
        <f t="shared" si="86"/>
        <v>108</v>
      </c>
      <c r="AB338" s="88">
        <f t="shared" si="87"/>
        <v>1008</v>
      </c>
      <c r="AC338" s="109">
        <f t="shared" si="75"/>
        <v>90.72</v>
      </c>
      <c r="AD338" s="109">
        <f t="shared" si="76"/>
        <v>24.192</v>
      </c>
      <c r="AE338" s="109">
        <f t="shared" si="88"/>
        <v>222.91200000000001</v>
      </c>
      <c r="AF338" s="73">
        <f t="shared" si="89"/>
        <v>1.11456</v>
      </c>
    </row>
    <row r="339" spans="1:32" x14ac:dyDescent="0.25">
      <c r="A339" s="102">
        <v>188</v>
      </c>
      <c r="B339" s="68" t="str">
        <f t="shared" si="77"/>
        <v>3.3, Spray (Band) 27' Fold</v>
      </c>
      <c r="C339" s="103">
        <v>3.3</v>
      </c>
      <c r="D339" s="68" t="s">
        <v>151</v>
      </c>
      <c r="E339" s="68" t="s">
        <v>311</v>
      </c>
      <c r="F339" s="68" t="s">
        <v>312</v>
      </c>
      <c r="G339" s="68" t="str">
        <f t="shared" si="78"/>
        <v>Spray (Band) 27' Fold</v>
      </c>
      <c r="H339" s="85">
        <v>5810</v>
      </c>
      <c r="I339" s="221">
        <v>27</v>
      </c>
      <c r="J339" s="221">
        <v>7.5</v>
      </c>
      <c r="K339" s="221">
        <v>65</v>
      </c>
      <c r="L339" s="86">
        <f t="shared" si="79"/>
        <v>6.2678062678062682E-2</v>
      </c>
      <c r="M339" s="221">
        <v>40</v>
      </c>
      <c r="N339" s="221">
        <v>75</v>
      </c>
      <c r="O339" s="221">
        <v>8</v>
      </c>
      <c r="P339" s="221">
        <v>200</v>
      </c>
      <c r="Q339" s="221">
        <v>0</v>
      </c>
      <c r="R339" s="104">
        <f t="shared" si="80"/>
        <v>1600</v>
      </c>
      <c r="S339" s="104">
        <v>1</v>
      </c>
      <c r="T339" s="104">
        <v>0.27</v>
      </c>
      <c r="U339" s="104">
        <v>1.4</v>
      </c>
      <c r="V339" s="219">
        <f t="shared" si="81"/>
        <v>164.80936667072763</v>
      </c>
      <c r="W339" s="106">
        <f t="shared" si="82"/>
        <v>0.82404683335363815</v>
      </c>
      <c r="X339" s="107">
        <f t="shared" si="83"/>
        <v>544.6875</v>
      </c>
      <c r="Y339" s="108">
        <f t="shared" si="84"/>
        <v>2.7234375000000002</v>
      </c>
      <c r="Z339" s="88">
        <f t="shared" si="85"/>
        <v>2324</v>
      </c>
      <c r="AA339" s="88">
        <f t="shared" si="86"/>
        <v>435.75</v>
      </c>
      <c r="AB339" s="88">
        <f t="shared" si="87"/>
        <v>4067</v>
      </c>
      <c r="AC339" s="109">
        <f t="shared" si="75"/>
        <v>366.03</v>
      </c>
      <c r="AD339" s="109">
        <f t="shared" si="76"/>
        <v>97.608000000000004</v>
      </c>
      <c r="AE339" s="109">
        <f t="shared" si="88"/>
        <v>899.38799999999992</v>
      </c>
      <c r="AF339" s="73">
        <f t="shared" si="89"/>
        <v>4.4969399999999995</v>
      </c>
    </row>
    <row r="340" spans="1:32" x14ac:dyDescent="0.25">
      <c r="A340" s="102">
        <v>189</v>
      </c>
      <c r="B340" s="68" t="str">
        <f t="shared" si="77"/>
        <v>3.31, Spray (Band) 40' Fold</v>
      </c>
      <c r="C340" s="103">
        <v>3.31</v>
      </c>
      <c r="D340" s="68" t="s">
        <v>151</v>
      </c>
      <c r="E340" s="68" t="s">
        <v>311</v>
      </c>
      <c r="F340" s="68" t="s">
        <v>313</v>
      </c>
      <c r="G340" s="68" t="str">
        <f t="shared" si="78"/>
        <v>Spray (Band) 40' Fold</v>
      </c>
      <c r="H340" s="85">
        <v>10350</v>
      </c>
      <c r="I340" s="221">
        <v>40</v>
      </c>
      <c r="J340" s="221">
        <v>7.5</v>
      </c>
      <c r="K340" s="221">
        <v>65</v>
      </c>
      <c r="L340" s="86">
        <f t="shared" si="79"/>
        <v>4.230769230769231E-2</v>
      </c>
      <c r="M340" s="221">
        <v>40</v>
      </c>
      <c r="N340" s="221">
        <v>75</v>
      </c>
      <c r="O340" s="221">
        <v>8</v>
      </c>
      <c r="P340" s="221">
        <v>200</v>
      </c>
      <c r="Q340" s="221">
        <v>0</v>
      </c>
      <c r="R340" s="104">
        <f t="shared" si="80"/>
        <v>1600</v>
      </c>
      <c r="S340" s="104">
        <v>1</v>
      </c>
      <c r="T340" s="104">
        <v>0.27</v>
      </c>
      <c r="U340" s="104">
        <v>1.4</v>
      </c>
      <c r="V340" s="219">
        <f t="shared" si="81"/>
        <v>293.59327797625315</v>
      </c>
      <c r="W340" s="106">
        <f t="shared" si="82"/>
        <v>1.4679663898812658</v>
      </c>
      <c r="X340" s="107">
        <f t="shared" si="83"/>
        <v>970.3125</v>
      </c>
      <c r="Y340" s="108">
        <f t="shared" si="84"/>
        <v>4.8515625</v>
      </c>
      <c r="Z340" s="88">
        <f t="shared" si="85"/>
        <v>4140</v>
      </c>
      <c r="AA340" s="88">
        <f t="shared" si="86"/>
        <v>776.25</v>
      </c>
      <c r="AB340" s="88">
        <f t="shared" si="87"/>
        <v>7245</v>
      </c>
      <c r="AC340" s="109">
        <f t="shared" si="75"/>
        <v>652.04999999999995</v>
      </c>
      <c r="AD340" s="109">
        <f t="shared" si="76"/>
        <v>173.88</v>
      </c>
      <c r="AE340" s="109">
        <f t="shared" si="88"/>
        <v>1602.1799999999998</v>
      </c>
      <c r="AF340" s="73">
        <f t="shared" si="89"/>
        <v>8.0108999999999995</v>
      </c>
    </row>
    <row r="341" spans="1:32" x14ac:dyDescent="0.25">
      <c r="A341" s="102">
        <v>354</v>
      </c>
      <c r="B341" s="68" t="str">
        <f t="shared" si="77"/>
        <v>3.32, Spray (Band) 50' Fold</v>
      </c>
      <c r="C341" s="103">
        <v>3.32</v>
      </c>
      <c r="D341" s="68" t="s">
        <v>151</v>
      </c>
      <c r="E341" s="68" t="s">
        <v>311</v>
      </c>
      <c r="F341" s="68" t="s">
        <v>314</v>
      </c>
      <c r="G341" s="68" t="str">
        <f t="shared" si="78"/>
        <v>Spray (Band) 50' Fold</v>
      </c>
      <c r="H341" s="85">
        <v>9670</v>
      </c>
      <c r="I341" s="221">
        <v>50</v>
      </c>
      <c r="J341" s="221">
        <v>7.5</v>
      </c>
      <c r="K341" s="221">
        <v>65</v>
      </c>
      <c r="L341" s="86">
        <f t="shared" si="79"/>
        <v>3.3846153846153845E-2</v>
      </c>
      <c r="M341" s="221">
        <v>40</v>
      </c>
      <c r="N341" s="221">
        <v>75</v>
      </c>
      <c r="O341" s="221">
        <v>8</v>
      </c>
      <c r="P341" s="221">
        <v>200</v>
      </c>
      <c r="Q341" s="221">
        <v>0</v>
      </c>
      <c r="R341" s="104">
        <f t="shared" si="80"/>
        <v>1600</v>
      </c>
      <c r="S341" s="104">
        <v>1</v>
      </c>
      <c r="T341" s="104">
        <v>0.27</v>
      </c>
      <c r="U341" s="104">
        <v>1.4</v>
      </c>
      <c r="V341" s="219">
        <f t="shared" si="81"/>
        <v>274.3040577807119</v>
      </c>
      <c r="W341" s="106">
        <f t="shared" si="82"/>
        <v>1.3715202889035596</v>
      </c>
      <c r="X341" s="107">
        <f t="shared" si="83"/>
        <v>906.5625</v>
      </c>
      <c r="Y341" s="108">
        <f t="shared" si="84"/>
        <v>4.5328125000000004</v>
      </c>
      <c r="Z341" s="88">
        <f t="shared" si="85"/>
        <v>3868</v>
      </c>
      <c r="AA341" s="88">
        <f t="shared" si="86"/>
        <v>725.25</v>
      </c>
      <c r="AB341" s="88">
        <f t="shared" si="87"/>
        <v>6769</v>
      </c>
      <c r="AC341" s="109">
        <f t="shared" si="75"/>
        <v>609.20999999999992</v>
      </c>
      <c r="AD341" s="109">
        <f t="shared" si="76"/>
        <v>162.45600000000002</v>
      </c>
      <c r="AE341" s="109">
        <f t="shared" si="88"/>
        <v>1496.9160000000002</v>
      </c>
      <c r="AF341" s="73">
        <f t="shared" si="89"/>
        <v>7.4845800000000011</v>
      </c>
    </row>
    <row r="342" spans="1:32" x14ac:dyDescent="0.25">
      <c r="A342" s="102">
        <v>355</v>
      </c>
      <c r="B342" s="68" t="str">
        <f t="shared" si="77"/>
        <v>3.33, Spray (Band) 53' Fold</v>
      </c>
      <c r="C342" s="103">
        <v>3.33</v>
      </c>
      <c r="D342" s="68" t="s">
        <v>151</v>
      </c>
      <c r="E342" s="68" t="s">
        <v>311</v>
      </c>
      <c r="F342" s="68" t="s">
        <v>315</v>
      </c>
      <c r="G342" s="68" t="str">
        <f t="shared" si="78"/>
        <v>Spray (Band) 53' Fold</v>
      </c>
      <c r="H342" s="85">
        <v>12000</v>
      </c>
      <c r="I342" s="221">
        <v>53</v>
      </c>
      <c r="J342" s="221">
        <v>7.5</v>
      </c>
      <c r="K342" s="221">
        <v>65</v>
      </c>
      <c r="L342" s="86">
        <f t="shared" si="79"/>
        <v>3.1930333817126275E-2</v>
      </c>
      <c r="M342" s="221">
        <v>40</v>
      </c>
      <c r="N342" s="221">
        <v>75</v>
      </c>
      <c r="O342" s="221">
        <v>8</v>
      </c>
      <c r="P342" s="221">
        <v>200</v>
      </c>
      <c r="Q342" s="221">
        <v>0</v>
      </c>
      <c r="R342" s="104">
        <f t="shared" si="80"/>
        <v>1600</v>
      </c>
      <c r="S342" s="104">
        <v>1</v>
      </c>
      <c r="T342" s="104">
        <v>0.27</v>
      </c>
      <c r="U342" s="104">
        <v>1.4</v>
      </c>
      <c r="V342" s="219">
        <f t="shared" si="81"/>
        <v>340.39800345072825</v>
      </c>
      <c r="W342" s="106">
        <f t="shared" si="82"/>
        <v>1.7019900172536413</v>
      </c>
      <c r="X342" s="107">
        <f t="shared" si="83"/>
        <v>1125</v>
      </c>
      <c r="Y342" s="108">
        <f t="shared" si="84"/>
        <v>5.625</v>
      </c>
      <c r="Z342" s="88">
        <f t="shared" si="85"/>
        <v>4800</v>
      </c>
      <c r="AA342" s="88">
        <f t="shared" si="86"/>
        <v>900</v>
      </c>
      <c r="AB342" s="88">
        <f t="shared" si="87"/>
        <v>8400</v>
      </c>
      <c r="AC342" s="109">
        <f t="shared" si="75"/>
        <v>756</v>
      </c>
      <c r="AD342" s="109">
        <f t="shared" si="76"/>
        <v>201.6</v>
      </c>
      <c r="AE342" s="109">
        <f t="shared" si="88"/>
        <v>1857.6</v>
      </c>
      <c r="AF342" s="73">
        <f t="shared" si="89"/>
        <v>9.2880000000000003</v>
      </c>
    </row>
    <row r="343" spans="1:32" x14ac:dyDescent="0.25">
      <c r="A343" s="102">
        <v>190</v>
      </c>
      <c r="B343" s="68" t="str">
        <f t="shared" si="77"/>
        <v>3.34, Spray (Band) 60' Fold</v>
      </c>
      <c r="C343" s="103">
        <v>3.34</v>
      </c>
      <c r="D343" s="68" t="s">
        <v>151</v>
      </c>
      <c r="E343" s="68" t="s">
        <v>311</v>
      </c>
      <c r="F343" s="68" t="s">
        <v>316</v>
      </c>
      <c r="G343" s="68" t="str">
        <f t="shared" si="78"/>
        <v>Spray (Band) 60' Fold</v>
      </c>
      <c r="H343" s="85">
        <v>18600</v>
      </c>
      <c r="I343" s="221">
        <v>60</v>
      </c>
      <c r="J343" s="221">
        <v>7.5</v>
      </c>
      <c r="K343" s="221">
        <v>65</v>
      </c>
      <c r="L343" s="86">
        <f t="shared" si="79"/>
        <v>2.8205128205128206E-2</v>
      </c>
      <c r="M343" s="221">
        <v>40</v>
      </c>
      <c r="N343" s="221">
        <v>75</v>
      </c>
      <c r="O343" s="221">
        <v>8</v>
      </c>
      <c r="P343" s="221">
        <v>200</v>
      </c>
      <c r="Q343" s="221">
        <v>0</v>
      </c>
      <c r="R343" s="104">
        <f t="shared" si="80"/>
        <v>1600</v>
      </c>
      <c r="S343" s="104">
        <v>1</v>
      </c>
      <c r="T343" s="104">
        <v>0.27</v>
      </c>
      <c r="U343" s="104">
        <v>1.4</v>
      </c>
      <c r="V343" s="219">
        <f t="shared" si="81"/>
        <v>527.61690534862885</v>
      </c>
      <c r="W343" s="106">
        <f t="shared" si="82"/>
        <v>2.6380845267431443</v>
      </c>
      <c r="X343" s="107">
        <f t="shared" si="83"/>
        <v>1743.75</v>
      </c>
      <c r="Y343" s="108">
        <f t="shared" si="84"/>
        <v>8.71875</v>
      </c>
      <c r="Z343" s="88">
        <f t="shared" si="85"/>
        <v>7440</v>
      </c>
      <c r="AA343" s="88">
        <f t="shared" si="86"/>
        <v>1395</v>
      </c>
      <c r="AB343" s="88">
        <f t="shared" si="87"/>
        <v>13020</v>
      </c>
      <c r="AC343" s="109">
        <f t="shared" si="75"/>
        <v>1171.8</v>
      </c>
      <c r="AD343" s="109">
        <f t="shared" si="76"/>
        <v>312.48</v>
      </c>
      <c r="AE343" s="109">
        <f t="shared" si="88"/>
        <v>2879.28</v>
      </c>
      <c r="AF343" s="73">
        <f t="shared" si="89"/>
        <v>14.396400000000002</v>
      </c>
    </row>
    <row r="344" spans="1:32" x14ac:dyDescent="0.25">
      <c r="A344" s="102">
        <v>449</v>
      </c>
      <c r="B344" s="68" t="str">
        <f t="shared" si="77"/>
        <v>3.35, Spray (Bcast/HB) 13' Rigid</v>
      </c>
      <c r="C344" s="103">
        <v>3.35</v>
      </c>
      <c r="D344" s="68" t="s">
        <v>151</v>
      </c>
      <c r="E344" s="68" t="s">
        <v>317</v>
      </c>
      <c r="F344" s="68" t="s">
        <v>318</v>
      </c>
      <c r="G344" s="68" t="str">
        <f t="shared" si="78"/>
        <v>Spray (Bcast/HB) 13' Rigid</v>
      </c>
      <c r="H344" s="85">
        <v>9170</v>
      </c>
      <c r="I344" s="221">
        <v>13</v>
      </c>
      <c r="J344" s="221">
        <v>7.5</v>
      </c>
      <c r="K344" s="221">
        <v>65</v>
      </c>
      <c r="L344" s="86">
        <f t="shared" si="79"/>
        <v>0.13017751479289941</v>
      </c>
      <c r="M344" s="221">
        <v>40</v>
      </c>
      <c r="N344" s="221">
        <v>75</v>
      </c>
      <c r="O344" s="221">
        <v>8</v>
      </c>
      <c r="P344" s="221">
        <v>200</v>
      </c>
      <c r="Q344" s="221">
        <v>0</v>
      </c>
      <c r="R344" s="104">
        <f t="shared" si="80"/>
        <v>1600</v>
      </c>
      <c r="S344" s="104">
        <v>1</v>
      </c>
      <c r="T344" s="104">
        <v>0.27</v>
      </c>
      <c r="U344" s="104">
        <v>1.4</v>
      </c>
      <c r="V344" s="219">
        <f t="shared" si="81"/>
        <v>260.12080763693154</v>
      </c>
      <c r="W344" s="106">
        <f t="shared" si="82"/>
        <v>1.3006040381846578</v>
      </c>
      <c r="X344" s="107">
        <f t="shared" si="83"/>
        <v>859.6875</v>
      </c>
      <c r="Y344" s="108">
        <f t="shared" si="84"/>
        <v>4.2984375000000004</v>
      </c>
      <c r="Z344" s="88">
        <f t="shared" si="85"/>
        <v>3668</v>
      </c>
      <c r="AA344" s="88">
        <f t="shared" si="86"/>
        <v>687.75</v>
      </c>
      <c r="AB344" s="88">
        <f t="shared" si="87"/>
        <v>6419</v>
      </c>
      <c r="AC344" s="109">
        <f t="shared" si="75"/>
        <v>577.70999999999992</v>
      </c>
      <c r="AD344" s="109">
        <f t="shared" si="76"/>
        <v>154.05600000000001</v>
      </c>
      <c r="AE344" s="109">
        <f t="shared" si="88"/>
        <v>1419.5160000000001</v>
      </c>
      <c r="AF344" s="73">
        <f t="shared" si="89"/>
        <v>7.0975800000000007</v>
      </c>
    </row>
    <row r="345" spans="1:32" x14ac:dyDescent="0.25">
      <c r="A345" s="102">
        <v>448</v>
      </c>
      <c r="B345" s="68" t="str">
        <f t="shared" si="77"/>
        <v>3.36, Spray (Bcast/HB) 20' Rigid</v>
      </c>
      <c r="C345" s="103">
        <v>3.36</v>
      </c>
      <c r="D345" s="68" t="s">
        <v>151</v>
      </c>
      <c r="E345" s="68" t="s">
        <v>317</v>
      </c>
      <c r="F345" s="68" t="s">
        <v>319</v>
      </c>
      <c r="G345" s="68" t="str">
        <f t="shared" si="78"/>
        <v>Spray (Bcast/HB) 20' Rigid</v>
      </c>
      <c r="H345" s="85">
        <v>10700</v>
      </c>
      <c r="I345" s="221">
        <v>20</v>
      </c>
      <c r="J345" s="221">
        <v>7.5</v>
      </c>
      <c r="K345" s="221">
        <v>65</v>
      </c>
      <c r="L345" s="86">
        <f t="shared" si="79"/>
        <v>8.461538461538462E-2</v>
      </c>
      <c r="M345" s="221">
        <v>40</v>
      </c>
      <c r="N345" s="221">
        <v>75</v>
      </c>
      <c r="O345" s="221">
        <v>8</v>
      </c>
      <c r="P345" s="221">
        <v>200</v>
      </c>
      <c r="Q345" s="221">
        <v>0</v>
      </c>
      <c r="R345" s="104">
        <f t="shared" si="80"/>
        <v>1600</v>
      </c>
      <c r="S345" s="104">
        <v>1</v>
      </c>
      <c r="T345" s="104">
        <v>0.27</v>
      </c>
      <c r="U345" s="104">
        <v>1.4</v>
      </c>
      <c r="V345" s="219">
        <f t="shared" si="81"/>
        <v>303.52155307689941</v>
      </c>
      <c r="W345" s="106">
        <f t="shared" si="82"/>
        <v>1.517607765384497</v>
      </c>
      <c r="X345" s="107">
        <f t="shared" si="83"/>
        <v>1003.125</v>
      </c>
      <c r="Y345" s="108">
        <f t="shared" si="84"/>
        <v>5.015625</v>
      </c>
      <c r="Z345" s="88">
        <f t="shared" si="85"/>
        <v>4280</v>
      </c>
      <c r="AA345" s="88">
        <f t="shared" si="86"/>
        <v>802.5</v>
      </c>
      <c r="AB345" s="88">
        <f t="shared" si="87"/>
        <v>7490</v>
      </c>
      <c r="AC345" s="109">
        <f t="shared" si="75"/>
        <v>674.1</v>
      </c>
      <c r="AD345" s="109">
        <f t="shared" si="76"/>
        <v>179.76</v>
      </c>
      <c r="AE345" s="109">
        <f t="shared" si="88"/>
        <v>1656.36</v>
      </c>
      <c r="AF345" s="73">
        <f t="shared" si="89"/>
        <v>8.2817999999999987</v>
      </c>
    </row>
    <row r="346" spans="1:32" x14ac:dyDescent="0.25">
      <c r="A346" s="102">
        <v>292</v>
      </c>
      <c r="B346" s="68" t="str">
        <f t="shared" si="77"/>
        <v>3.37, Spray (Bcast/HB) 27' Fold</v>
      </c>
      <c r="C346" s="103">
        <v>3.37</v>
      </c>
      <c r="D346" s="68" t="s">
        <v>151</v>
      </c>
      <c r="E346" s="68" t="s">
        <v>317</v>
      </c>
      <c r="F346" s="68" t="s">
        <v>312</v>
      </c>
      <c r="G346" s="68" t="str">
        <f t="shared" si="78"/>
        <v>Spray (Bcast/HB) 27' Fold</v>
      </c>
      <c r="H346" s="85">
        <v>13600</v>
      </c>
      <c r="I346" s="221">
        <v>27</v>
      </c>
      <c r="J346" s="221">
        <v>7.5</v>
      </c>
      <c r="K346" s="221">
        <v>65</v>
      </c>
      <c r="L346" s="86">
        <f t="shared" si="79"/>
        <v>6.2678062678062682E-2</v>
      </c>
      <c r="M346" s="221">
        <v>40</v>
      </c>
      <c r="N346" s="221">
        <v>75</v>
      </c>
      <c r="O346" s="221">
        <v>8</v>
      </c>
      <c r="P346" s="221">
        <v>200</v>
      </c>
      <c r="Q346" s="221">
        <v>0</v>
      </c>
      <c r="R346" s="104">
        <f t="shared" si="80"/>
        <v>1600</v>
      </c>
      <c r="S346" s="104">
        <v>1</v>
      </c>
      <c r="T346" s="104">
        <v>0.27</v>
      </c>
      <c r="U346" s="104">
        <v>1.4</v>
      </c>
      <c r="V346" s="219">
        <f t="shared" si="81"/>
        <v>385.7844039108254</v>
      </c>
      <c r="W346" s="106">
        <f t="shared" si="82"/>
        <v>1.928922019554127</v>
      </c>
      <c r="X346" s="107">
        <f t="shared" si="83"/>
        <v>1275</v>
      </c>
      <c r="Y346" s="108">
        <f t="shared" si="84"/>
        <v>6.375</v>
      </c>
      <c r="Z346" s="88">
        <f t="shared" si="85"/>
        <v>5440</v>
      </c>
      <c r="AA346" s="88">
        <f t="shared" si="86"/>
        <v>1020</v>
      </c>
      <c r="AB346" s="88">
        <f t="shared" si="87"/>
        <v>9520</v>
      </c>
      <c r="AC346" s="109">
        <f t="shared" si="75"/>
        <v>856.8</v>
      </c>
      <c r="AD346" s="109">
        <f t="shared" si="76"/>
        <v>228.48000000000002</v>
      </c>
      <c r="AE346" s="109">
        <f t="shared" si="88"/>
        <v>2105.2799999999997</v>
      </c>
      <c r="AF346" s="73">
        <f t="shared" si="89"/>
        <v>10.526399999999999</v>
      </c>
    </row>
    <row r="347" spans="1:32" x14ac:dyDescent="0.25">
      <c r="A347" s="102">
        <v>447</v>
      </c>
      <c r="B347" s="68" t="str">
        <f t="shared" si="77"/>
        <v>3.38, Spray (Bcast/HB) 27' Rigid</v>
      </c>
      <c r="C347" s="103">
        <v>3.38</v>
      </c>
      <c r="D347" s="68" t="s">
        <v>151</v>
      </c>
      <c r="E347" s="68" t="s">
        <v>317</v>
      </c>
      <c r="F347" s="68" t="s">
        <v>320</v>
      </c>
      <c r="G347" s="68" t="str">
        <f t="shared" si="78"/>
        <v>Spray (Bcast/HB) 27' Rigid</v>
      </c>
      <c r="H347" s="85">
        <v>12600</v>
      </c>
      <c r="I347" s="221">
        <v>27</v>
      </c>
      <c r="J347" s="221">
        <v>7.5</v>
      </c>
      <c r="K347" s="221">
        <v>65</v>
      </c>
      <c r="L347" s="86">
        <f t="shared" si="79"/>
        <v>6.2678062678062682E-2</v>
      </c>
      <c r="M347" s="221">
        <v>40</v>
      </c>
      <c r="N347" s="221">
        <v>75</v>
      </c>
      <c r="O347" s="221">
        <v>8</v>
      </c>
      <c r="P347" s="221">
        <v>200</v>
      </c>
      <c r="Q347" s="221">
        <v>0</v>
      </c>
      <c r="R347" s="104">
        <f t="shared" si="80"/>
        <v>1600</v>
      </c>
      <c r="S347" s="104">
        <v>1</v>
      </c>
      <c r="T347" s="104">
        <v>0.27</v>
      </c>
      <c r="U347" s="104">
        <v>1.4</v>
      </c>
      <c r="V347" s="219">
        <f t="shared" si="81"/>
        <v>357.41790362326469</v>
      </c>
      <c r="W347" s="106">
        <f t="shared" si="82"/>
        <v>1.7870895181163235</v>
      </c>
      <c r="X347" s="107">
        <f t="shared" si="83"/>
        <v>1181.25</v>
      </c>
      <c r="Y347" s="108">
        <f t="shared" si="84"/>
        <v>5.90625</v>
      </c>
      <c r="Z347" s="88">
        <f t="shared" si="85"/>
        <v>5040</v>
      </c>
      <c r="AA347" s="88">
        <f t="shared" si="86"/>
        <v>945</v>
      </c>
      <c r="AB347" s="88">
        <f t="shared" si="87"/>
        <v>8820</v>
      </c>
      <c r="AC347" s="109">
        <f t="shared" si="75"/>
        <v>793.8</v>
      </c>
      <c r="AD347" s="109">
        <f t="shared" si="76"/>
        <v>211.68</v>
      </c>
      <c r="AE347" s="109">
        <f t="shared" si="88"/>
        <v>1950.48</v>
      </c>
      <c r="AF347" s="73">
        <f t="shared" si="89"/>
        <v>9.7523999999999997</v>
      </c>
    </row>
    <row r="348" spans="1:32" x14ac:dyDescent="0.25">
      <c r="A348" s="102">
        <v>299</v>
      </c>
      <c r="B348" s="68" t="str">
        <f t="shared" si="77"/>
        <v>3.39, Spray (Bcast/HB) 30' Fold</v>
      </c>
      <c r="C348" s="103">
        <v>3.39</v>
      </c>
      <c r="D348" s="68" t="s">
        <v>151</v>
      </c>
      <c r="E348" s="68" t="s">
        <v>317</v>
      </c>
      <c r="F348" s="68" t="s">
        <v>321</v>
      </c>
      <c r="G348" s="68" t="str">
        <f t="shared" si="78"/>
        <v>Spray (Bcast/HB) 30' Fold</v>
      </c>
      <c r="H348" s="85">
        <v>19400</v>
      </c>
      <c r="I348" s="221">
        <v>30</v>
      </c>
      <c r="J348" s="221">
        <v>7.5</v>
      </c>
      <c r="K348" s="221">
        <v>65</v>
      </c>
      <c r="L348" s="86">
        <f t="shared" si="79"/>
        <v>5.6410256410256411E-2</v>
      </c>
      <c r="M348" s="221">
        <v>40</v>
      </c>
      <c r="N348" s="221">
        <v>75</v>
      </c>
      <c r="O348" s="221">
        <v>8</v>
      </c>
      <c r="P348" s="221">
        <v>200</v>
      </c>
      <c r="Q348" s="221">
        <v>0</v>
      </c>
      <c r="R348" s="104">
        <f t="shared" si="80"/>
        <v>1600</v>
      </c>
      <c r="S348" s="104">
        <v>1</v>
      </c>
      <c r="T348" s="104">
        <v>0.27</v>
      </c>
      <c r="U348" s="104">
        <v>1.4</v>
      </c>
      <c r="V348" s="219">
        <f t="shared" si="81"/>
        <v>550.31010557867739</v>
      </c>
      <c r="W348" s="106">
        <f t="shared" si="82"/>
        <v>2.7515505278933872</v>
      </c>
      <c r="X348" s="107">
        <f t="shared" si="83"/>
        <v>1818.75</v>
      </c>
      <c r="Y348" s="108">
        <f t="shared" si="84"/>
        <v>9.09375</v>
      </c>
      <c r="Z348" s="88">
        <f t="shared" si="85"/>
        <v>7760</v>
      </c>
      <c r="AA348" s="88">
        <f t="shared" si="86"/>
        <v>1455</v>
      </c>
      <c r="AB348" s="88">
        <f t="shared" si="87"/>
        <v>13580</v>
      </c>
      <c r="AC348" s="109">
        <f t="shared" si="75"/>
        <v>1222.2</v>
      </c>
      <c r="AD348" s="109">
        <f t="shared" si="76"/>
        <v>325.92</v>
      </c>
      <c r="AE348" s="109">
        <f t="shared" si="88"/>
        <v>3003.12</v>
      </c>
      <c r="AF348" s="73">
        <f t="shared" si="89"/>
        <v>15.015599999999999</v>
      </c>
    </row>
    <row r="349" spans="1:32" x14ac:dyDescent="0.25">
      <c r="A349" s="102">
        <v>297</v>
      </c>
      <c r="B349" s="68" t="str">
        <f t="shared" si="77"/>
        <v>3.4, Spray (Bcast/HB) 40' Fold</v>
      </c>
      <c r="C349" s="103">
        <v>3.4</v>
      </c>
      <c r="D349" s="68" t="s">
        <v>151</v>
      </c>
      <c r="E349" s="68" t="s">
        <v>317</v>
      </c>
      <c r="F349" s="68" t="s">
        <v>313</v>
      </c>
      <c r="G349" s="68" t="str">
        <f t="shared" si="78"/>
        <v>Spray (Bcast/HB) 40' Fold</v>
      </c>
      <c r="H349" s="85">
        <v>23200</v>
      </c>
      <c r="I349" s="221">
        <v>40</v>
      </c>
      <c r="J349" s="221">
        <v>7.5</v>
      </c>
      <c r="K349" s="221">
        <v>65</v>
      </c>
      <c r="L349" s="86">
        <f t="shared" si="79"/>
        <v>4.230769230769231E-2</v>
      </c>
      <c r="M349" s="221">
        <v>40</v>
      </c>
      <c r="N349" s="221">
        <v>75</v>
      </c>
      <c r="O349" s="221">
        <v>8</v>
      </c>
      <c r="P349" s="221">
        <v>200</v>
      </c>
      <c r="Q349" s="221">
        <v>0</v>
      </c>
      <c r="R349" s="104">
        <f t="shared" si="80"/>
        <v>1600</v>
      </c>
      <c r="S349" s="104">
        <v>1</v>
      </c>
      <c r="T349" s="104">
        <v>0.27</v>
      </c>
      <c r="U349" s="104">
        <v>1.4</v>
      </c>
      <c r="V349" s="219">
        <f t="shared" si="81"/>
        <v>658.10280667140796</v>
      </c>
      <c r="W349" s="106">
        <f t="shared" si="82"/>
        <v>3.2905140333570397</v>
      </c>
      <c r="X349" s="107">
        <f t="shared" si="83"/>
        <v>2175</v>
      </c>
      <c r="Y349" s="108">
        <f t="shared" si="84"/>
        <v>10.875</v>
      </c>
      <c r="Z349" s="88">
        <f t="shared" si="85"/>
        <v>9280</v>
      </c>
      <c r="AA349" s="88">
        <f t="shared" si="86"/>
        <v>1740</v>
      </c>
      <c r="AB349" s="88">
        <f t="shared" si="87"/>
        <v>16240</v>
      </c>
      <c r="AC349" s="109">
        <f t="shared" si="75"/>
        <v>1461.6</v>
      </c>
      <c r="AD349" s="109">
        <f t="shared" si="76"/>
        <v>389.76</v>
      </c>
      <c r="AE349" s="109">
        <f t="shared" si="88"/>
        <v>3591.3599999999997</v>
      </c>
      <c r="AF349" s="73">
        <f t="shared" si="89"/>
        <v>17.956799999999998</v>
      </c>
    </row>
    <row r="350" spans="1:32" x14ac:dyDescent="0.25">
      <c r="A350" s="102">
        <v>620</v>
      </c>
      <c r="B350" s="68" t="str">
        <f t="shared" si="77"/>
        <v>3.41, Spray (Bcast/HB/HD) 27'</v>
      </c>
      <c r="C350" s="103">
        <v>3.41</v>
      </c>
      <c r="D350" s="68" t="s">
        <v>151</v>
      </c>
      <c r="E350" s="68" t="s">
        <v>322</v>
      </c>
      <c r="F350" s="68" t="s">
        <v>323</v>
      </c>
      <c r="G350" s="68" t="str">
        <f t="shared" si="78"/>
        <v>Spray (Bcast/HB/HD) 27'</v>
      </c>
      <c r="H350" s="85">
        <v>24000</v>
      </c>
      <c r="I350" s="221">
        <v>27</v>
      </c>
      <c r="J350" s="221">
        <v>7.5</v>
      </c>
      <c r="K350" s="221">
        <v>65</v>
      </c>
      <c r="L350" s="86">
        <f t="shared" si="79"/>
        <v>6.2678062678062682E-2</v>
      </c>
      <c r="M350" s="221">
        <v>40</v>
      </c>
      <c r="N350" s="221">
        <v>75</v>
      </c>
      <c r="O350" s="221">
        <v>8</v>
      </c>
      <c r="P350" s="221">
        <v>200</v>
      </c>
      <c r="Q350" s="221">
        <v>0</v>
      </c>
      <c r="R350" s="104">
        <f t="shared" si="80"/>
        <v>1600</v>
      </c>
      <c r="S350" s="104">
        <v>1</v>
      </c>
      <c r="T350" s="104">
        <v>0.27</v>
      </c>
      <c r="U350" s="104">
        <v>1.4</v>
      </c>
      <c r="V350" s="219">
        <f t="shared" si="81"/>
        <v>680.79600690145651</v>
      </c>
      <c r="W350" s="106">
        <f t="shared" si="82"/>
        <v>3.4039800345072826</v>
      </c>
      <c r="X350" s="107">
        <f t="shared" si="83"/>
        <v>2250</v>
      </c>
      <c r="Y350" s="108">
        <f t="shared" si="84"/>
        <v>11.25</v>
      </c>
      <c r="Z350" s="88">
        <f t="shared" si="85"/>
        <v>9600</v>
      </c>
      <c r="AA350" s="88">
        <f t="shared" si="86"/>
        <v>1800</v>
      </c>
      <c r="AB350" s="88">
        <f t="shared" si="87"/>
        <v>16800</v>
      </c>
      <c r="AC350" s="109">
        <f t="shared" si="75"/>
        <v>1512</v>
      </c>
      <c r="AD350" s="109">
        <f t="shared" si="76"/>
        <v>403.2</v>
      </c>
      <c r="AE350" s="109">
        <f t="shared" si="88"/>
        <v>3715.2</v>
      </c>
      <c r="AF350" s="73">
        <f t="shared" si="89"/>
        <v>18.576000000000001</v>
      </c>
    </row>
    <row r="351" spans="1:32" x14ac:dyDescent="0.25">
      <c r="A351" s="102">
        <v>309</v>
      </c>
      <c r="B351" s="68" t="str">
        <f t="shared" si="77"/>
        <v>3.42, Spray (Bcast/HB/HD) 40'</v>
      </c>
      <c r="C351" s="103">
        <v>3.42</v>
      </c>
      <c r="D351" s="68" t="s">
        <v>151</v>
      </c>
      <c r="E351" s="68" t="s">
        <v>322</v>
      </c>
      <c r="F351" s="68" t="s">
        <v>243</v>
      </c>
      <c r="G351" s="68" t="str">
        <f t="shared" si="78"/>
        <v>Spray (Bcast/HB/HD) 40'</v>
      </c>
      <c r="H351" s="85">
        <v>27000</v>
      </c>
      <c r="I351" s="221">
        <v>40</v>
      </c>
      <c r="J351" s="221">
        <v>7.5</v>
      </c>
      <c r="K351" s="221">
        <v>65</v>
      </c>
      <c r="L351" s="86">
        <f t="shared" si="79"/>
        <v>4.230769230769231E-2</v>
      </c>
      <c r="M351" s="221">
        <v>40</v>
      </c>
      <c r="N351" s="221">
        <v>75</v>
      </c>
      <c r="O351" s="221">
        <v>8</v>
      </c>
      <c r="P351" s="221">
        <v>200</v>
      </c>
      <c r="Q351" s="221">
        <v>0</v>
      </c>
      <c r="R351" s="104">
        <f t="shared" si="80"/>
        <v>1600</v>
      </c>
      <c r="S351" s="104">
        <v>1</v>
      </c>
      <c r="T351" s="104">
        <v>0.27</v>
      </c>
      <c r="U351" s="104">
        <v>1.4</v>
      </c>
      <c r="V351" s="219">
        <f t="shared" si="81"/>
        <v>765.89550776413876</v>
      </c>
      <c r="W351" s="106">
        <f t="shared" si="82"/>
        <v>3.8294775388206936</v>
      </c>
      <c r="X351" s="107">
        <f t="shared" si="83"/>
        <v>2531.25</v>
      </c>
      <c r="Y351" s="108">
        <f t="shared" si="84"/>
        <v>12.65625</v>
      </c>
      <c r="Z351" s="88">
        <f t="shared" si="85"/>
        <v>10800</v>
      </c>
      <c r="AA351" s="88">
        <f t="shared" si="86"/>
        <v>2025</v>
      </c>
      <c r="AB351" s="88">
        <f t="shared" si="87"/>
        <v>18900</v>
      </c>
      <c r="AC351" s="109">
        <f t="shared" si="75"/>
        <v>1701</v>
      </c>
      <c r="AD351" s="109">
        <f t="shared" si="76"/>
        <v>453.6</v>
      </c>
      <c r="AE351" s="109">
        <f t="shared" si="88"/>
        <v>4179.6000000000004</v>
      </c>
      <c r="AF351" s="73">
        <f t="shared" si="89"/>
        <v>20.898000000000003</v>
      </c>
    </row>
    <row r="352" spans="1:32" x14ac:dyDescent="0.25">
      <c r="A352" s="102">
        <v>191</v>
      </c>
      <c r="B352" s="68" t="str">
        <f t="shared" si="77"/>
        <v>3.43, Spray (Broadcast) 27'</v>
      </c>
      <c r="C352" s="103">
        <v>3.43</v>
      </c>
      <c r="D352" s="68" t="s">
        <v>151</v>
      </c>
      <c r="E352" s="68" t="s">
        <v>324</v>
      </c>
      <c r="F352" s="68" t="s">
        <v>323</v>
      </c>
      <c r="G352" s="68" t="str">
        <f t="shared" si="78"/>
        <v>Spray (Broadcast) 27'</v>
      </c>
      <c r="H352" s="85">
        <v>5810</v>
      </c>
      <c r="I352" s="221">
        <v>27</v>
      </c>
      <c r="J352" s="221">
        <v>7.5</v>
      </c>
      <c r="K352" s="221">
        <v>65</v>
      </c>
      <c r="L352" s="86">
        <f t="shared" si="79"/>
        <v>6.2678062678062682E-2</v>
      </c>
      <c r="M352" s="221">
        <v>40</v>
      </c>
      <c r="N352" s="221">
        <v>75</v>
      </c>
      <c r="O352" s="221">
        <v>8</v>
      </c>
      <c r="P352" s="221">
        <v>200</v>
      </c>
      <c r="Q352" s="221">
        <v>0</v>
      </c>
      <c r="R352" s="104">
        <f t="shared" si="80"/>
        <v>1600</v>
      </c>
      <c r="S352" s="104">
        <v>1</v>
      </c>
      <c r="T352" s="104">
        <v>0.27</v>
      </c>
      <c r="U352" s="104">
        <v>1.4</v>
      </c>
      <c r="V352" s="219">
        <f t="shared" si="81"/>
        <v>164.80936667072763</v>
      </c>
      <c r="W352" s="106">
        <f t="shared" si="82"/>
        <v>0.82404683335363815</v>
      </c>
      <c r="X352" s="107">
        <f t="shared" si="83"/>
        <v>544.6875</v>
      </c>
      <c r="Y352" s="108">
        <f t="shared" si="84"/>
        <v>2.7234375000000002</v>
      </c>
      <c r="Z352" s="88">
        <f t="shared" si="85"/>
        <v>2324</v>
      </c>
      <c r="AA352" s="88">
        <f t="shared" si="86"/>
        <v>435.75</v>
      </c>
      <c r="AB352" s="88">
        <f t="shared" si="87"/>
        <v>4067</v>
      </c>
      <c r="AC352" s="109">
        <f t="shared" si="75"/>
        <v>366.03</v>
      </c>
      <c r="AD352" s="109">
        <f t="shared" si="76"/>
        <v>97.608000000000004</v>
      </c>
      <c r="AE352" s="109">
        <f t="shared" si="88"/>
        <v>899.38799999999992</v>
      </c>
      <c r="AF352" s="73">
        <f t="shared" si="89"/>
        <v>4.4969399999999995</v>
      </c>
    </row>
    <row r="353" spans="1:32" x14ac:dyDescent="0.25">
      <c r="A353" s="102">
        <v>192</v>
      </c>
      <c r="B353" s="68" t="str">
        <f t="shared" si="77"/>
        <v>3.44, Spray (Broadcast) 40'</v>
      </c>
      <c r="C353" s="103">
        <v>3.44</v>
      </c>
      <c r="D353" s="68" t="s">
        <v>151</v>
      </c>
      <c r="E353" s="68" t="s">
        <v>324</v>
      </c>
      <c r="F353" s="68" t="s">
        <v>243</v>
      </c>
      <c r="G353" s="68" t="str">
        <f t="shared" si="78"/>
        <v>Spray (Broadcast) 40'</v>
      </c>
      <c r="H353" s="85">
        <v>10350</v>
      </c>
      <c r="I353" s="221">
        <v>40</v>
      </c>
      <c r="J353" s="221">
        <v>7.5</v>
      </c>
      <c r="K353" s="221">
        <v>65</v>
      </c>
      <c r="L353" s="86">
        <f t="shared" si="79"/>
        <v>4.230769230769231E-2</v>
      </c>
      <c r="M353" s="221">
        <v>40</v>
      </c>
      <c r="N353" s="221">
        <v>75</v>
      </c>
      <c r="O353" s="221">
        <v>8</v>
      </c>
      <c r="P353" s="221">
        <v>200</v>
      </c>
      <c r="Q353" s="221">
        <v>0</v>
      </c>
      <c r="R353" s="104">
        <f t="shared" si="80"/>
        <v>1600</v>
      </c>
      <c r="S353" s="104">
        <v>1</v>
      </c>
      <c r="T353" s="104">
        <v>0.27</v>
      </c>
      <c r="U353" s="104">
        <v>1.4</v>
      </c>
      <c r="V353" s="219">
        <f t="shared" si="81"/>
        <v>293.59327797625315</v>
      </c>
      <c r="W353" s="106">
        <f t="shared" si="82"/>
        <v>1.4679663898812658</v>
      </c>
      <c r="X353" s="107">
        <f t="shared" si="83"/>
        <v>970.3125</v>
      </c>
      <c r="Y353" s="108">
        <f t="shared" si="84"/>
        <v>4.8515625</v>
      </c>
      <c r="Z353" s="88">
        <f t="shared" si="85"/>
        <v>4140</v>
      </c>
      <c r="AA353" s="88">
        <f t="shared" si="86"/>
        <v>776.25</v>
      </c>
      <c r="AB353" s="88">
        <f t="shared" si="87"/>
        <v>7245</v>
      </c>
      <c r="AC353" s="109">
        <f t="shared" si="75"/>
        <v>652.04999999999995</v>
      </c>
      <c r="AD353" s="109">
        <f t="shared" si="76"/>
        <v>173.88</v>
      </c>
      <c r="AE353" s="109">
        <f t="shared" si="88"/>
        <v>1602.1799999999998</v>
      </c>
      <c r="AF353" s="73">
        <f t="shared" si="89"/>
        <v>8.0108999999999995</v>
      </c>
    </row>
    <row r="354" spans="1:32" x14ac:dyDescent="0.25">
      <c r="A354" s="102">
        <v>356</v>
      </c>
      <c r="B354" s="68" t="str">
        <f t="shared" si="77"/>
        <v>3.45, Spray (Broadcast) 50'</v>
      </c>
      <c r="C354" s="103">
        <v>3.45</v>
      </c>
      <c r="D354" s="68" t="s">
        <v>151</v>
      </c>
      <c r="E354" s="68" t="s">
        <v>324</v>
      </c>
      <c r="F354" s="68" t="s">
        <v>200</v>
      </c>
      <c r="G354" s="68" t="str">
        <f t="shared" si="78"/>
        <v>Spray (Broadcast) 50'</v>
      </c>
      <c r="H354" s="85">
        <v>16670</v>
      </c>
      <c r="I354" s="221">
        <v>50</v>
      </c>
      <c r="J354" s="221">
        <v>7.5</v>
      </c>
      <c r="K354" s="221">
        <v>65</v>
      </c>
      <c r="L354" s="86">
        <f t="shared" si="79"/>
        <v>3.3846153846153845E-2</v>
      </c>
      <c r="M354" s="221">
        <v>40</v>
      </c>
      <c r="N354" s="221">
        <v>75</v>
      </c>
      <c r="O354" s="221">
        <v>8</v>
      </c>
      <c r="P354" s="221">
        <v>200</v>
      </c>
      <c r="Q354" s="221">
        <v>0</v>
      </c>
      <c r="R354" s="104">
        <f t="shared" si="80"/>
        <v>1600</v>
      </c>
      <c r="S354" s="104">
        <v>1</v>
      </c>
      <c r="T354" s="104">
        <v>0.27</v>
      </c>
      <c r="U354" s="104">
        <v>1.4</v>
      </c>
      <c r="V354" s="219">
        <f t="shared" si="81"/>
        <v>472.86955979363677</v>
      </c>
      <c r="W354" s="106">
        <f t="shared" si="82"/>
        <v>2.364347798968184</v>
      </c>
      <c r="X354" s="107">
        <f t="shared" si="83"/>
        <v>1562.8125</v>
      </c>
      <c r="Y354" s="108">
        <f t="shared" si="84"/>
        <v>7.8140625000000004</v>
      </c>
      <c r="Z354" s="88">
        <f t="shared" si="85"/>
        <v>6668</v>
      </c>
      <c r="AA354" s="88">
        <f t="shared" si="86"/>
        <v>1250.25</v>
      </c>
      <c r="AB354" s="88">
        <f t="shared" si="87"/>
        <v>11669</v>
      </c>
      <c r="AC354" s="109">
        <f t="shared" si="75"/>
        <v>1050.21</v>
      </c>
      <c r="AD354" s="109">
        <f t="shared" si="76"/>
        <v>280.05599999999998</v>
      </c>
      <c r="AE354" s="109">
        <f t="shared" si="88"/>
        <v>2580.5160000000001</v>
      </c>
      <c r="AF354" s="73">
        <f t="shared" si="89"/>
        <v>12.90258</v>
      </c>
    </row>
    <row r="355" spans="1:32" x14ac:dyDescent="0.25">
      <c r="A355" s="102">
        <v>357</v>
      </c>
      <c r="B355" s="68" t="str">
        <f t="shared" si="77"/>
        <v>3.46, Spray (Broadcast) 53'</v>
      </c>
      <c r="C355" s="103">
        <v>3.46</v>
      </c>
      <c r="D355" s="68" t="s">
        <v>151</v>
      </c>
      <c r="E355" s="68" t="s">
        <v>324</v>
      </c>
      <c r="F355" s="68" t="s">
        <v>325</v>
      </c>
      <c r="G355" s="68" t="str">
        <f t="shared" si="78"/>
        <v>Spray (Broadcast) 53'</v>
      </c>
      <c r="H355" s="85">
        <v>17600</v>
      </c>
      <c r="I355" s="221">
        <v>53</v>
      </c>
      <c r="J355" s="221">
        <v>7.5</v>
      </c>
      <c r="K355" s="221">
        <v>65</v>
      </c>
      <c r="L355" s="86">
        <f t="shared" si="79"/>
        <v>3.1930333817126275E-2</v>
      </c>
      <c r="M355" s="221">
        <v>40</v>
      </c>
      <c r="N355" s="221">
        <v>75</v>
      </c>
      <c r="O355" s="221">
        <v>8</v>
      </c>
      <c r="P355" s="221">
        <v>200</v>
      </c>
      <c r="Q355" s="221">
        <v>0</v>
      </c>
      <c r="R355" s="104">
        <f t="shared" si="80"/>
        <v>1600</v>
      </c>
      <c r="S355" s="104">
        <v>1</v>
      </c>
      <c r="T355" s="104">
        <v>0.27</v>
      </c>
      <c r="U355" s="104">
        <v>1.4</v>
      </c>
      <c r="V355" s="219">
        <f t="shared" si="81"/>
        <v>499.25040506106814</v>
      </c>
      <c r="W355" s="106">
        <f t="shared" si="82"/>
        <v>2.4962520253053406</v>
      </c>
      <c r="X355" s="107">
        <f t="shared" si="83"/>
        <v>1650</v>
      </c>
      <c r="Y355" s="108">
        <f t="shared" si="84"/>
        <v>8.25</v>
      </c>
      <c r="Z355" s="88">
        <f t="shared" si="85"/>
        <v>7040</v>
      </c>
      <c r="AA355" s="88">
        <f t="shared" si="86"/>
        <v>1320</v>
      </c>
      <c r="AB355" s="88">
        <f t="shared" si="87"/>
        <v>12320</v>
      </c>
      <c r="AC355" s="109">
        <f t="shared" si="75"/>
        <v>1108.8</v>
      </c>
      <c r="AD355" s="109">
        <f t="shared" si="76"/>
        <v>295.68</v>
      </c>
      <c r="AE355" s="109">
        <f t="shared" si="88"/>
        <v>2724.48</v>
      </c>
      <c r="AF355" s="73">
        <f t="shared" si="89"/>
        <v>13.622400000000001</v>
      </c>
    </row>
    <row r="356" spans="1:32" x14ac:dyDescent="0.25">
      <c r="A356" s="102">
        <v>193</v>
      </c>
      <c r="B356" s="68" t="str">
        <f t="shared" si="77"/>
        <v>3.47, Spray (Broadcast) 60'</v>
      </c>
      <c r="C356" s="103">
        <v>3.47</v>
      </c>
      <c r="D356" s="68" t="s">
        <v>151</v>
      </c>
      <c r="E356" s="68" t="s">
        <v>324</v>
      </c>
      <c r="F356" s="68" t="s">
        <v>326</v>
      </c>
      <c r="G356" s="68" t="str">
        <f t="shared" si="78"/>
        <v>Spray (Broadcast) 60'</v>
      </c>
      <c r="H356" s="85">
        <v>18600</v>
      </c>
      <c r="I356" s="221">
        <v>60</v>
      </c>
      <c r="J356" s="221">
        <v>7.5</v>
      </c>
      <c r="K356" s="221">
        <v>65</v>
      </c>
      <c r="L356" s="86">
        <f t="shared" si="79"/>
        <v>2.8205128205128206E-2</v>
      </c>
      <c r="M356" s="221">
        <v>40</v>
      </c>
      <c r="N356" s="221">
        <v>75</v>
      </c>
      <c r="O356" s="221">
        <v>8</v>
      </c>
      <c r="P356" s="221">
        <v>200</v>
      </c>
      <c r="Q356" s="221">
        <v>0</v>
      </c>
      <c r="R356" s="104">
        <f t="shared" si="80"/>
        <v>1600</v>
      </c>
      <c r="S356" s="104">
        <v>1</v>
      </c>
      <c r="T356" s="104">
        <v>0.27</v>
      </c>
      <c r="U356" s="104">
        <v>1.4</v>
      </c>
      <c r="V356" s="219">
        <f t="shared" si="81"/>
        <v>527.61690534862885</v>
      </c>
      <c r="W356" s="106">
        <f t="shared" si="82"/>
        <v>2.6380845267431443</v>
      </c>
      <c r="X356" s="107">
        <f t="shared" si="83"/>
        <v>1743.75</v>
      </c>
      <c r="Y356" s="108">
        <f t="shared" si="84"/>
        <v>8.71875</v>
      </c>
      <c r="Z356" s="88">
        <f t="shared" si="85"/>
        <v>7440</v>
      </c>
      <c r="AA356" s="88">
        <f t="shared" si="86"/>
        <v>1395</v>
      </c>
      <c r="AB356" s="88">
        <f t="shared" si="87"/>
        <v>13020</v>
      </c>
      <c r="AC356" s="109">
        <f t="shared" si="75"/>
        <v>1171.8</v>
      </c>
      <c r="AD356" s="109">
        <f t="shared" si="76"/>
        <v>312.48</v>
      </c>
      <c r="AE356" s="109">
        <f t="shared" si="88"/>
        <v>2879.28</v>
      </c>
      <c r="AF356" s="73">
        <f t="shared" si="89"/>
        <v>14.396400000000002</v>
      </c>
    </row>
    <row r="357" spans="1:32" x14ac:dyDescent="0.25">
      <c r="A357" s="102">
        <v>319</v>
      </c>
      <c r="B357" s="68" t="str">
        <f t="shared" si="77"/>
        <v>3.48, Spray (Direct/Hood)  8R-30</v>
      </c>
      <c r="C357" s="103">
        <v>3.48</v>
      </c>
      <c r="D357" s="68" t="s">
        <v>151</v>
      </c>
      <c r="E357" s="68" t="s">
        <v>327</v>
      </c>
      <c r="F357" s="68" t="s">
        <v>155</v>
      </c>
      <c r="G357" s="68" t="str">
        <f t="shared" si="78"/>
        <v>Spray (Direct/Hood)  8R-30</v>
      </c>
      <c r="H357" s="85">
        <v>19800</v>
      </c>
      <c r="I357" s="221">
        <v>20</v>
      </c>
      <c r="J357" s="221">
        <v>7.5</v>
      </c>
      <c r="K357" s="221">
        <v>65</v>
      </c>
      <c r="L357" s="86">
        <f t="shared" si="79"/>
        <v>8.461538461538462E-2</v>
      </c>
      <c r="M357" s="221">
        <v>40</v>
      </c>
      <c r="N357" s="221">
        <v>75</v>
      </c>
      <c r="O357" s="221">
        <v>8</v>
      </c>
      <c r="P357" s="221">
        <v>200</v>
      </c>
      <c r="Q357" s="221">
        <v>0</v>
      </c>
      <c r="R357" s="104">
        <f t="shared" si="80"/>
        <v>1600</v>
      </c>
      <c r="S357" s="104">
        <v>1</v>
      </c>
      <c r="T357" s="104">
        <v>0.27</v>
      </c>
      <c r="U357" s="104">
        <v>1.4</v>
      </c>
      <c r="V357" s="219">
        <f t="shared" si="81"/>
        <v>561.65670569370161</v>
      </c>
      <c r="W357" s="106">
        <f t="shared" si="82"/>
        <v>2.8082835284685079</v>
      </c>
      <c r="X357" s="107">
        <f t="shared" si="83"/>
        <v>1856.25</v>
      </c>
      <c r="Y357" s="108">
        <f t="shared" si="84"/>
        <v>9.28125</v>
      </c>
      <c r="Z357" s="88">
        <f t="shared" si="85"/>
        <v>7920</v>
      </c>
      <c r="AA357" s="88">
        <f t="shared" si="86"/>
        <v>1485</v>
      </c>
      <c r="AB357" s="88">
        <f t="shared" si="87"/>
        <v>13860</v>
      </c>
      <c r="AC357" s="109">
        <f t="shared" si="75"/>
        <v>1247.3999999999999</v>
      </c>
      <c r="AD357" s="109">
        <f t="shared" si="76"/>
        <v>332.64</v>
      </c>
      <c r="AE357" s="109">
        <f t="shared" si="88"/>
        <v>3065.0399999999995</v>
      </c>
      <c r="AF357" s="73">
        <f t="shared" si="89"/>
        <v>15.325199999999997</v>
      </c>
    </row>
    <row r="358" spans="1:32" x14ac:dyDescent="0.25">
      <c r="A358" s="102">
        <v>8</v>
      </c>
      <c r="B358" s="68" t="str">
        <f t="shared" si="77"/>
        <v>3.49, Spray (Direct/Hood)  8R-36</v>
      </c>
      <c r="C358" s="103">
        <v>3.49</v>
      </c>
      <c r="D358" s="68" t="s">
        <v>151</v>
      </c>
      <c r="E358" s="68" t="s">
        <v>327</v>
      </c>
      <c r="F358" s="68" t="s">
        <v>160</v>
      </c>
      <c r="G358" s="68" t="str">
        <f t="shared" si="78"/>
        <v>Spray (Direct/Hood)  8R-36</v>
      </c>
      <c r="H358" s="85">
        <v>20600</v>
      </c>
      <c r="I358" s="221">
        <v>24</v>
      </c>
      <c r="J358" s="221">
        <v>7.5</v>
      </c>
      <c r="K358" s="221">
        <v>65</v>
      </c>
      <c r="L358" s="86">
        <f t="shared" si="79"/>
        <v>7.0512820512820512E-2</v>
      </c>
      <c r="M358" s="221">
        <v>40</v>
      </c>
      <c r="N358" s="221">
        <v>75</v>
      </c>
      <c r="O358" s="221">
        <v>8</v>
      </c>
      <c r="P358" s="221">
        <v>200</v>
      </c>
      <c r="Q358" s="221">
        <v>0</v>
      </c>
      <c r="R358" s="104">
        <f t="shared" si="80"/>
        <v>1600</v>
      </c>
      <c r="S358" s="104">
        <v>1</v>
      </c>
      <c r="T358" s="104">
        <v>0.27</v>
      </c>
      <c r="U358" s="104">
        <v>1.4</v>
      </c>
      <c r="V358" s="219">
        <f t="shared" si="81"/>
        <v>584.34990592375016</v>
      </c>
      <c r="W358" s="106">
        <f t="shared" si="82"/>
        <v>2.9217495296187508</v>
      </c>
      <c r="X358" s="107">
        <f t="shared" si="83"/>
        <v>1931.25</v>
      </c>
      <c r="Y358" s="108">
        <f t="shared" si="84"/>
        <v>9.65625</v>
      </c>
      <c r="Z358" s="88">
        <f t="shared" si="85"/>
        <v>8240</v>
      </c>
      <c r="AA358" s="88">
        <f t="shared" si="86"/>
        <v>1545</v>
      </c>
      <c r="AB358" s="88">
        <f t="shared" si="87"/>
        <v>14420</v>
      </c>
      <c r="AC358" s="109">
        <f t="shared" si="75"/>
        <v>1297.8</v>
      </c>
      <c r="AD358" s="109">
        <f t="shared" si="76"/>
        <v>346.08</v>
      </c>
      <c r="AE358" s="109">
        <f t="shared" si="88"/>
        <v>3188.88</v>
      </c>
      <c r="AF358" s="73">
        <f t="shared" si="89"/>
        <v>15.9444</v>
      </c>
    </row>
    <row r="359" spans="1:32" x14ac:dyDescent="0.25">
      <c r="A359" s="102">
        <v>318</v>
      </c>
      <c r="B359" s="68" t="str">
        <f t="shared" si="77"/>
        <v>3.5, Spray (Direct/Hood) 12R-30</v>
      </c>
      <c r="C359" s="103">
        <v>3.5</v>
      </c>
      <c r="D359" s="68" t="s">
        <v>151</v>
      </c>
      <c r="E359" s="68" t="s">
        <v>327</v>
      </c>
      <c r="F359" s="68" t="s">
        <v>156</v>
      </c>
      <c r="G359" s="68" t="str">
        <f t="shared" si="78"/>
        <v>Spray (Direct/Hood) 12R-30</v>
      </c>
      <c r="H359" s="85">
        <v>27100</v>
      </c>
      <c r="I359" s="221">
        <v>30</v>
      </c>
      <c r="J359" s="221">
        <v>7.5</v>
      </c>
      <c r="K359" s="221">
        <v>65</v>
      </c>
      <c r="L359" s="86">
        <f t="shared" si="79"/>
        <v>5.6410256410256411E-2</v>
      </c>
      <c r="M359" s="221">
        <v>40</v>
      </c>
      <c r="N359" s="221">
        <v>75</v>
      </c>
      <c r="O359" s="221">
        <v>8</v>
      </c>
      <c r="P359" s="221">
        <v>200</v>
      </c>
      <c r="Q359" s="221">
        <v>0</v>
      </c>
      <c r="R359" s="104">
        <f t="shared" si="80"/>
        <v>1600</v>
      </c>
      <c r="S359" s="104">
        <v>1</v>
      </c>
      <c r="T359" s="104">
        <v>0.27</v>
      </c>
      <c r="U359" s="104">
        <v>1.4</v>
      </c>
      <c r="V359" s="219">
        <f t="shared" si="81"/>
        <v>768.73215779289478</v>
      </c>
      <c r="W359" s="106">
        <f t="shared" si="82"/>
        <v>3.8436607889644741</v>
      </c>
      <c r="X359" s="107">
        <f t="shared" si="83"/>
        <v>2540.625</v>
      </c>
      <c r="Y359" s="108">
        <f t="shared" si="84"/>
        <v>12.703125</v>
      </c>
      <c r="Z359" s="88">
        <f t="shared" si="85"/>
        <v>10840</v>
      </c>
      <c r="AA359" s="88">
        <f t="shared" si="86"/>
        <v>2032.5</v>
      </c>
      <c r="AB359" s="88">
        <f t="shared" si="87"/>
        <v>18970</v>
      </c>
      <c r="AC359" s="109">
        <f t="shared" si="75"/>
        <v>1707.3</v>
      </c>
      <c r="AD359" s="109">
        <f t="shared" si="76"/>
        <v>455.28000000000003</v>
      </c>
      <c r="AE359" s="109">
        <f t="shared" si="88"/>
        <v>4195.08</v>
      </c>
      <c r="AF359" s="73">
        <f t="shared" si="89"/>
        <v>20.9754</v>
      </c>
    </row>
    <row r="360" spans="1:32" x14ac:dyDescent="0.25">
      <c r="A360" s="102">
        <v>361</v>
      </c>
      <c r="B360" s="68" t="str">
        <f t="shared" si="77"/>
        <v>3.51, Spray (Direct/Hood) 12R-36</v>
      </c>
      <c r="C360" s="103">
        <v>3.51</v>
      </c>
      <c r="D360" s="68" t="s">
        <v>151</v>
      </c>
      <c r="E360" s="68" t="s">
        <v>327</v>
      </c>
      <c r="F360" s="68" t="s">
        <v>158</v>
      </c>
      <c r="G360" s="68" t="str">
        <f t="shared" si="78"/>
        <v>Spray (Direct/Hood) 12R-36</v>
      </c>
      <c r="H360" s="85">
        <v>28200</v>
      </c>
      <c r="I360" s="221">
        <v>36</v>
      </c>
      <c r="J360" s="221">
        <v>7.5</v>
      </c>
      <c r="K360" s="221">
        <v>65</v>
      </c>
      <c r="L360" s="86">
        <f t="shared" si="79"/>
        <v>4.7008547008547008E-2</v>
      </c>
      <c r="M360" s="221">
        <v>40</v>
      </c>
      <c r="N360" s="221">
        <v>75</v>
      </c>
      <c r="O360" s="221">
        <v>8</v>
      </c>
      <c r="P360" s="221">
        <v>200</v>
      </c>
      <c r="Q360" s="221">
        <v>0</v>
      </c>
      <c r="R360" s="104">
        <f t="shared" si="80"/>
        <v>1600</v>
      </c>
      <c r="S360" s="104">
        <v>1</v>
      </c>
      <c r="T360" s="104">
        <v>0.27</v>
      </c>
      <c r="U360" s="104">
        <v>1.4</v>
      </c>
      <c r="V360" s="219">
        <f t="shared" si="81"/>
        <v>799.93530810921152</v>
      </c>
      <c r="W360" s="106">
        <f t="shared" si="82"/>
        <v>3.9996765405460577</v>
      </c>
      <c r="X360" s="107">
        <f t="shared" si="83"/>
        <v>2643.75</v>
      </c>
      <c r="Y360" s="108">
        <f t="shared" si="84"/>
        <v>13.21875</v>
      </c>
      <c r="Z360" s="88">
        <f t="shared" si="85"/>
        <v>11280</v>
      </c>
      <c r="AA360" s="88">
        <f t="shared" si="86"/>
        <v>2115</v>
      </c>
      <c r="AB360" s="88">
        <f t="shared" si="87"/>
        <v>19740</v>
      </c>
      <c r="AC360" s="109">
        <f t="shared" si="75"/>
        <v>1776.6</v>
      </c>
      <c r="AD360" s="109">
        <f t="shared" si="76"/>
        <v>473.76</v>
      </c>
      <c r="AE360" s="109">
        <f t="shared" si="88"/>
        <v>4365.3599999999997</v>
      </c>
      <c r="AF360" s="73">
        <f t="shared" si="89"/>
        <v>21.826799999999999</v>
      </c>
    </row>
    <row r="361" spans="1:32" x14ac:dyDescent="0.25">
      <c r="A361" s="102">
        <v>360</v>
      </c>
      <c r="B361" s="68" t="str">
        <f t="shared" si="77"/>
        <v>3.52, Spray (Direct/Layby)  8R-30</v>
      </c>
      <c r="C361" s="103">
        <v>3.52</v>
      </c>
      <c r="D361" s="68" t="s">
        <v>151</v>
      </c>
      <c r="E361" s="68" t="s">
        <v>328</v>
      </c>
      <c r="F361" s="68" t="s">
        <v>155</v>
      </c>
      <c r="G361" s="68" t="str">
        <f t="shared" si="78"/>
        <v>Spray (Direct/Layby)  8R-30</v>
      </c>
      <c r="H361" s="85">
        <v>19500</v>
      </c>
      <c r="I361" s="221">
        <v>20</v>
      </c>
      <c r="J361" s="221">
        <v>7.5</v>
      </c>
      <c r="K361" s="221">
        <v>65</v>
      </c>
      <c r="L361" s="86">
        <f t="shared" si="79"/>
        <v>8.461538461538462E-2</v>
      </c>
      <c r="M361" s="221">
        <v>40</v>
      </c>
      <c r="N361" s="221">
        <v>75</v>
      </c>
      <c r="O361" s="221">
        <v>8</v>
      </c>
      <c r="P361" s="221">
        <v>200</v>
      </c>
      <c r="Q361" s="221">
        <v>0</v>
      </c>
      <c r="R361" s="104">
        <f t="shared" si="80"/>
        <v>1600</v>
      </c>
      <c r="S361" s="104">
        <v>1</v>
      </c>
      <c r="T361" s="104">
        <v>0.27</v>
      </c>
      <c r="U361" s="104">
        <v>1.4</v>
      </c>
      <c r="V361" s="219">
        <f t="shared" si="81"/>
        <v>553.14675560743342</v>
      </c>
      <c r="W361" s="106">
        <f t="shared" si="82"/>
        <v>2.7657337780371671</v>
      </c>
      <c r="X361" s="107">
        <f t="shared" si="83"/>
        <v>1828.125</v>
      </c>
      <c r="Y361" s="108">
        <f t="shared" si="84"/>
        <v>9.140625</v>
      </c>
      <c r="Z361" s="88">
        <f t="shared" si="85"/>
        <v>7800</v>
      </c>
      <c r="AA361" s="88">
        <f t="shared" si="86"/>
        <v>1462.5</v>
      </c>
      <c r="AB361" s="88">
        <f t="shared" si="87"/>
        <v>13650</v>
      </c>
      <c r="AC361" s="109">
        <f t="shared" si="75"/>
        <v>1228.5</v>
      </c>
      <c r="AD361" s="109">
        <f t="shared" si="76"/>
        <v>327.60000000000002</v>
      </c>
      <c r="AE361" s="109">
        <f t="shared" si="88"/>
        <v>3018.6</v>
      </c>
      <c r="AF361" s="73">
        <f t="shared" si="89"/>
        <v>15.093</v>
      </c>
    </row>
    <row r="362" spans="1:32" x14ac:dyDescent="0.25">
      <c r="A362" s="102">
        <v>10</v>
      </c>
      <c r="B362" s="68" t="str">
        <f t="shared" si="77"/>
        <v>3.53, Spray (Direct/Layby)  8R-36</v>
      </c>
      <c r="C362" s="103">
        <v>3.53</v>
      </c>
      <c r="D362" s="68" t="s">
        <v>151</v>
      </c>
      <c r="E362" s="68" t="s">
        <v>328</v>
      </c>
      <c r="F362" s="68" t="s">
        <v>160</v>
      </c>
      <c r="G362" s="68" t="str">
        <f t="shared" si="78"/>
        <v>Spray (Direct/Layby)  8R-36</v>
      </c>
      <c r="H362" s="85">
        <v>19500</v>
      </c>
      <c r="I362" s="221">
        <v>24</v>
      </c>
      <c r="J362" s="221">
        <v>7.5</v>
      </c>
      <c r="K362" s="221">
        <v>65</v>
      </c>
      <c r="L362" s="86">
        <f t="shared" si="79"/>
        <v>7.0512820512820512E-2</v>
      </c>
      <c r="M362" s="221">
        <v>40</v>
      </c>
      <c r="N362" s="221">
        <v>75</v>
      </c>
      <c r="O362" s="221">
        <v>8</v>
      </c>
      <c r="P362" s="221">
        <v>200</v>
      </c>
      <c r="Q362" s="221">
        <v>0</v>
      </c>
      <c r="R362" s="104">
        <f t="shared" si="80"/>
        <v>1600</v>
      </c>
      <c r="S362" s="104">
        <v>1</v>
      </c>
      <c r="T362" s="104">
        <v>0.27</v>
      </c>
      <c r="U362" s="104">
        <v>1.4</v>
      </c>
      <c r="V362" s="219">
        <f t="shared" si="81"/>
        <v>553.14675560743342</v>
      </c>
      <c r="W362" s="106">
        <f t="shared" si="82"/>
        <v>2.7657337780371671</v>
      </c>
      <c r="X362" s="107">
        <f t="shared" si="83"/>
        <v>1828.125</v>
      </c>
      <c r="Y362" s="108">
        <f t="shared" si="84"/>
        <v>9.140625</v>
      </c>
      <c r="Z362" s="88">
        <f t="shared" si="85"/>
        <v>7800</v>
      </c>
      <c r="AA362" s="88">
        <f t="shared" si="86"/>
        <v>1462.5</v>
      </c>
      <c r="AB362" s="88">
        <f t="shared" si="87"/>
        <v>13650</v>
      </c>
      <c r="AC362" s="109">
        <f t="shared" si="75"/>
        <v>1228.5</v>
      </c>
      <c r="AD362" s="109">
        <f t="shared" si="76"/>
        <v>327.60000000000002</v>
      </c>
      <c r="AE362" s="109">
        <f t="shared" si="88"/>
        <v>3018.6</v>
      </c>
      <c r="AF362" s="73">
        <f t="shared" si="89"/>
        <v>15.093</v>
      </c>
    </row>
    <row r="363" spans="1:32" x14ac:dyDescent="0.25">
      <c r="A363" s="102">
        <v>11</v>
      </c>
      <c r="B363" s="68" t="str">
        <f t="shared" si="77"/>
        <v>3.54, Spray (Direct/Layby) 10R-30</v>
      </c>
      <c r="C363" s="103">
        <v>3.54</v>
      </c>
      <c r="D363" s="68" t="s">
        <v>151</v>
      </c>
      <c r="E363" s="68" t="s">
        <v>328</v>
      </c>
      <c r="F363" s="68" t="s">
        <v>170</v>
      </c>
      <c r="G363" s="68" t="str">
        <f t="shared" si="78"/>
        <v>Spray (Direct/Layby) 10R-30</v>
      </c>
      <c r="H363" s="85">
        <v>21000</v>
      </c>
      <c r="I363" s="221">
        <v>25</v>
      </c>
      <c r="J363" s="221">
        <v>7.5</v>
      </c>
      <c r="K363" s="221">
        <v>65</v>
      </c>
      <c r="L363" s="86">
        <f t="shared" si="79"/>
        <v>6.7692307692307691E-2</v>
      </c>
      <c r="M363" s="221">
        <v>40</v>
      </c>
      <c r="N363" s="221">
        <v>75</v>
      </c>
      <c r="O363" s="221">
        <v>8</v>
      </c>
      <c r="P363" s="221">
        <v>200</v>
      </c>
      <c r="Q363" s="221">
        <v>0</v>
      </c>
      <c r="R363" s="104">
        <f t="shared" si="80"/>
        <v>1600</v>
      </c>
      <c r="S363" s="104">
        <v>1</v>
      </c>
      <c r="T363" s="104">
        <v>0.27</v>
      </c>
      <c r="U363" s="104">
        <v>1.4</v>
      </c>
      <c r="V363" s="219">
        <f t="shared" si="81"/>
        <v>595.69650603877449</v>
      </c>
      <c r="W363" s="106">
        <f t="shared" si="82"/>
        <v>2.9784825301938724</v>
      </c>
      <c r="X363" s="107">
        <f t="shared" si="83"/>
        <v>1968.75</v>
      </c>
      <c r="Y363" s="108">
        <f t="shared" si="84"/>
        <v>9.84375</v>
      </c>
      <c r="Z363" s="88">
        <f t="shared" si="85"/>
        <v>8400</v>
      </c>
      <c r="AA363" s="88">
        <f t="shared" si="86"/>
        <v>1575</v>
      </c>
      <c r="AB363" s="88">
        <f t="shared" si="87"/>
        <v>14700</v>
      </c>
      <c r="AC363" s="109">
        <f t="shared" si="75"/>
        <v>1323</v>
      </c>
      <c r="AD363" s="109">
        <f t="shared" si="76"/>
        <v>352.8</v>
      </c>
      <c r="AE363" s="109">
        <f t="shared" si="88"/>
        <v>3250.8</v>
      </c>
      <c r="AF363" s="73">
        <f t="shared" si="89"/>
        <v>16.254000000000001</v>
      </c>
    </row>
    <row r="364" spans="1:32" x14ac:dyDescent="0.25">
      <c r="A364" s="102">
        <v>288</v>
      </c>
      <c r="B364" s="68" t="str">
        <f t="shared" si="77"/>
        <v>3.55, Spray (Direct/Layby) 16R-20</v>
      </c>
      <c r="C364" s="103">
        <v>3.55</v>
      </c>
      <c r="D364" s="68" t="s">
        <v>151</v>
      </c>
      <c r="E364" s="68" t="s">
        <v>328</v>
      </c>
      <c r="F364" s="68" t="s">
        <v>329</v>
      </c>
      <c r="G364" s="68" t="str">
        <f t="shared" si="78"/>
        <v>Spray (Direct/Layby) 16R-20</v>
      </c>
      <c r="H364" s="85">
        <v>34600</v>
      </c>
      <c r="I364" s="221">
        <v>26.7</v>
      </c>
      <c r="J364" s="221">
        <v>7.5</v>
      </c>
      <c r="K364" s="221">
        <v>65</v>
      </c>
      <c r="L364" s="86">
        <f t="shared" si="79"/>
        <v>6.3382310573321804E-2</v>
      </c>
      <c r="M364" s="221">
        <v>40</v>
      </c>
      <c r="N364" s="221">
        <v>75</v>
      </c>
      <c r="O364" s="221">
        <v>8</v>
      </c>
      <c r="P364" s="221">
        <v>200</v>
      </c>
      <c r="Q364" s="221">
        <v>0</v>
      </c>
      <c r="R364" s="104">
        <f t="shared" si="80"/>
        <v>1600</v>
      </c>
      <c r="S364" s="104">
        <v>1</v>
      </c>
      <c r="T364" s="104">
        <v>0.27</v>
      </c>
      <c r="U364" s="104">
        <v>1.4</v>
      </c>
      <c r="V364" s="219">
        <f t="shared" si="81"/>
        <v>981.48090994959989</v>
      </c>
      <c r="W364" s="106">
        <f t="shared" si="82"/>
        <v>4.9074045497479997</v>
      </c>
      <c r="X364" s="107">
        <f t="shared" si="83"/>
        <v>3243.75</v>
      </c>
      <c r="Y364" s="108">
        <f t="shared" si="84"/>
        <v>16.21875</v>
      </c>
      <c r="Z364" s="88">
        <f t="shared" si="85"/>
        <v>13840</v>
      </c>
      <c r="AA364" s="88">
        <f t="shared" si="86"/>
        <v>2595</v>
      </c>
      <c r="AB364" s="88">
        <f t="shared" si="87"/>
        <v>24220</v>
      </c>
      <c r="AC364" s="109">
        <f t="shared" si="75"/>
        <v>2179.7999999999997</v>
      </c>
      <c r="AD364" s="109">
        <f t="shared" si="76"/>
        <v>581.28</v>
      </c>
      <c r="AE364" s="109">
        <f t="shared" si="88"/>
        <v>5356.079999999999</v>
      </c>
      <c r="AF364" s="73">
        <f t="shared" si="89"/>
        <v>26.780399999999997</v>
      </c>
    </row>
    <row r="365" spans="1:32" x14ac:dyDescent="0.25">
      <c r="A365" s="102">
        <v>363</v>
      </c>
      <c r="B365" s="68" t="str">
        <f t="shared" si="77"/>
        <v>3.56, Spray (Direct/Layby) 12R-30</v>
      </c>
      <c r="C365" s="103">
        <v>3.56</v>
      </c>
      <c r="D365" s="68" t="s">
        <v>151</v>
      </c>
      <c r="E365" s="68" t="s">
        <v>328</v>
      </c>
      <c r="F365" s="68" t="s">
        <v>156</v>
      </c>
      <c r="G365" s="68" t="str">
        <f t="shared" si="78"/>
        <v>Spray (Direct/Layby) 12R-30</v>
      </c>
      <c r="H365" s="85">
        <v>29500</v>
      </c>
      <c r="I365" s="221">
        <v>30</v>
      </c>
      <c r="J365" s="221">
        <v>7.5</v>
      </c>
      <c r="K365" s="221">
        <v>65</v>
      </c>
      <c r="L365" s="86">
        <f t="shared" si="79"/>
        <v>5.6410256410256411E-2</v>
      </c>
      <c r="M365" s="221">
        <v>40</v>
      </c>
      <c r="N365" s="221">
        <v>75</v>
      </c>
      <c r="O365" s="221">
        <v>8</v>
      </c>
      <c r="P365" s="221">
        <v>200</v>
      </c>
      <c r="Q365" s="221">
        <v>0</v>
      </c>
      <c r="R365" s="104">
        <f t="shared" si="80"/>
        <v>1600</v>
      </c>
      <c r="S365" s="104">
        <v>1</v>
      </c>
      <c r="T365" s="104">
        <v>0.27</v>
      </c>
      <c r="U365" s="104">
        <v>1.4</v>
      </c>
      <c r="V365" s="219">
        <f t="shared" si="81"/>
        <v>836.81175848304042</v>
      </c>
      <c r="W365" s="106">
        <f t="shared" si="82"/>
        <v>4.1840587924152022</v>
      </c>
      <c r="X365" s="107">
        <f t="shared" si="83"/>
        <v>2765.625</v>
      </c>
      <c r="Y365" s="108">
        <f t="shared" si="84"/>
        <v>13.828125</v>
      </c>
      <c r="Z365" s="88">
        <f t="shared" si="85"/>
        <v>11800</v>
      </c>
      <c r="AA365" s="88">
        <f t="shared" si="86"/>
        <v>2212.5</v>
      </c>
      <c r="AB365" s="88">
        <f t="shared" si="87"/>
        <v>20650</v>
      </c>
      <c r="AC365" s="109">
        <f t="shared" si="75"/>
        <v>1858.5</v>
      </c>
      <c r="AD365" s="109">
        <f t="shared" si="76"/>
        <v>495.6</v>
      </c>
      <c r="AE365" s="109">
        <f t="shared" si="88"/>
        <v>4566.6000000000004</v>
      </c>
      <c r="AF365" s="73">
        <f t="shared" si="89"/>
        <v>22.833000000000002</v>
      </c>
    </row>
    <row r="366" spans="1:32" x14ac:dyDescent="0.25">
      <c r="A366" s="102">
        <v>266</v>
      </c>
      <c r="B366" s="68" t="str">
        <f t="shared" si="77"/>
        <v>3.57, Spray (Direct/Layby)  8R-36 2x1</v>
      </c>
      <c r="C366" s="103">
        <v>3.57</v>
      </c>
      <c r="D366" s="68" t="s">
        <v>151</v>
      </c>
      <c r="E366" s="68" t="s">
        <v>328</v>
      </c>
      <c r="F366" s="68" t="s">
        <v>157</v>
      </c>
      <c r="G366" s="68" t="str">
        <f t="shared" si="78"/>
        <v>Spray (Direct/Layby)  8R-36 2x1</v>
      </c>
      <c r="H366" s="85">
        <v>29500</v>
      </c>
      <c r="I366" s="221">
        <v>36</v>
      </c>
      <c r="J366" s="221">
        <v>7.5</v>
      </c>
      <c r="K366" s="221">
        <v>65</v>
      </c>
      <c r="L366" s="86">
        <f t="shared" si="79"/>
        <v>4.7008547008547008E-2</v>
      </c>
      <c r="M366" s="221">
        <v>40</v>
      </c>
      <c r="N366" s="221">
        <v>75</v>
      </c>
      <c r="O366" s="221">
        <v>8</v>
      </c>
      <c r="P366" s="221">
        <v>200</v>
      </c>
      <c r="Q366" s="221">
        <v>0</v>
      </c>
      <c r="R366" s="104">
        <f t="shared" si="80"/>
        <v>1600</v>
      </c>
      <c r="S366" s="104">
        <v>1</v>
      </c>
      <c r="T366" s="104">
        <v>0.27</v>
      </c>
      <c r="U366" s="104">
        <v>1.4</v>
      </c>
      <c r="V366" s="219">
        <f t="shared" si="81"/>
        <v>836.81175848304042</v>
      </c>
      <c r="W366" s="106">
        <f t="shared" si="82"/>
        <v>4.1840587924152022</v>
      </c>
      <c r="X366" s="107">
        <f t="shared" si="83"/>
        <v>2765.625</v>
      </c>
      <c r="Y366" s="108">
        <f t="shared" si="84"/>
        <v>13.828125</v>
      </c>
      <c r="Z366" s="88">
        <f t="shared" si="85"/>
        <v>11800</v>
      </c>
      <c r="AA366" s="88">
        <f t="shared" si="86"/>
        <v>2212.5</v>
      </c>
      <c r="AB366" s="88">
        <f t="shared" si="87"/>
        <v>20650</v>
      </c>
      <c r="AC366" s="109">
        <f t="shared" si="75"/>
        <v>1858.5</v>
      </c>
      <c r="AD366" s="109">
        <f t="shared" si="76"/>
        <v>495.6</v>
      </c>
      <c r="AE366" s="109">
        <f t="shared" si="88"/>
        <v>4566.6000000000004</v>
      </c>
      <c r="AF366" s="73">
        <f t="shared" si="89"/>
        <v>22.833000000000002</v>
      </c>
    </row>
    <row r="367" spans="1:32" x14ac:dyDescent="0.25">
      <c r="A367" s="102">
        <v>12</v>
      </c>
      <c r="B367" s="68" t="str">
        <f t="shared" si="77"/>
        <v>3.58, Spray (Direct/Layby) 12R-36</v>
      </c>
      <c r="C367" s="103">
        <v>3.58</v>
      </c>
      <c r="D367" s="68" t="s">
        <v>151</v>
      </c>
      <c r="E367" s="68" t="s">
        <v>328</v>
      </c>
      <c r="F367" s="68" t="s">
        <v>158</v>
      </c>
      <c r="G367" s="68" t="str">
        <f t="shared" si="78"/>
        <v>Spray (Direct/Layby) 12R-36</v>
      </c>
      <c r="H367" s="85">
        <v>29500</v>
      </c>
      <c r="I367" s="221">
        <v>36</v>
      </c>
      <c r="J367" s="221">
        <v>7.5</v>
      </c>
      <c r="K367" s="221">
        <v>65</v>
      </c>
      <c r="L367" s="86">
        <f t="shared" si="79"/>
        <v>4.7008547008547008E-2</v>
      </c>
      <c r="M367" s="221">
        <v>40</v>
      </c>
      <c r="N367" s="221">
        <v>75</v>
      </c>
      <c r="O367" s="221">
        <v>8</v>
      </c>
      <c r="P367" s="221">
        <v>200</v>
      </c>
      <c r="Q367" s="221">
        <v>0</v>
      </c>
      <c r="R367" s="104">
        <f t="shared" si="80"/>
        <v>1600</v>
      </c>
      <c r="S367" s="104">
        <v>1</v>
      </c>
      <c r="T367" s="104">
        <v>0.27</v>
      </c>
      <c r="U367" s="104">
        <v>1.4</v>
      </c>
      <c r="V367" s="219">
        <f t="shared" si="81"/>
        <v>836.81175848304042</v>
      </c>
      <c r="W367" s="106">
        <f t="shared" si="82"/>
        <v>4.1840587924152022</v>
      </c>
      <c r="X367" s="107">
        <f t="shared" si="83"/>
        <v>2765.625</v>
      </c>
      <c r="Y367" s="108">
        <f t="shared" si="84"/>
        <v>13.828125</v>
      </c>
      <c r="Z367" s="88">
        <f t="shared" si="85"/>
        <v>11800</v>
      </c>
      <c r="AA367" s="88">
        <f t="shared" si="86"/>
        <v>2212.5</v>
      </c>
      <c r="AB367" s="88">
        <f t="shared" si="87"/>
        <v>20650</v>
      </c>
      <c r="AC367" s="109">
        <f t="shared" si="75"/>
        <v>1858.5</v>
      </c>
      <c r="AD367" s="109">
        <f t="shared" si="76"/>
        <v>495.6</v>
      </c>
      <c r="AE367" s="109">
        <f t="shared" si="88"/>
        <v>4566.6000000000004</v>
      </c>
      <c r="AF367" s="73">
        <f t="shared" si="89"/>
        <v>22.833000000000002</v>
      </c>
    </row>
    <row r="368" spans="1:32" x14ac:dyDescent="0.25">
      <c r="A368" s="102">
        <v>709</v>
      </c>
      <c r="B368" s="68" t="str">
        <f t="shared" si="77"/>
        <v>3.59, Spray (Levee Leaper) 50'</v>
      </c>
      <c r="C368" s="103">
        <v>3.59</v>
      </c>
      <c r="D368" s="68" t="s">
        <v>151</v>
      </c>
      <c r="E368" s="68" t="s">
        <v>330</v>
      </c>
      <c r="F368" s="68" t="s">
        <v>200</v>
      </c>
      <c r="G368" s="68" t="str">
        <f t="shared" si="78"/>
        <v>Spray (Levee Leaper) 50'</v>
      </c>
      <c r="H368" s="85">
        <v>22200</v>
      </c>
      <c r="I368" s="221">
        <v>50</v>
      </c>
      <c r="J368" s="221">
        <v>7.5</v>
      </c>
      <c r="K368" s="221">
        <v>65</v>
      </c>
      <c r="L368" s="86">
        <f t="shared" si="79"/>
        <v>3.3846153846153845E-2</v>
      </c>
      <c r="M368" s="221">
        <v>40</v>
      </c>
      <c r="N368" s="221">
        <v>75</v>
      </c>
      <c r="O368" s="221">
        <v>8</v>
      </c>
      <c r="P368" s="221">
        <v>200</v>
      </c>
      <c r="Q368" s="221">
        <v>0</v>
      </c>
      <c r="R368" s="104">
        <f t="shared" si="80"/>
        <v>1600</v>
      </c>
      <c r="S368" s="104">
        <v>1</v>
      </c>
      <c r="T368" s="104">
        <v>0.27</v>
      </c>
      <c r="U368" s="104">
        <v>1.4</v>
      </c>
      <c r="V368" s="219">
        <f t="shared" si="81"/>
        <v>629.73630638384736</v>
      </c>
      <c r="W368" s="106">
        <f t="shared" si="82"/>
        <v>3.1486815319192369</v>
      </c>
      <c r="X368" s="107">
        <f t="shared" si="83"/>
        <v>2081.25</v>
      </c>
      <c r="Y368" s="108">
        <f t="shared" si="84"/>
        <v>10.40625</v>
      </c>
      <c r="Z368" s="88">
        <f t="shared" si="85"/>
        <v>8880</v>
      </c>
      <c r="AA368" s="88">
        <f t="shared" si="86"/>
        <v>1665</v>
      </c>
      <c r="AB368" s="88">
        <f t="shared" si="87"/>
        <v>15540</v>
      </c>
      <c r="AC368" s="109">
        <f t="shared" si="75"/>
        <v>1398.6</v>
      </c>
      <c r="AD368" s="109">
        <f t="shared" si="76"/>
        <v>372.96</v>
      </c>
      <c r="AE368" s="109">
        <f t="shared" si="88"/>
        <v>3436.56</v>
      </c>
      <c r="AF368" s="73">
        <f t="shared" si="89"/>
        <v>17.1828</v>
      </c>
    </row>
    <row r="369" spans="1:32" x14ac:dyDescent="0.25">
      <c r="A369" s="102">
        <v>703</v>
      </c>
      <c r="B369" s="68" t="str">
        <f t="shared" si="77"/>
        <v>3.6, Spray (Pull Type)  60'</v>
      </c>
      <c r="C369" s="103">
        <v>3.6</v>
      </c>
      <c r="D369" s="68" t="s">
        <v>151</v>
      </c>
      <c r="E369" s="68" t="s">
        <v>331</v>
      </c>
      <c r="F369" s="68" t="s">
        <v>332</v>
      </c>
      <c r="G369" s="68" t="str">
        <f t="shared" si="78"/>
        <v>Spray (Pull Type)  60'</v>
      </c>
      <c r="H369" s="85">
        <v>75100</v>
      </c>
      <c r="I369" s="221">
        <v>60</v>
      </c>
      <c r="J369" s="221">
        <v>7.5</v>
      </c>
      <c r="K369" s="221">
        <v>65</v>
      </c>
      <c r="L369" s="86">
        <f t="shared" si="79"/>
        <v>2.8205128205128206E-2</v>
      </c>
      <c r="M369" s="221">
        <v>40</v>
      </c>
      <c r="N369" s="221">
        <v>75</v>
      </c>
      <c r="O369" s="221">
        <v>8</v>
      </c>
      <c r="P369" s="221">
        <v>200</v>
      </c>
      <c r="Q369" s="221">
        <v>0</v>
      </c>
      <c r="R369" s="104">
        <f t="shared" si="80"/>
        <v>1600</v>
      </c>
      <c r="S369" s="104">
        <v>1</v>
      </c>
      <c r="T369" s="104">
        <v>0.27</v>
      </c>
      <c r="U369" s="104">
        <v>1.4</v>
      </c>
      <c r="V369" s="219">
        <f t="shared" si="81"/>
        <v>2130.3241715958079</v>
      </c>
      <c r="W369" s="106">
        <f t="shared" si="82"/>
        <v>10.65162085797904</v>
      </c>
      <c r="X369" s="107">
        <f t="shared" si="83"/>
        <v>7040.625</v>
      </c>
      <c r="Y369" s="108">
        <f t="shared" si="84"/>
        <v>35.203125</v>
      </c>
      <c r="Z369" s="88">
        <f t="shared" si="85"/>
        <v>30040</v>
      </c>
      <c r="AA369" s="88">
        <f t="shared" si="86"/>
        <v>5632.5</v>
      </c>
      <c r="AB369" s="88">
        <f t="shared" si="87"/>
        <v>52570</v>
      </c>
      <c r="AC369" s="109">
        <f t="shared" si="75"/>
        <v>4731.3</v>
      </c>
      <c r="AD369" s="109">
        <f t="shared" si="76"/>
        <v>1261.68</v>
      </c>
      <c r="AE369" s="109">
        <f t="shared" si="88"/>
        <v>11625.48</v>
      </c>
      <c r="AF369" s="73">
        <f t="shared" si="89"/>
        <v>58.127399999999994</v>
      </c>
    </row>
    <row r="370" spans="1:32" x14ac:dyDescent="0.25">
      <c r="A370" s="102">
        <v>704</v>
      </c>
      <c r="B370" s="68" t="str">
        <f t="shared" si="77"/>
        <v>3.61, Spray (Pull Type)  80'</v>
      </c>
      <c r="C370" s="103">
        <v>3.61</v>
      </c>
      <c r="D370" s="68" t="s">
        <v>151</v>
      </c>
      <c r="E370" s="68" t="s">
        <v>331</v>
      </c>
      <c r="F370" s="68" t="s">
        <v>333</v>
      </c>
      <c r="G370" s="68" t="str">
        <f t="shared" si="78"/>
        <v>Spray (Pull Type)  80'</v>
      </c>
      <c r="H370" s="85">
        <v>69400</v>
      </c>
      <c r="I370" s="221">
        <v>80</v>
      </c>
      <c r="J370" s="221">
        <v>7.5</v>
      </c>
      <c r="K370" s="221">
        <v>65</v>
      </c>
      <c r="L370" s="86">
        <f t="shared" si="79"/>
        <v>2.1153846153846155E-2</v>
      </c>
      <c r="M370" s="221">
        <v>40</v>
      </c>
      <c r="N370" s="221">
        <v>75</v>
      </c>
      <c r="O370" s="221">
        <v>8</v>
      </c>
      <c r="P370" s="221">
        <v>200</v>
      </c>
      <c r="Q370" s="221">
        <v>0</v>
      </c>
      <c r="R370" s="104">
        <f t="shared" si="80"/>
        <v>1600</v>
      </c>
      <c r="S370" s="104">
        <v>1</v>
      </c>
      <c r="T370" s="104">
        <v>0.27</v>
      </c>
      <c r="U370" s="104">
        <v>1.4</v>
      </c>
      <c r="V370" s="219">
        <f t="shared" si="81"/>
        <v>1968.6351199567118</v>
      </c>
      <c r="W370" s="106">
        <f t="shared" si="82"/>
        <v>9.8431755997835584</v>
      </c>
      <c r="X370" s="107">
        <f t="shared" si="83"/>
        <v>6506.25</v>
      </c>
      <c r="Y370" s="108">
        <f t="shared" si="84"/>
        <v>32.53125</v>
      </c>
      <c r="Z370" s="88">
        <f t="shared" si="85"/>
        <v>27760</v>
      </c>
      <c r="AA370" s="88">
        <f t="shared" si="86"/>
        <v>5205</v>
      </c>
      <c r="AB370" s="88">
        <f t="shared" si="87"/>
        <v>48580</v>
      </c>
      <c r="AC370" s="109">
        <f t="shared" si="75"/>
        <v>4372.2</v>
      </c>
      <c r="AD370" s="109">
        <f t="shared" si="76"/>
        <v>1165.92</v>
      </c>
      <c r="AE370" s="109">
        <f t="shared" si="88"/>
        <v>10743.12</v>
      </c>
      <c r="AF370" s="73">
        <f t="shared" si="89"/>
        <v>53.715600000000002</v>
      </c>
    </row>
    <row r="371" spans="1:32" x14ac:dyDescent="0.25">
      <c r="A371" s="102">
        <v>705</v>
      </c>
      <c r="B371" s="68" t="str">
        <f t="shared" si="77"/>
        <v>3.62, Spray (Pull Type)  90'</v>
      </c>
      <c r="C371" s="103">
        <v>3.62</v>
      </c>
      <c r="D371" s="68" t="s">
        <v>151</v>
      </c>
      <c r="E371" s="68" t="s">
        <v>331</v>
      </c>
      <c r="F371" s="68" t="s">
        <v>334</v>
      </c>
      <c r="G371" s="68" t="str">
        <f t="shared" si="78"/>
        <v>Spray (Pull Type)  90'</v>
      </c>
      <c r="H371" s="85">
        <v>70400</v>
      </c>
      <c r="I371" s="221">
        <v>90</v>
      </c>
      <c r="J371" s="221">
        <v>7.5</v>
      </c>
      <c r="K371" s="221">
        <v>65</v>
      </c>
      <c r="L371" s="86">
        <f t="shared" si="79"/>
        <v>1.8803418803418803E-2</v>
      </c>
      <c r="M371" s="221">
        <v>40</v>
      </c>
      <c r="N371" s="221">
        <v>75</v>
      </c>
      <c r="O371" s="221">
        <v>8</v>
      </c>
      <c r="P371" s="221">
        <v>200</v>
      </c>
      <c r="Q371" s="221">
        <v>0</v>
      </c>
      <c r="R371" s="104">
        <f t="shared" si="80"/>
        <v>1600</v>
      </c>
      <c r="S371" s="104">
        <v>1</v>
      </c>
      <c r="T371" s="104">
        <v>0.27</v>
      </c>
      <c r="U371" s="104">
        <v>1.4</v>
      </c>
      <c r="V371" s="219">
        <f t="shared" si="81"/>
        <v>1997.0016202442725</v>
      </c>
      <c r="W371" s="106">
        <f t="shared" si="82"/>
        <v>9.9850081012213625</v>
      </c>
      <c r="X371" s="107">
        <f t="shared" si="83"/>
        <v>6600</v>
      </c>
      <c r="Y371" s="108">
        <f t="shared" si="84"/>
        <v>33</v>
      </c>
      <c r="Z371" s="88">
        <f t="shared" si="85"/>
        <v>28160</v>
      </c>
      <c r="AA371" s="88">
        <f t="shared" si="86"/>
        <v>5280</v>
      </c>
      <c r="AB371" s="88">
        <f t="shared" si="87"/>
        <v>49280</v>
      </c>
      <c r="AC371" s="109">
        <f t="shared" si="75"/>
        <v>4435.2</v>
      </c>
      <c r="AD371" s="109">
        <f t="shared" si="76"/>
        <v>1182.72</v>
      </c>
      <c r="AE371" s="109">
        <f t="shared" si="88"/>
        <v>10897.92</v>
      </c>
      <c r="AF371" s="73">
        <f t="shared" si="89"/>
        <v>54.489600000000003</v>
      </c>
    </row>
    <row r="372" spans="1:32" x14ac:dyDescent="0.25">
      <c r="A372" s="102">
        <v>706</v>
      </c>
      <c r="B372" s="68" t="str">
        <f t="shared" si="77"/>
        <v>3.63, Spray (Pull Type) 100'</v>
      </c>
      <c r="C372" s="103">
        <v>3.63</v>
      </c>
      <c r="D372" s="68" t="s">
        <v>151</v>
      </c>
      <c r="E372" s="68" t="s">
        <v>331</v>
      </c>
      <c r="F372" s="68" t="s">
        <v>335</v>
      </c>
      <c r="G372" s="68" t="str">
        <f t="shared" si="78"/>
        <v>Spray (Pull Type) 100'</v>
      </c>
      <c r="H372" s="85">
        <v>95000</v>
      </c>
      <c r="I372" s="221">
        <v>100</v>
      </c>
      <c r="J372" s="221">
        <v>7.5</v>
      </c>
      <c r="K372" s="221">
        <v>65</v>
      </c>
      <c r="L372" s="86">
        <f t="shared" si="79"/>
        <v>1.6923076923076923E-2</v>
      </c>
      <c r="M372" s="221">
        <v>40</v>
      </c>
      <c r="N372" s="221">
        <v>75</v>
      </c>
      <c r="O372" s="221">
        <v>8</v>
      </c>
      <c r="P372" s="221">
        <v>200</v>
      </c>
      <c r="Q372" s="221">
        <v>0</v>
      </c>
      <c r="R372" s="104">
        <f t="shared" si="80"/>
        <v>1600</v>
      </c>
      <c r="S372" s="104">
        <v>1</v>
      </c>
      <c r="T372" s="104">
        <v>0.27</v>
      </c>
      <c r="U372" s="104">
        <v>1.4</v>
      </c>
      <c r="V372" s="219">
        <f t="shared" si="81"/>
        <v>2694.8175273182655</v>
      </c>
      <c r="W372" s="106">
        <f t="shared" si="82"/>
        <v>13.474087636591328</v>
      </c>
      <c r="X372" s="107">
        <f t="shared" si="83"/>
        <v>8906.25</v>
      </c>
      <c r="Y372" s="108">
        <f t="shared" si="84"/>
        <v>44.53125</v>
      </c>
      <c r="Z372" s="88">
        <f t="shared" si="85"/>
        <v>38000</v>
      </c>
      <c r="AA372" s="88">
        <f t="shared" si="86"/>
        <v>7125</v>
      </c>
      <c r="AB372" s="88">
        <f t="shared" si="87"/>
        <v>66500</v>
      </c>
      <c r="AC372" s="109">
        <f t="shared" si="75"/>
        <v>5985</v>
      </c>
      <c r="AD372" s="109">
        <f t="shared" si="76"/>
        <v>1596</v>
      </c>
      <c r="AE372" s="109">
        <f t="shared" si="88"/>
        <v>14706</v>
      </c>
      <c r="AF372" s="73">
        <f t="shared" si="89"/>
        <v>73.53</v>
      </c>
    </row>
    <row r="373" spans="1:32" x14ac:dyDescent="0.25">
      <c r="A373" s="102">
        <v>707</v>
      </c>
      <c r="B373" s="68" t="str">
        <f t="shared" si="77"/>
        <v>3.64, Spray (Pull Type) 120'</v>
      </c>
      <c r="C373" s="103">
        <v>3.64</v>
      </c>
      <c r="D373" s="68" t="s">
        <v>151</v>
      </c>
      <c r="E373" s="68" t="s">
        <v>331</v>
      </c>
      <c r="F373" s="68" t="s">
        <v>336</v>
      </c>
      <c r="G373" s="68" t="str">
        <f t="shared" si="78"/>
        <v>Spray (Pull Type) 120'</v>
      </c>
      <c r="H373" s="85">
        <v>127000</v>
      </c>
      <c r="I373" s="221">
        <v>120</v>
      </c>
      <c r="J373" s="221">
        <v>7.5</v>
      </c>
      <c r="K373" s="221">
        <v>65</v>
      </c>
      <c r="L373" s="86">
        <f t="shared" si="79"/>
        <v>1.4102564102564103E-2</v>
      </c>
      <c r="M373" s="221">
        <v>40</v>
      </c>
      <c r="N373" s="221">
        <v>75</v>
      </c>
      <c r="O373" s="221">
        <v>8</v>
      </c>
      <c r="P373" s="221">
        <v>200</v>
      </c>
      <c r="Q373" s="221">
        <v>0</v>
      </c>
      <c r="R373" s="104">
        <f t="shared" si="80"/>
        <v>1600</v>
      </c>
      <c r="S373" s="104">
        <v>1</v>
      </c>
      <c r="T373" s="104">
        <v>0.27</v>
      </c>
      <c r="U373" s="104">
        <v>1.4</v>
      </c>
      <c r="V373" s="219">
        <f t="shared" si="81"/>
        <v>3602.5455365202074</v>
      </c>
      <c r="W373" s="106">
        <f t="shared" si="82"/>
        <v>18.012727682601039</v>
      </c>
      <c r="X373" s="107">
        <f t="shared" si="83"/>
        <v>11906.25</v>
      </c>
      <c r="Y373" s="108">
        <f t="shared" si="84"/>
        <v>59.53125</v>
      </c>
      <c r="Z373" s="88">
        <f t="shared" si="85"/>
        <v>50800</v>
      </c>
      <c r="AA373" s="88">
        <f t="shared" si="86"/>
        <v>9525</v>
      </c>
      <c r="AB373" s="88">
        <f t="shared" si="87"/>
        <v>88900</v>
      </c>
      <c r="AC373" s="109">
        <f t="shared" si="75"/>
        <v>8001</v>
      </c>
      <c r="AD373" s="109">
        <f t="shared" si="76"/>
        <v>2133.6</v>
      </c>
      <c r="AE373" s="109">
        <f t="shared" si="88"/>
        <v>19659.599999999999</v>
      </c>
      <c r="AF373" s="73">
        <f t="shared" si="89"/>
        <v>98.297999999999988</v>
      </c>
    </row>
    <row r="374" spans="1:32" x14ac:dyDescent="0.25">
      <c r="A374" s="102">
        <v>708</v>
      </c>
      <c r="B374" s="68" t="str">
        <f t="shared" si="77"/>
        <v>3.65, Spray (Ropewick) 20'</v>
      </c>
      <c r="C374" s="103">
        <v>3.65</v>
      </c>
      <c r="D374" s="68" t="s">
        <v>151</v>
      </c>
      <c r="E374" s="68" t="s">
        <v>337</v>
      </c>
      <c r="F374" s="68" t="s">
        <v>205</v>
      </c>
      <c r="G374" s="68" t="str">
        <f t="shared" si="78"/>
        <v>Spray (Ropewick) 20'</v>
      </c>
      <c r="H374" s="85">
        <v>3630</v>
      </c>
      <c r="I374" s="221">
        <v>20</v>
      </c>
      <c r="J374" s="221">
        <v>7.5</v>
      </c>
      <c r="K374" s="221">
        <v>65</v>
      </c>
      <c r="L374" s="86">
        <f t="shared" si="79"/>
        <v>8.461538461538462E-2</v>
      </c>
      <c r="M374" s="221">
        <v>40</v>
      </c>
      <c r="N374" s="221">
        <v>75</v>
      </c>
      <c r="O374" s="221">
        <v>8</v>
      </c>
      <c r="P374" s="221">
        <v>200</v>
      </c>
      <c r="Q374" s="221">
        <v>0</v>
      </c>
      <c r="R374" s="104">
        <f t="shared" si="80"/>
        <v>1600</v>
      </c>
      <c r="S374" s="104">
        <v>1</v>
      </c>
      <c r="T374" s="104">
        <v>0.27</v>
      </c>
      <c r="U374" s="104">
        <v>1.4</v>
      </c>
      <c r="V374" s="219">
        <f t="shared" si="81"/>
        <v>102.97039604384531</v>
      </c>
      <c r="W374" s="106">
        <f t="shared" si="82"/>
        <v>0.51485198021922651</v>
      </c>
      <c r="X374" s="107">
        <f t="shared" si="83"/>
        <v>340.3125</v>
      </c>
      <c r="Y374" s="108">
        <f t="shared" si="84"/>
        <v>1.7015625000000001</v>
      </c>
      <c r="Z374" s="88">
        <f t="shared" si="85"/>
        <v>1452</v>
      </c>
      <c r="AA374" s="88">
        <f t="shared" si="86"/>
        <v>272.25</v>
      </c>
      <c r="AB374" s="88">
        <f t="shared" si="87"/>
        <v>2541</v>
      </c>
      <c r="AC374" s="109">
        <f t="shared" si="75"/>
        <v>228.69</v>
      </c>
      <c r="AD374" s="109">
        <f t="shared" si="76"/>
        <v>60.984000000000002</v>
      </c>
      <c r="AE374" s="109">
        <f t="shared" si="88"/>
        <v>561.92399999999998</v>
      </c>
      <c r="AF374" s="73">
        <f t="shared" si="89"/>
        <v>2.8096199999999998</v>
      </c>
    </row>
    <row r="375" spans="1:32" x14ac:dyDescent="0.25">
      <c r="A375" s="102">
        <v>194</v>
      </c>
      <c r="B375" s="68" t="str">
        <f t="shared" si="77"/>
        <v>3.66, Spray (Spot) 27'</v>
      </c>
      <c r="C375" s="103">
        <v>3.66</v>
      </c>
      <c r="D375" s="68" t="s">
        <v>151</v>
      </c>
      <c r="E375" s="68" t="s">
        <v>338</v>
      </c>
      <c r="F375" s="68" t="s">
        <v>323</v>
      </c>
      <c r="G375" s="68" t="str">
        <f t="shared" si="78"/>
        <v>Spray (Spot) 27'</v>
      </c>
      <c r="H375" s="85">
        <v>5810</v>
      </c>
      <c r="I375" s="221">
        <v>27</v>
      </c>
      <c r="J375" s="221">
        <v>7.5</v>
      </c>
      <c r="K375" s="221">
        <v>65</v>
      </c>
      <c r="L375" s="86">
        <f t="shared" si="79"/>
        <v>6.2678062678062682E-2</v>
      </c>
      <c r="M375" s="221">
        <v>40</v>
      </c>
      <c r="N375" s="221">
        <v>75</v>
      </c>
      <c r="O375" s="221">
        <v>8</v>
      </c>
      <c r="P375" s="221">
        <v>200</v>
      </c>
      <c r="Q375" s="221">
        <v>0</v>
      </c>
      <c r="R375" s="104">
        <f t="shared" si="80"/>
        <v>1600</v>
      </c>
      <c r="S375" s="104">
        <v>1</v>
      </c>
      <c r="T375" s="104">
        <v>0.27</v>
      </c>
      <c r="U375" s="104">
        <v>1.4</v>
      </c>
      <c r="V375" s="219">
        <f t="shared" si="81"/>
        <v>164.80936667072763</v>
      </c>
      <c r="W375" s="106">
        <f t="shared" si="82"/>
        <v>0.82404683335363815</v>
      </c>
      <c r="X375" s="107">
        <f t="shared" si="83"/>
        <v>544.6875</v>
      </c>
      <c r="Y375" s="108">
        <f t="shared" si="84"/>
        <v>2.7234375000000002</v>
      </c>
      <c r="Z375" s="88">
        <f t="shared" si="85"/>
        <v>2324</v>
      </c>
      <c r="AA375" s="88">
        <f t="shared" si="86"/>
        <v>435.75</v>
      </c>
      <c r="AB375" s="88">
        <f t="shared" si="87"/>
        <v>4067</v>
      </c>
      <c r="AC375" s="109">
        <f t="shared" si="75"/>
        <v>366.03</v>
      </c>
      <c r="AD375" s="109">
        <f t="shared" si="76"/>
        <v>97.608000000000004</v>
      </c>
      <c r="AE375" s="109">
        <f t="shared" si="88"/>
        <v>899.38799999999992</v>
      </c>
      <c r="AF375" s="73">
        <f t="shared" si="89"/>
        <v>4.4969399999999995</v>
      </c>
    </row>
    <row r="376" spans="1:32" x14ac:dyDescent="0.25">
      <c r="A376" s="102">
        <v>195</v>
      </c>
      <c r="B376" s="68" t="str">
        <f t="shared" si="77"/>
        <v>3.67, Spray (Spot) 40'</v>
      </c>
      <c r="C376" s="103">
        <v>3.67</v>
      </c>
      <c r="D376" s="68" t="s">
        <v>151</v>
      </c>
      <c r="E376" s="68" t="s">
        <v>338</v>
      </c>
      <c r="F376" s="68" t="s">
        <v>243</v>
      </c>
      <c r="G376" s="68" t="str">
        <f t="shared" si="78"/>
        <v>Spray (Spot) 40'</v>
      </c>
      <c r="H376" s="85">
        <v>10350</v>
      </c>
      <c r="I376" s="221">
        <v>40</v>
      </c>
      <c r="J376" s="221">
        <v>7.5</v>
      </c>
      <c r="K376" s="221">
        <v>65</v>
      </c>
      <c r="L376" s="86">
        <f t="shared" si="79"/>
        <v>4.230769230769231E-2</v>
      </c>
      <c r="M376" s="221">
        <v>40</v>
      </c>
      <c r="N376" s="221">
        <v>75</v>
      </c>
      <c r="O376" s="221">
        <v>8</v>
      </c>
      <c r="P376" s="221">
        <v>200</v>
      </c>
      <c r="Q376" s="221">
        <v>0</v>
      </c>
      <c r="R376" s="104">
        <f t="shared" si="80"/>
        <v>1600</v>
      </c>
      <c r="S376" s="104">
        <v>1</v>
      </c>
      <c r="T376" s="104">
        <v>0.27</v>
      </c>
      <c r="U376" s="104">
        <v>1.4</v>
      </c>
      <c r="V376" s="219">
        <f t="shared" si="81"/>
        <v>293.59327797625315</v>
      </c>
      <c r="W376" s="106">
        <f t="shared" si="82"/>
        <v>1.4679663898812658</v>
      </c>
      <c r="X376" s="107">
        <f t="shared" si="83"/>
        <v>970.3125</v>
      </c>
      <c r="Y376" s="108">
        <f t="shared" si="84"/>
        <v>4.8515625</v>
      </c>
      <c r="Z376" s="88">
        <f t="shared" si="85"/>
        <v>4140</v>
      </c>
      <c r="AA376" s="88">
        <f t="shared" si="86"/>
        <v>776.25</v>
      </c>
      <c r="AB376" s="88">
        <f t="shared" si="87"/>
        <v>7245</v>
      </c>
      <c r="AC376" s="109">
        <f t="shared" si="75"/>
        <v>652.04999999999995</v>
      </c>
      <c r="AD376" s="109">
        <f t="shared" si="76"/>
        <v>173.88</v>
      </c>
      <c r="AE376" s="109">
        <f t="shared" si="88"/>
        <v>1602.1799999999998</v>
      </c>
      <c r="AF376" s="73">
        <f t="shared" si="89"/>
        <v>8.0108999999999995</v>
      </c>
    </row>
    <row r="377" spans="1:32" x14ac:dyDescent="0.25">
      <c r="A377" s="102">
        <v>358</v>
      </c>
      <c r="B377" s="68" t="str">
        <f t="shared" si="77"/>
        <v>3.68, Spray (Spot) 50'</v>
      </c>
      <c r="C377" s="103">
        <v>3.68</v>
      </c>
      <c r="D377" s="68" t="s">
        <v>151</v>
      </c>
      <c r="E377" s="68" t="s">
        <v>338</v>
      </c>
      <c r="F377" s="68" t="s">
        <v>200</v>
      </c>
      <c r="G377" s="68" t="str">
        <f t="shared" si="78"/>
        <v>Spray (Spot) 50'</v>
      </c>
      <c r="H377" s="85">
        <v>11500</v>
      </c>
      <c r="I377" s="221">
        <v>50</v>
      </c>
      <c r="J377" s="221">
        <v>7.5</v>
      </c>
      <c r="K377" s="221">
        <v>65</v>
      </c>
      <c r="L377" s="86">
        <f t="shared" si="79"/>
        <v>3.3846153846153845E-2</v>
      </c>
      <c r="M377" s="221">
        <v>40</v>
      </c>
      <c r="N377" s="221">
        <v>75</v>
      </c>
      <c r="O377" s="221">
        <v>8</v>
      </c>
      <c r="P377" s="221">
        <v>200</v>
      </c>
      <c r="Q377" s="221">
        <v>0</v>
      </c>
      <c r="R377" s="104">
        <f t="shared" si="80"/>
        <v>1600</v>
      </c>
      <c r="S377" s="104">
        <v>1</v>
      </c>
      <c r="T377" s="104">
        <v>0.27</v>
      </c>
      <c r="U377" s="104">
        <v>1.4</v>
      </c>
      <c r="V377" s="219">
        <f t="shared" si="81"/>
        <v>326.21475330694796</v>
      </c>
      <c r="W377" s="106">
        <f t="shared" si="82"/>
        <v>1.6310737665347397</v>
      </c>
      <c r="X377" s="107">
        <f t="shared" si="83"/>
        <v>1078.125</v>
      </c>
      <c r="Y377" s="108">
        <f t="shared" si="84"/>
        <v>5.390625</v>
      </c>
      <c r="Z377" s="88">
        <f t="shared" si="85"/>
        <v>4600</v>
      </c>
      <c r="AA377" s="88">
        <f t="shared" si="86"/>
        <v>862.5</v>
      </c>
      <c r="AB377" s="88">
        <f t="shared" si="87"/>
        <v>8050</v>
      </c>
      <c r="AC377" s="109">
        <f t="shared" si="75"/>
        <v>724.5</v>
      </c>
      <c r="AD377" s="109">
        <f t="shared" si="76"/>
        <v>193.20000000000002</v>
      </c>
      <c r="AE377" s="109">
        <f t="shared" si="88"/>
        <v>1780.2</v>
      </c>
      <c r="AF377" s="73">
        <f t="shared" si="89"/>
        <v>8.9009999999999998</v>
      </c>
    </row>
    <row r="378" spans="1:32" x14ac:dyDescent="0.25">
      <c r="A378" s="102">
        <v>359</v>
      </c>
      <c r="B378" s="68" t="str">
        <f t="shared" si="77"/>
        <v>3.69, Spray (Spot) 53'</v>
      </c>
      <c r="C378" s="103">
        <v>3.69</v>
      </c>
      <c r="D378" s="68" t="s">
        <v>151</v>
      </c>
      <c r="E378" s="68" t="s">
        <v>338</v>
      </c>
      <c r="F378" s="68" t="s">
        <v>325</v>
      </c>
      <c r="G378" s="68" t="str">
        <f t="shared" si="78"/>
        <v>Spray (Spot) 53'</v>
      </c>
      <c r="H378" s="85">
        <v>12500</v>
      </c>
      <c r="I378" s="221">
        <v>53</v>
      </c>
      <c r="J378" s="221">
        <v>7.5</v>
      </c>
      <c r="K378" s="221">
        <v>65</v>
      </c>
      <c r="L378" s="86">
        <f t="shared" si="79"/>
        <v>3.1930333817126275E-2</v>
      </c>
      <c r="M378" s="221">
        <v>40</v>
      </c>
      <c r="N378" s="221">
        <v>75</v>
      </c>
      <c r="O378" s="221">
        <v>8</v>
      </c>
      <c r="P378" s="221">
        <v>200</v>
      </c>
      <c r="Q378" s="221">
        <v>0</v>
      </c>
      <c r="R378" s="104">
        <f t="shared" si="80"/>
        <v>1600</v>
      </c>
      <c r="S378" s="104">
        <v>1</v>
      </c>
      <c r="T378" s="104">
        <v>0.27</v>
      </c>
      <c r="U378" s="104">
        <v>1.4</v>
      </c>
      <c r="V378" s="219">
        <f t="shared" si="81"/>
        <v>354.58125359450861</v>
      </c>
      <c r="W378" s="106">
        <f t="shared" si="82"/>
        <v>1.7729062679725431</v>
      </c>
      <c r="X378" s="107">
        <f t="shared" si="83"/>
        <v>1171.875</v>
      </c>
      <c r="Y378" s="108">
        <f t="shared" si="84"/>
        <v>5.859375</v>
      </c>
      <c r="Z378" s="88">
        <f t="shared" si="85"/>
        <v>5000</v>
      </c>
      <c r="AA378" s="88">
        <f t="shared" si="86"/>
        <v>937.5</v>
      </c>
      <c r="AB378" s="88">
        <f t="shared" si="87"/>
        <v>8750</v>
      </c>
      <c r="AC378" s="109">
        <f t="shared" si="75"/>
        <v>787.5</v>
      </c>
      <c r="AD378" s="109">
        <f t="shared" si="76"/>
        <v>210</v>
      </c>
      <c r="AE378" s="109">
        <f t="shared" si="88"/>
        <v>1935</v>
      </c>
      <c r="AF378" s="73">
        <f t="shared" si="89"/>
        <v>9.6750000000000007</v>
      </c>
    </row>
    <row r="379" spans="1:32" x14ac:dyDescent="0.25">
      <c r="A379" s="102">
        <v>196</v>
      </c>
      <c r="B379" s="68" t="str">
        <f t="shared" si="77"/>
        <v>3.7, Spray (Spot) 60'</v>
      </c>
      <c r="C379" s="103">
        <v>3.7</v>
      </c>
      <c r="D379" s="68" t="s">
        <v>151</v>
      </c>
      <c r="E379" s="68" t="s">
        <v>338</v>
      </c>
      <c r="F379" s="68" t="s">
        <v>326</v>
      </c>
      <c r="G379" s="68" t="str">
        <f t="shared" si="78"/>
        <v>Spray (Spot) 60'</v>
      </c>
      <c r="H379" s="85">
        <v>18600</v>
      </c>
      <c r="I379" s="221">
        <v>60</v>
      </c>
      <c r="J379" s="221">
        <v>7.5</v>
      </c>
      <c r="K379" s="221">
        <v>65</v>
      </c>
      <c r="L379" s="86">
        <f t="shared" si="79"/>
        <v>2.8205128205128206E-2</v>
      </c>
      <c r="M379" s="221">
        <v>40</v>
      </c>
      <c r="N379" s="221">
        <v>75</v>
      </c>
      <c r="O379" s="221">
        <v>8</v>
      </c>
      <c r="P379" s="221">
        <v>200</v>
      </c>
      <c r="Q379" s="221">
        <v>0</v>
      </c>
      <c r="R379" s="104">
        <f t="shared" si="80"/>
        <v>1600</v>
      </c>
      <c r="S379" s="104">
        <v>1</v>
      </c>
      <c r="T379" s="104">
        <v>0.27</v>
      </c>
      <c r="U379" s="104">
        <v>1.4</v>
      </c>
      <c r="V379" s="219">
        <f t="shared" si="81"/>
        <v>527.61690534862885</v>
      </c>
      <c r="W379" s="106">
        <f t="shared" si="82"/>
        <v>2.6380845267431443</v>
      </c>
      <c r="X379" s="107">
        <f t="shared" si="83"/>
        <v>1743.75</v>
      </c>
      <c r="Y379" s="108">
        <f t="shared" si="84"/>
        <v>8.71875</v>
      </c>
      <c r="Z379" s="88">
        <f t="shared" si="85"/>
        <v>7440</v>
      </c>
      <c r="AA379" s="88">
        <f t="shared" si="86"/>
        <v>1395</v>
      </c>
      <c r="AB379" s="88">
        <f t="shared" si="87"/>
        <v>13020</v>
      </c>
      <c r="AC379" s="109">
        <f t="shared" si="75"/>
        <v>1171.8</v>
      </c>
      <c r="AD379" s="109">
        <f t="shared" si="76"/>
        <v>312.48</v>
      </c>
      <c r="AE379" s="109">
        <f t="shared" si="88"/>
        <v>2879.28</v>
      </c>
      <c r="AF379" s="73">
        <f t="shared" si="89"/>
        <v>14.396400000000002</v>
      </c>
    </row>
    <row r="380" spans="1:32" x14ac:dyDescent="0.25">
      <c r="A380" s="102"/>
      <c r="B380" s="68" t="str">
        <f t="shared" si="77"/>
        <v>3.71, ST Plant Rigid 6R-36</v>
      </c>
      <c r="C380" s="103">
        <v>3.71</v>
      </c>
      <c r="D380" s="68" t="s">
        <v>151</v>
      </c>
      <c r="E380" s="68" t="s">
        <v>339</v>
      </c>
      <c r="F380" s="68" t="s">
        <v>176</v>
      </c>
      <c r="G380" s="68" t="str">
        <f t="shared" si="78"/>
        <v>ST Plant Rigid 6R-36</v>
      </c>
      <c r="H380" s="85">
        <v>45000</v>
      </c>
      <c r="I380" s="221">
        <v>18</v>
      </c>
      <c r="J380" s="221">
        <v>4.5</v>
      </c>
      <c r="K380" s="221">
        <v>70</v>
      </c>
      <c r="L380" s="86">
        <f t="shared" si="79"/>
        <v>0.14550264550264549</v>
      </c>
      <c r="M380" s="221">
        <v>45</v>
      </c>
      <c r="N380" s="221">
        <v>45</v>
      </c>
      <c r="O380" s="221">
        <v>10</v>
      </c>
      <c r="P380" s="221">
        <v>150</v>
      </c>
      <c r="Q380" s="221">
        <v>0</v>
      </c>
      <c r="R380" s="104">
        <f t="shared" si="80"/>
        <v>1500</v>
      </c>
      <c r="S380" s="104">
        <v>1</v>
      </c>
      <c r="T380" s="104">
        <v>0.27</v>
      </c>
      <c r="U380" s="104">
        <v>1.4</v>
      </c>
      <c r="V380" s="219">
        <f t="shared" si="81"/>
        <v>853.30450917842109</v>
      </c>
      <c r="W380" s="106">
        <f t="shared" si="82"/>
        <v>5.6886967278561409</v>
      </c>
      <c r="X380" s="107">
        <f t="shared" si="83"/>
        <v>2025</v>
      </c>
      <c r="Y380" s="108">
        <f t="shared" si="84"/>
        <v>13.5</v>
      </c>
      <c r="Z380" s="88">
        <f t="shared" si="85"/>
        <v>20250</v>
      </c>
      <c r="AA380" s="88">
        <f t="shared" si="86"/>
        <v>2475</v>
      </c>
      <c r="AB380" s="88">
        <f t="shared" si="87"/>
        <v>32625</v>
      </c>
      <c r="AC380" s="109">
        <f t="shared" si="75"/>
        <v>2936.25</v>
      </c>
      <c r="AD380" s="109">
        <f t="shared" si="76"/>
        <v>783</v>
      </c>
      <c r="AE380" s="109">
        <f t="shared" si="88"/>
        <v>6194.25</v>
      </c>
      <c r="AF380" s="73">
        <f t="shared" si="89"/>
        <v>41.295000000000002</v>
      </c>
    </row>
    <row r="381" spans="1:32" x14ac:dyDescent="0.25">
      <c r="A381" s="102"/>
      <c r="B381" s="68" t="str">
        <f t="shared" si="77"/>
        <v>3.72, ST Plant Rigid 8R-36</v>
      </c>
      <c r="C381" s="103">
        <v>3.72</v>
      </c>
      <c r="D381" s="68" t="s">
        <v>151</v>
      </c>
      <c r="E381" s="68" t="s">
        <v>339</v>
      </c>
      <c r="F381" s="68" t="s">
        <v>166</v>
      </c>
      <c r="G381" s="68" t="str">
        <f t="shared" si="78"/>
        <v>ST Plant Rigid 8R-36</v>
      </c>
      <c r="H381" s="85">
        <v>51500</v>
      </c>
      <c r="I381" s="221">
        <v>24</v>
      </c>
      <c r="J381" s="221">
        <v>4.5</v>
      </c>
      <c r="K381" s="221">
        <v>70</v>
      </c>
      <c r="L381" s="86">
        <f t="shared" si="79"/>
        <v>0.10912698412698414</v>
      </c>
      <c r="M381" s="221">
        <v>45</v>
      </c>
      <c r="N381" s="221">
        <v>45</v>
      </c>
      <c r="O381" s="221">
        <v>10</v>
      </c>
      <c r="P381" s="221">
        <v>150</v>
      </c>
      <c r="Q381" s="221">
        <v>0</v>
      </c>
      <c r="R381" s="104">
        <f t="shared" si="80"/>
        <v>1500</v>
      </c>
      <c r="S381" s="104">
        <v>1</v>
      </c>
      <c r="T381" s="104">
        <v>0.27</v>
      </c>
      <c r="U381" s="104">
        <v>1.4</v>
      </c>
      <c r="V381" s="219">
        <f t="shared" si="81"/>
        <v>976.55960494863757</v>
      </c>
      <c r="W381" s="106">
        <f t="shared" si="82"/>
        <v>6.5103973663242503</v>
      </c>
      <c r="X381" s="107">
        <f t="shared" si="83"/>
        <v>2317.5</v>
      </c>
      <c r="Y381" s="108">
        <f t="shared" si="84"/>
        <v>15.45</v>
      </c>
      <c r="Z381" s="88">
        <f t="shared" si="85"/>
        <v>23175</v>
      </c>
      <c r="AA381" s="88">
        <f t="shared" si="86"/>
        <v>2832.5</v>
      </c>
      <c r="AB381" s="88">
        <f t="shared" si="87"/>
        <v>37337.5</v>
      </c>
      <c r="AC381" s="109">
        <f t="shared" si="75"/>
        <v>3360.375</v>
      </c>
      <c r="AD381" s="109">
        <f t="shared" si="76"/>
        <v>896.1</v>
      </c>
      <c r="AE381" s="109">
        <f t="shared" si="88"/>
        <v>7088.9750000000004</v>
      </c>
      <c r="AF381" s="73">
        <f t="shared" si="89"/>
        <v>47.259833333333333</v>
      </c>
    </row>
    <row r="382" spans="1:32" x14ac:dyDescent="0.25">
      <c r="A382" s="102"/>
      <c r="B382" s="68" t="str">
        <f t="shared" si="77"/>
        <v>3.721, Strip Till 8R-36</v>
      </c>
      <c r="C382" s="103">
        <v>3.7210000000000001</v>
      </c>
      <c r="D382" s="68" t="s">
        <v>151</v>
      </c>
      <c r="E382" s="68" t="s">
        <v>340</v>
      </c>
      <c r="F382" s="68" t="s">
        <v>166</v>
      </c>
      <c r="G382" s="68" t="str">
        <f t="shared" si="78"/>
        <v>Strip Till 8R-36</v>
      </c>
      <c r="H382" s="85">
        <v>71400</v>
      </c>
      <c r="I382" s="221">
        <v>24</v>
      </c>
      <c r="J382" s="221">
        <v>5.25</v>
      </c>
      <c r="K382" s="221">
        <v>85</v>
      </c>
      <c r="L382" s="86">
        <f t="shared" si="79"/>
        <v>7.7030812324929962E-2</v>
      </c>
      <c r="M382" s="221">
        <v>30</v>
      </c>
      <c r="N382" s="221">
        <v>65</v>
      </c>
      <c r="O382" s="221">
        <v>10</v>
      </c>
      <c r="P382" s="221">
        <v>150</v>
      </c>
      <c r="Q382" s="221"/>
      <c r="R382" s="104">
        <f t="shared" si="80"/>
        <v>1500</v>
      </c>
      <c r="S382" s="104">
        <v>1</v>
      </c>
      <c r="T382" s="104">
        <v>0.27</v>
      </c>
      <c r="U382" s="104">
        <v>1.4</v>
      </c>
      <c r="V382" s="219">
        <f t="shared" si="81"/>
        <v>1353.9098212297615</v>
      </c>
      <c r="W382" s="106">
        <f t="shared" si="82"/>
        <v>9.0260654748650762</v>
      </c>
      <c r="X382" s="107">
        <f t="shared" si="83"/>
        <v>4641</v>
      </c>
      <c r="Y382" s="108">
        <f t="shared" si="84"/>
        <v>30.94</v>
      </c>
      <c r="Z382" s="88">
        <f t="shared" si="85"/>
        <v>21420</v>
      </c>
      <c r="AA382" s="88">
        <f t="shared" si="86"/>
        <v>4998</v>
      </c>
      <c r="AB382" s="88">
        <f t="shared" si="87"/>
        <v>46410</v>
      </c>
      <c r="AC382" s="109">
        <f t="shared" si="75"/>
        <v>4176.8999999999996</v>
      </c>
      <c r="AD382" s="109">
        <f t="shared" si="76"/>
        <v>1113.8399999999999</v>
      </c>
      <c r="AE382" s="109">
        <f t="shared" si="88"/>
        <v>10288.74</v>
      </c>
      <c r="AF382" s="73">
        <f t="shared" si="89"/>
        <v>68.5916</v>
      </c>
    </row>
    <row r="383" spans="1:32" x14ac:dyDescent="0.25">
      <c r="A383" s="102"/>
      <c r="B383" s="68" t="str">
        <f t="shared" si="77"/>
        <v>3.725, Strip Till 12R-36</v>
      </c>
      <c r="C383" s="103">
        <v>3.7250000000000001</v>
      </c>
      <c r="D383" s="68" t="s">
        <v>151</v>
      </c>
      <c r="E383" s="68" t="s">
        <v>340</v>
      </c>
      <c r="F383" s="68" t="s">
        <v>158</v>
      </c>
      <c r="G383" s="68" t="str">
        <f t="shared" si="78"/>
        <v>Strip Till 12R-36</v>
      </c>
      <c r="H383" s="85">
        <v>122000</v>
      </c>
      <c r="I383" s="221">
        <v>36</v>
      </c>
      <c r="J383" s="221">
        <v>5.25</v>
      </c>
      <c r="K383" s="221">
        <v>85</v>
      </c>
      <c r="L383" s="86">
        <f t="shared" si="79"/>
        <v>5.1353874883286646E-2</v>
      </c>
      <c r="M383" s="221">
        <v>30</v>
      </c>
      <c r="N383" s="221">
        <v>65</v>
      </c>
      <c r="O383" s="221">
        <v>10</v>
      </c>
      <c r="P383" s="221">
        <v>150</v>
      </c>
      <c r="Q383" s="221"/>
      <c r="R383" s="104">
        <f t="shared" si="80"/>
        <v>1500</v>
      </c>
      <c r="S383" s="104">
        <v>1</v>
      </c>
      <c r="T383" s="104">
        <v>0.27</v>
      </c>
      <c r="U383" s="104">
        <v>1.4</v>
      </c>
      <c r="V383" s="219">
        <f t="shared" si="81"/>
        <v>2313.4033359948303</v>
      </c>
      <c r="W383" s="106">
        <f t="shared" si="82"/>
        <v>15.422688906632201</v>
      </c>
      <c r="X383" s="107">
        <f t="shared" si="83"/>
        <v>7930</v>
      </c>
      <c r="Y383" s="108">
        <f t="shared" si="84"/>
        <v>52.866666666666667</v>
      </c>
      <c r="Z383" s="88">
        <f t="shared" si="85"/>
        <v>36600</v>
      </c>
      <c r="AA383" s="88">
        <f t="shared" si="86"/>
        <v>8540</v>
      </c>
      <c r="AB383" s="88">
        <f t="shared" si="87"/>
        <v>79300</v>
      </c>
      <c r="AC383" s="109">
        <f t="shared" si="75"/>
        <v>7137</v>
      </c>
      <c r="AD383" s="109">
        <f t="shared" si="76"/>
        <v>1903.2</v>
      </c>
      <c r="AE383" s="109">
        <f t="shared" si="88"/>
        <v>17580.2</v>
      </c>
      <c r="AF383" s="73">
        <f t="shared" si="89"/>
        <v>117.20133333333334</v>
      </c>
    </row>
    <row r="384" spans="1:32" x14ac:dyDescent="0.25">
      <c r="A384" s="102">
        <v>693</v>
      </c>
      <c r="B384" s="68" t="str">
        <f t="shared" si="77"/>
        <v>3.73, Strip Till 12R-30</v>
      </c>
      <c r="C384" s="103">
        <v>3.73</v>
      </c>
      <c r="D384" s="68" t="s">
        <v>151</v>
      </c>
      <c r="E384" s="68" t="s">
        <v>340</v>
      </c>
      <c r="F384" s="68" t="s">
        <v>156</v>
      </c>
      <c r="G384" s="68" t="str">
        <f t="shared" si="78"/>
        <v>Strip Till 12R-30</v>
      </c>
      <c r="H384" s="85">
        <v>121000</v>
      </c>
      <c r="I384" s="221">
        <v>30</v>
      </c>
      <c r="J384" s="221">
        <v>5.25</v>
      </c>
      <c r="K384" s="221">
        <v>85</v>
      </c>
      <c r="L384" s="86">
        <f t="shared" si="79"/>
        <v>6.1624649859943981E-2</v>
      </c>
      <c r="M384" s="221">
        <v>30</v>
      </c>
      <c r="N384" s="221">
        <v>65</v>
      </c>
      <c r="O384" s="221">
        <v>10</v>
      </c>
      <c r="P384" s="221">
        <v>150</v>
      </c>
      <c r="Q384" s="221">
        <v>0</v>
      </c>
      <c r="R384" s="104">
        <f t="shared" si="80"/>
        <v>1500</v>
      </c>
      <c r="S384" s="104">
        <v>1</v>
      </c>
      <c r="T384" s="104">
        <v>0.27</v>
      </c>
      <c r="U384" s="104">
        <v>1.4</v>
      </c>
      <c r="V384" s="219">
        <f t="shared" si="81"/>
        <v>2294.4410135686435</v>
      </c>
      <c r="W384" s="106">
        <f t="shared" si="82"/>
        <v>15.296273423790957</v>
      </c>
      <c r="X384" s="107">
        <f t="shared" si="83"/>
        <v>7865</v>
      </c>
      <c r="Y384" s="108">
        <f t="shared" si="84"/>
        <v>52.43333333333333</v>
      </c>
      <c r="Z384" s="88">
        <f t="shared" si="85"/>
        <v>36300</v>
      </c>
      <c r="AA384" s="88">
        <f t="shared" si="86"/>
        <v>8470</v>
      </c>
      <c r="AB384" s="88">
        <f t="shared" si="87"/>
        <v>78650</v>
      </c>
      <c r="AC384" s="109">
        <f t="shared" si="75"/>
        <v>7078.5</v>
      </c>
      <c r="AD384" s="109">
        <f t="shared" si="76"/>
        <v>1887.6000000000001</v>
      </c>
      <c r="AE384" s="109">
        <f t="shared" si="88"/>
        <v>17436.099999999999</v>
      </c>
      <c r="AF384" s="73">
        <f t="shared" si="89"/>
        <v>116.24066666666666</v>
      </c>
    </row>
    <row r="385" spans="1:32" x14ac:dyDescent="0.25">
      <c r="A385" s="102">
        <v>202</v>
      </c>
      <c r="B385" s="68" t="str">
        <f t="shared" si="77"/>
        <v>3.74, Subsoiler 3 shank</v>
      </c>
      <c r="C385" s="103">
        <v>3.74</v>
      </c>
      <c r="D385" s="68" t="s">
        <v>151</v>
      </c>
      <c r="E385" s="68" t="s">
        <v>341</v>
      </c>
      <c r="F385" s="68" t="s">
        <v>342</v>
      </c>
      <c r="G385" s="68" t="str">
        <f t="shared" si="78"/>
        <v>Subsoiler 3 shank</v>
      </c>
      <c r="H385" s="85">
        <v>6140</v>
      </c>
      <c r="I385" s="221">
        <v>10</v>
      </c>
      <c r="J385" s="221">
        <v>4.75</v>
      </c>
      <c r="K385" s="221">
        <v>85</v>
      </c>
      <c r="L385" s="86">
        <f t="shared" si="79"/>
        <v>0.20433436532507743</v>
      </c>
      <c r="M385" s="221">
        <v>30</v>
      </c>
      <c r="N385" s="221">
        <v>50</v>
      </c>
      <c r="O385" s="221">
        <v>15</v>
      </c>
      <c r="P385" s="221">
        <v>100</v>
      </c>
      <c r="Q385" s="221">
        <v>0</v>
      </c>
      <c r="R385" s="104">
        <f t="shared" si="80"/>
        <v>1500</v>
      </c>
      <c r="S385" s="104">
        <v>1</v>
      </c>
      <c r="T385" s="104">
        <v>0.27</v>
      </c>
      <c r="U385" s="104">
        <v>1.4</v>
      </c>
      <c r="V385" s="219">
        <f t="shared" si="81"/>
        <v>65.998206734358817</v>
      </c>
      <c r="W385" s="106">
        <f t="shared" si="82"/>
        <v>0.65998206734358822</v>
      </c>
      <c r="X385" s="107">
        <f t="shared" si="83"/>
        <v>204.66666666666666</v>
      </c>
      <c r="Y385" s="108">
        <f t="shared" si="84"/>
        <v>2.0466666666666664</v>
      </c>
      <c r="Z385" s="88">
        <f t="shared" si="85"/>
        <v>1842</v>
      </c>
      <c r="AA385" s="88">
        <f t="shared" si="86"/>
        <v>286.53333333333336</v>
      </c>
      <c r="AB385" s="88">
        <f t="shared" si="87"/>
        <v>3991</v>
      </c>
      <c r="AC385" s="109">
        <f t="shared" si="75"/>
        <v>359.19</v>
      </c>
      <c r="AD385" s="109">
        <f t="shared" si="76"/>
        <v>95.784000000000006</v>
      </c>
      <c r="AE385" s="109">
        <f t="shared" si="88"/>
        <v>741.50733333333335</v>
      </c>
      <c r="AF385" s="73">
        <f t="shared" si="89"/>
        <v>7.4150733333333338</v>
      </c>
    </row>
    <row r="386" spans="1:32" x14ac:dyDescent="0.25">
      <c r="A386" s="102">
        <v>217</v>
      </c>
      <c r="B386" s="68" t="str">
        <f t="shared" si="77"/>
        <v>3.75, Subsoiler 4 shank</v>
      </c>
      <c r="C386" s="103">
        <v>3.75</v>
      </c>
      <c r="D386" s="68" t="s">
        <v>151</v>
      </c>
      <c r="E386" s="68" t="s">
        <v>341</v>
      </c>
      <c r="F386" s="68" t="s">
        <v>343</v>
      </c>
      <c r="G386" s="68" t="str">
        <f t="shared" si="78"/>
        <v>Subsoiler 4 shank</v>
      </c>
      <c r="H386" s="85">
        <v>15100</v>
      </c>
      <c r="I386" s="221">
        <v>13.3</v>
      </c>
      <c r="J386" s="221">
        <v>4.75</v>
      </c>
      <c r="K386" s="221">
        <v>85</v>
      </c>
      <c r="L386" s="86">
        <f t="shared" si="79"/>
        <v>0.15363486114667477</v>
      </c>
      <c r="M386" s="221">
        <v>30</v>
      </c>
      <c r="N386" s="221">
        <v>50</v>
      </c>
      <c r="O386" s="221">
        <v>15</v>
      </c>
      <c r="P386" s="221">
        <v>100</v>
      </c>
      <c r="Q386" s="221">
        <v>0</v>
      </c>
      <c r="R386" s="104">
        <f t="shared" si="80"/>
        <v>1500</v>
      </c>
      <c r="S386" s="104">
        <v>1</v>
      </c>
      <c r="T386" s="104">
        <v>0.27</v>
      </c>
      <c r="U386" s="104">
        <v>1.4</v>
      </c>
      <c r="V386" s="219">
        <f t="shared" si="81"/>
        <v>162.30829343466095</v>
      </c>
      <c r="W386" s="106">
        <f t="shared" si="82"/>
        <v>1.6230829343466096</v>
      </c>
      <c r="X386" s="107">
        <f t="shared" si="83"/>
        <v>503.33333333333331</v>
      </c>
      <c r="Y386" s="108">
        <f t="shared" si="84"/>
        <v>5.0333333333333332</v>
      </c>
      <c r="Z386" s="88">
        <f t="shared" si="85"/>
        <v>4530</v>
      </c>
      <c r="AA386" s="88">
        <f t="shared" si="86"/>
        <v>704.66666666666663</v>
      </c>
      <c r="AB386" s="88">
        <f t="shared" si="87"/>
        <v>9815</v>
      </c>
      <c r="AC386" s="109">
        <f t="shared" si="75"/>
        <v>883.35</v>
      </c>
      <c r="AD386" s="109">
        <f t="shared" si="76"/>
        <v>235.56</v>
      </c>
      <c r="AE386" s="109">
        <f t="shared" si="88"/>
        <v>1823.5766666666666</v>
      </c>
      <c r="AF386" s="73">
        <f t="shared" si="89"/>
        <v>18.235766666666667</v>
      </c>
    </row>
    <row r="387" spans="1:32" x14ac:dyDescent="0.25">
      <c r="A387" s="102">
        <v>203</v>
      </c>
      <c r="B387" s="68" t="str">
        <f t="shared" si="77"/>
        <v>3.76, Subsoiler 5 shank</v>
      </c>
      <c r="C387" s="103">
        <v>3.76</v>
      </c>
      <c r="D387" s="68" t="s">
        <v>151</v>
      </c>
      <c r="E387" s="68" t="s">
        <v>341</v>
      </c>
      <c r="F387" s="68" t="s">
        <v>344</v>
      </c>
      <c r="G387" s="68" t="str">
        <f t="shared" si="78"/>
        <v>Subsoiler 5 shank</v>
      </c>
      <c r="H387" s="85">
        <v>18600</v>
      </c>
      <c r="I387" s="221">
        <v>16.7</v>
      </c>
      <c r="J387" s="221">
        <v>4.75</v>
      </c>
      <c r="K387" s="221">
        <v>85</v>
      </c>
      <c r="L387" s="86">
        <f t="shared" si="79"/>
        <v>0.12235590738028589</v>
      </c>
      <c r="M387" s="221">
        <v>30</v>
      </c>
      <c r="N387" s="221">
        <v>50</v>
      </c>
      <c r="O387" s="221">
        <v>15</v>
      </c>
      <c r="P387" s="221">
        <v>100</v>
      </c>
      <c r="Q387" s="221">
        <v>0</v>
      </c>
      <c r="R387" s="104">
        <f t="shared" si="80"/>
        <v>1500</v>
      </c>
      <c r="S387" s="104">
        <v>1</v>
      </c>
      <c r="T387" s="104">
        <v>0.27</v>
      </c>
      <c r="U387" s="104">
        <v>1.4</v>
      </c>
      <c r="V387" s="219">
        <f t="shared" si="81"/>
        <v>199.92942105196644</v>
      </c>
      <c r="W387" s="106">
        <f t="shared" si="82"/>
        <v>1.9992942105196645</v>
      </c>
      <c r="X387" s="107">
        <f t="shared" si="83"/>
        <v>620</v>
      </c>
      <c r="Y387" s="108">
        <f t="shared" si="84"/>
        <v>6.2</v>
      </c>
      <c r="Z387" s="88">
        <f t="shared" si="85"/>
        <v>5580</v>
      </c>
      <c r="AA387" s="88">
        <f t="shared" si="86"/>
        <v>868</v>
      </c>
      <c r="AB387" s="88">
        <f t="shared" si="87"/>
        <v>12090</v>
      </c>
      <c r="AC387" s="109">
        <f t="shared" si="75"/>
        <v>1088.0999999999999</v>
      </c>
      <c r="AD387" s="109">
        <f t="shared" si="76"/>
        <v>290.16000000000003</v>
      </c>
      <c r="AE387" s="109">
        <f t="shared" si="88"/>
        <v>2246.2599999999998</v>
      </c>
      <c r="AF387" s="73">
        <f t="shared" si="89"/>
        <v>22.462599999999998</v>
      </c>
    </row>
    <row r="388" spans="1:32" x14ac:dyDescent="0.25">
      <c r="A388" s="102">
        <v>218</v>
      </c>
      <c r="B388" s="68" t="str">
        <f t="shared" si="77"/>
        <v>3.77, Subsoiler low-till 4 shank</v>
      </c>
      <c r="C388" s="103">
        <v>3.77</v>
      </c>
      <c r="D388" s="68" t="s">
        <v>151</v>
      </c>
      <c r="E388" s="68" t="s">
        <v>345</v>
      </c>
      <c r="F388" s="68" t="s">
        <v>343</v>
      </c>
      <c r="G388" s="68" t="str">
        <f t="shared" si="78"/>
        <v>Subsoiler low-till 4 shank</v>
      </c>
      <c r="H388" s="85">
        <v>19200</v>
      </c>
      <c r="I388" s="221">
        <v>13.3</v>
      </c>
      <c r="J388" s="221">
        <v>4.75</v>
      </c>
      <c r="K388" s="221">
        <v>85</v>
      </c>
      <c r="L388" s="86">
        <f t="shared" si="79"/>
        <v>0.15363486114667477</v>
      </c>
      <c r="M388" s="221">
        <v>30</v>
      </c>
      <c r="N388" s="221">
        <v>50</v>
      </c>
      <c r="O388" s="221">
        <v>15</v>
      </c>
      <c r="P388" s="221">
        <v>100</v>
      </c>
      <c r="Q388" s="221">
        <v>0</v>
      </c>
      <c r="R388" s="104">
        <f t="shared" si="80"/>
        <v>1500</v>
      </c>
      <c r="S388" s="104">
        <v>1</v>
      </c>
      <c r="T388" s="104">
        <v>0.27</v>
      </c>
      <c r="U388" s="104">
        <v>1.4</v>
      </c>
      <c r="V388" s="219">
        <f t="shared" si="81"/>
        <v>206.3787572149331</v>
      </c>
      <c r="W388" s="106">
        <f t="shared" si="82"/>
        <v>2.0637875721493311</v>
      </c>
      <c r="X388" s="107">
        <f t="shared" si="83"/>
        <v>640</v>
      </c>
      <c r="Y388" s="108">
        <f t="shared" si="84"/>
        <v>6.4</v>
      </c>
      <c r="Z388" s="88">
        <f t="shared" si="85"/>
        <v>5760</v>
      </c>
      <c r="AA388" s="88">
        <f t="shared" si="86"/>
        <v>896</v>
      </c>
      <c r="AB388" s="88">
        <f t="shared" si="87"/>
        <v>12480</v>
      </c>
      <c r="AC388" s="109">
        <f t="shared" si="75"/>
        <v>1123.2</v>
      </c>
      <c r="AD388" s="109">
        <f t="shared" si="76"/>
        <v>299.52</v>
      </c>
      <c r="AE388" s="109">
        <f t="shared" si="88"/>
        <v>2318.7200000000003</v>
      </c>
      <c r="AF388" s="73">
        <f t="shared" si="89"/>
        <v>23.187200000000004</v>
      </c>
    </row>
    <row r="389" spans="1:32" x14ac:dyDescent="0.25">
      <c r="A389" s="102">
        <v>219</v>
      </c>
      <c r="B389" s="68" t="str">
        <f t="shared" si="77"/>
        <v>3.78, Subsoiler low-till 6 shank</v>
      </c>
      <c r="C389" s="103">
        <v>3.78</v>
      </c>
      <c r="D389" s="68" t="s">
        <v>151</v>
      </c>
      <c r="E389" s="68" t="s">
        <v>345</v>
      </c>
      <c r="F389" s="68" t="s">
        <v>346</v>
      </c>
      <c r="G389" s="68" t="str">
        <f t="shared" si="78"/>
        <v>Subsoiler low-till 6 shank</v>
      </c>
      <c r="H389" s="85">
        <v>25700</v>
      </c>
      <c r="I389" s="221">
        <v>20</v>
      </c>
      <c r="J389" s="221">
        <v>4.75</v>
      </c>
      <c r="K389" s="221">
        <v>85</v>
      </c>
      <c r="L389" s="86">
        <f t="shared" si="79"/>
        <v>0.10216718266253871</v>
      </c>
      <c r="M389" s="221">
        <v>30</v>
      </c>
      <c r="N389" s="221">
        <v>50</v>
      </c>
      <c r="O389" s="221">
        <v>15</v>
      </c>
      <c r="P389" s="221">
        <v>100</v>
      </c>
      <c r="Q389" s="221">
        <v>0</v>
      </c>
      <c r="R389" s="104">
        <f t="shared" si="80"/>
        <v>1500</v>
      </c>
      <c r="S389" s="104">
        <v>1</v>
      </c>
      <c r="T389" s="104">
        <v>0.27</v>
      </c>
      <c r="U389" s="104">
        <v>1.4</v>
      </c>
      <c r="V389" s="219">
        <f t="shared" si="81"/>
        <v>276.24656564707192</v>
      </c>
      <c r="W389" s="106">
        <f t="shared" si="82"/>
        <v>2.7624656564707193</v>
      </c>
      <c r="X389" s="107">
        <f t="shared" si="83"/>
        <v>856.66666666666663</v>
      </c>
      <c r="Y389" s="108">
        <f t="shared" si="84"/>
        <v>8.5666666666666664</v>
      </c>
      <c r="Z389" s="88">
        <f t="shared" si="85"/>
        <v>7710</v>
      </c>
      <c r="AA389" s="88">
        <f t="shared" si="86"/>
        <v>1199.3333333333333</v>
      </c>
      <c r="AB389" s="88">
        <f t="shared" si="87"/>
        <v>16705</v>
      </c>
      <c r="AC389" s="109">
        <f t="shared" ref="AC389:AC390" si="90">AB389*intir</f>
        <v>1503.45</v>
      </c>
      <c r="AD389" s="109">
        <f t="shared" si="76"/>
        <v>400.92</v>
      </c>
      <c r="AE389" s="109">
        <f t="shared" si="88"/>
        <v>3103.7033333333334</v>
      </c>
      <c r="AF389" s="73">
        <f t="shared" si="89"/>
        <v>31.037033333333333</v>
      </c>
    </row>
    <row r="390" spans="1:32" x14ac:dyDescent="0.25">
      <c r="A390" s="102">
        <v>311</v>
      </c>
      <c r="B390" s="68" t="str">
        <f t="shared" si="77"/>
        <v>3.79, Subsoiler low-till 8 shank</v>
      </c>
      <c r="C390" s="103">
        <v>3.79</v>
      </c>
      <c r="D390" s="68" t="s">
        <v>151</v>
      </c>
      <c r="E390" s="68" t="s">
        <v>345</v>
      </c>
      <c r="F390" s="68" t="s">
        <v>347</v>
      </c>
      <c r="G390" s="68" t="str">
        <f t="shared" si="78"/>
        <v>Subsoiler low-till 8 shank</v>
      </c>
      <c r="H390" s="85">
        <v>28200</v>
      </c>
      <c r="I390" s="221">
        <v>26.7</v>
      </c>
      <c r="J390" s="221">
        <v>4.75</v>
      </c>
      <c r="K390" s="221">
        <v>85</v>
      </c>
      <c r="L390" s="86">
        <f t="shared" si="79"/>
        <v>7.6529724840852964E-2</v>
      </c>
      <c r="M390" s="221">
        <v>30</v>
      </c>
      <c r="N390" s="221">
        <v>50</v>
      </c>
      <c r="O390" s="221">
        <v>15</v>
      </c>
      <c r="P390" s="221">
        <v>100</v>
      </c>
      <c r="Q390" s="221">
        <v>0</v>
      </c>
      <c r="R390" s="104">
        <f t="shared" si="80"/>
        <v>1500</v>
      </c>
      <c r="S390" s="104">
        <v>1</v>
      </c>
      <c r="T390" s="104">
        <v>0.27</v>
      </c>
      <c r="U390" s="104">
        <v>1.4</v>
      </c>
      <c r="V390" s="219">
        <f t="shared" si="81"/>
        <v>303.11879965943302</v>
      </c>
      <c r="W390" s="106">
        <f t="shared" si="82"/>
        <v>3.0311879965943302</v>
      </c>
      <c r="X390" s="107">
        <f t="shared" si="83"/>
        <v>940</v>
      </c>
      <c r="Y390" s="108">
        <f t="shared" si="84"/>
        <v>9.4</v>
      </c>
      <c r="Z390" s="88">
        <f t="shared" si="85"/>
        <v>8460</v>
      </c>
      <c r="AA390" s="88">
        <f t="shared" si="86"/>
        <v>1316</v>
      </c>
      <c r="AB390" s="88">
        <f t="shared" si="87"/>
        <v>18330</v>
      </c>
      <c r="AC390" s="109">
        <f t="shared" si="90"/>
        <v>1649.7</v>
      </c>
      <c r="AD390" s="109">
        <f t="shared" si="76"/>
        <v>439.92</v>
      </c>
      <c r="AE390" s="109">
        <f t="shared" si="88"/>
        <v>3405.62</v>
      </c>
      <c r="AF390" s="73">
        <f t="shared" si="89"/>
        <v>34.056199999999997</v>
      </c>
    </row>
    <row r="391" spans="1:32" x14ac:dyDescent="0.25">
      <c r="C391" s="103"/>
      <c r="H391" s="85"/>
      <c r="L391" s="86"/>
      <c r="V391" s="87"/>
      <c r="X391" s="88"/>
      <c r="AC391" s="109"/>
      <c r="AD391" s="109"/>
    </row>
    <row r="392" spans="1:32" x14ac:dyDescent="0.25">
      <c r="C392" s="103"/>
      <c r="H392" s="85"/>
      <c r="L392" s="86"/>
      <c r="V392" s="87"/>
      <c r="X392" s="88"/>
      <c r="AC392" s="109"/>
      <c r="AD392" s="109"/>
    </row>
    <row r="393" spans="1:32" x14ac:dyDescent="0.25">
      <c r="B393" s="68" t="str">
        <f t="shared" ref="B393:B412" si="91">CONCATENATE(C393,D393,E393,F393)</f>
        <v>10.01, Hay Baler Lg Round</v>
      </c>
      <c r="C393" s="103">
        <v>10.01</v>
      </c>
      <c r="D393" s="68" t="s">
        <v>151</v>
      </c>
      <c r="E393" s="68" t="s">
        <v>348</v>
      </c>
      <c r="F393" s="68" t="s">
        <v>349</v>
      </c>
      <c r="G393" s="68" t="str">
        <f t="shared" ref="G393:G412" si="92">CONCATENATE(E393,F393)</f>
        <v>Hay Baler Lg Round</v>
      </c>
      <c r="H393" s="85">
        <v>66200</v>
      </c>
      <c r="I393" s="68">
        <v>12</v>
      </c>
      <c r="J393" s="68">
        <v>5</v>
      </c>
      <c r="K393" s="68">
        <v>65</v>
      </c>
      <c r="L393" s="86">
        <f t="shared" ref="L393:L412" si="93">1/((I393*J393*K393/100*5280)/43560)</f>
        <v>0.21153846153846154</v>
      </c>
      <c r="M393" s="68">
        <v>15</v>
      </c>
      <c r="N393" s="68">
        <v>90</v>
      </c>
      <c r="O393" s="68">
        <v>8</v>
      </c>
      <c r="P393" s="68">
        <v>200</v>
      </c>
      <c r="Q393" s="68">
        <v>0</v>
      </c>
      <c r="R393" s="104">
        <f t="shared" ref="R393:R412" si="94">P393*O393</f>
        <v>1600</v>
      </c>
      <c r="S393" s="104">
        <v>1</v>
      </c>
      <c r="T393" s="104">
        <v>0.43</v>
      </c>
      <c r="U393" s="104">
        <v>1.8</v>
      </c>
      <c r="V393" s="105">
        <f t="shared" ref="V393:V412" si="95">(T393*H393)*((S393*P393/1000)^U393)</f>
        <v>1571.0153817261976</v>
      </c>
      <c r="W393" s="106">
        <f t="shared" ref="W393:W412" si="96">V393/P393</f>
        <v>7.8550769086309877</v>
      </c>
      <c r="X393" s="107">
        <f t="shared" ref="X393:X412" si="97">(H393*N393/100)/O393</f>
        <v>7447.5</v>
      </c>
      <c r="Y393" s="108">
        <f t="shared" ref="Y393:Y412" si="98">X393/P393</f>
        <v>37.237499999999997</v>
      </c>
      <c r="Z393" s="88">
        <f t="shared" ref="Z393:Z412" si="99">H393*M393/100</f>
        <v>9930</v>
      </c>
      <c r="AA393" s="88">
        <f t="shared" ref="AA393:AA412" si="100">(H393-Z393)/O393</f>
        <v>7033.75</v>
      </c>
      <c r="AB393" s="88">
        <f t="shared" ref="AB393:AB412" si="101">(Z393+H393)/2</f>
        <v>38065</v>
      </c>
      <c r="AC393" s="109">
        <f t="shared" ref="AC393:AC412" si="102">AB393*intir</f>
        <v>3425.85</v>
      </c>
      <c r="AD393" s="109">
        <f t="shared" ref="AD393:AD412" si="103">AB393*itr</f>
        <v>913.56000000000006</v>
      </c>
      <c r="AE393" s="109">
        <f t="shared" ref="AE393:AE412" si="104">AA393+AC393+AD393</f>
        <v>11373.16</v>
      </c>
      <c r="AF393" s="73">
        <f t="shared" ref="AF393:AF412" si="105">AE393/P393</f>
        <v>56.8658</v>
      </c>
    </row>
    <row r="394" spans="1:32" x14ac:dyDescent="0.25">
      <c r="B394" s="68" t="str">
        <f t="shared" si="91"/>
        <v>10.02, Hay Baler Med Rnd</v>
      </c>
      <c r="C394" s="103">
        <v>10.02</v>
      </c>
      <c r="D394" s="68" t="s">
        <v>151</v>
      </c>
      <c r="E394" s="68" t="s">
        <v>348</v>
      </c>
      <c r="F394" s="68" t="s">
        <v>350</v>
      </c>
      <c r="G394" s="68" t="str">
        <f t="shared" si="92"/>
        <v>Hay Baler Med Rnd</v>
      </c>
      <c r="H394" s="85">
        <v>46700</v>
      </c>
      <c r="I394" s="68">
        <v>12</v>
      </c>
      <c r="J394" s="68">
        <v>5</v>
      </c>
      <c r="K394" s="68">
        <v>65</v>
      </c>
      <c r="L394" s="86">
        <f t="shared" si="93"/>
        <v>0.21153846153846154</v>
      </c>
      <c r="M394" s="68">
        <v>15</v>
      </c>
      <c r="N394" s="68">
        <v>90</v>
      </c>
      <c r="O394" s="68">
        <v>8</v>
      </c>
      <c r="P394" s="68">
        <v>200</v>
      </c>
      <c r="Q394" s="68">
        <v>0</v>
      </c>
      <c r="R394" s="104">
        <f t="shared" si="94"/>
        <v>1600</v>
      </c>
      <c r="S394" s="104">
        <v>1</v>
      </c>
      <c r="T394" s="104">
        <f>AVERAGE(T393,T395)</f>
        <v>0.33</v>
      </c>
      <c r="U394" s="104">
        <v>1.8</v>
      </c>
      <c r="V394" s="105">
        <f t="shared" si="95"/>
        <v>850.52055251115121</v>
      </c>
      <c r="W394" s="106">
        <f t="shared" si="96"/>
        <v>4.2526027625557559</v>
      </c>
      <c r="X394" s="107">
        <f t="shared" si="97"/>
        <v>5253.75</v>
      </c>
      <c r="Y394" s="108">
        <f t="shared" si="98"/>
        <v>26.268750000000001</v>
      </c>
      <c r="Z394" s="88">
        <f t="shared" si="99"/>
        <v>7005</v>
      </c>
      <c r="AA394" s="88">
        <f t="shared" si="100"/>
        <v>4961.875</v>
      </c>
      <c r="AB394" s="88">
        <f t="shared" si="101"/>
        <v>26852.5</v>
      </c>
      <c r="AC394" s="109">
        <f t="shared" si="102"/>
        <v>2416.7249999999999</v>
      </c>
      <c r="AD394" s="109">
        <f t="shared" si="103"/>
        <v>644.46</v>
      </c>
      <c r="AE394" s="109">
        <f t="shared" si="104"/>
        <v>8023.06</v>
      </c>
      <c r="AF394" s="73">
        <f t="shared" si="105"/>
        <v>40.115300000000005</v>
      </c>
    </row>
    <row r="395" spans="1:32" x14ac:dyDescent="0.25">
      <c r="B395" s="68" t="str">
        <f t="shared" si="91"/>
        <v>10.03, Hay Baler Square</v>
      </c>
      <c r="C395" s="103">
        <v>10.029999999999999</v>
      </c>
      <c r="D395" s="68" t="s">
        <v>151</v>
      </c>
      <c r="E395" s="68" t="s">
        <v>348</v>
      </c>
      <c r="F395" s="68" t="s">
        <v>351</v>
      </c>
      <c r="G395" s="68" t="str">
        <f t="shared" si="92"/>
        <v>Hay Baler Square</v>
      </c>
      <c r="H395" s="85">
        <v>37000</v>
      </c>
      <c r="I395" s="68">
        <v>12</v>
      </c>
      <c r="J395" s="68">
        <v>4</v>
      </c>
      <c r="K395" s="68">
        <v>75</v>
      </c>
      <c r="L395" s="86">
        <f t="shared" si="93"/>
        <v>0.22916666666666669</v>
      </c>
      <c r="M395" s="68">
        <v>15</v>
      </c>
      <c r="N395" s="68">
        <v>80</v>
      </c>
      <c r="O395" s="68">
        <v>8</v>
      </c>
      <c r="P395" s="68">
        <v>200</v>
      </c>
      <c r="Q395" s="68">
        <v>0</v>
      </c>
      <c r="R395" s="104">
        <f t="shared" si="94"/>
        <v>1600</v>
      </c>
      <c r="S395" s="104">
        <v>1</v>
      </c>
      <c r="T395" s="104">
        <v>0.23</v>
      </c>
      <c r="U395" s="104">
        <v>1.8</v>
      </c>
      <c r="V395" s="105">
        <f t="shared" si="95"/>
        <v>469.6599767613975</v>
      </c>
      <c r="W395" s="106">
        <f t="shared" si="96"/>
        <v>2.3482998838069875</v>
      </c>
      <c r="X395" s="107">
        <f t="shared" si="97"/>
        <v>3700</v>
      </c>
      <c r="Y395" s="108">
        <f t="shared" si="98"/>
        <v>18.5</v>
      </c>
      <c r="Z395" s="88">
        <f t="shared" si="99"/>
        <v>5550</v>
      </c>
      <c r="AA395" s="88">
        <f t="shared" si="100"/>
        <v>3931.25</v>
      </c>
      <c r="AB395" s="88">
        <f t="shared" si="101"/>
        <v>21275</v>
      </c>
      <c r="AC395" s="109">
        <f t="shared" si="102"/>
        <v>1914.75</v>
      </c>
      <c r="AD395" s="109">
        <f t="shared" si="103"/>
        <v>510.6</v>
      </c>
      <c r="AE395" s="109">
        <f t="shared" si="104"/>
        <v>6356.6</v>
      </c>
      <c r="AF395" s="73">
        <f t="shared" si="105"/>
        <v>31.783000000000001</v>
      </c>
    </row>
    <row r="396" spans="1:32" x14ac:dyDescent="0.25">
      <c r="B396" s="68" t="str">
        <f t="shared" si="91"/>
        <v>11.01, Hay Cut-Cond 9'</v>
      </c>
      <c r="C396" s="103">
        <v>11.01</v>
      </c>
      <c r="D396" s="68" t="s">
        <v>151</v>
      </c>
      <c r="E396" s="68" t="s">
        <v>352</v>
      </c>
      <c r="F396" s="68" t="s">
        <v>353</v>
      </c>
      <c r="G396" s="68" t="str">
        <f t="shared" si="92"/>
        <v>Hay Cut-Cond 9'</v>
      </c>
      <c r="H396" s="85">
        <v>35800</v>
      </c>
      <c r="I396" s="68">
        <v>9</v>
      </c>
      <c r="J396" s="68">
        <v>5</v>
      </c>
      <c r="K396" s="68">
        <v>80</v>
      </c>
      <c r="L396" s="86">
        <f t="shared" si="93"/>
        <v>0.22916666666666669</v>
      </c>
      <c r="M396" s="68">
        <v>15</v>
      </c>
      <c r="N396" s="68">
        <v>100</v>
      </c>
      <c r="O396" s="68">
        <v>8</v>
      </c>
      <c r="P396" s="68">
        <v>200</v>
      </c>
      <c r="Q396" s="68">
        <v>0</v>
      </c>
      <c r="R396" s="104">
        <f t="shared" si="94"/>
        <v>1600</v>
      </c>
      <c r="S396" s="104">
        <v>1</v>
      </c>
      <c r="T396" s="104">
        <v>0.18</v>
      </c>
      <c r="U396" s="104">
        <v>1.6</v>
      </c>
      <c r="V396" s="105">
        <f t="shared" si="95"/>
        <v>490.68583924340476</v>
      </c>
      <c r="W396" s="106">
        <f t="shared" si="96"/>
        <v>2.4534291962170238</v>
      </c>
      <c r="X396" s="107">
        <f t="shared" si="97"/>
        <v>4475</v>
      </c>
      <c r="Y396" s="108">
        <f t="shared" si="98"/>
        <v>22.375</v>
      </c>
      <c r="Z396" s="88">
        <f t="shared" si="99"/>
        <v>5370</v>
      </c>
      <c r="AA396" s="88">
        <f t="shared" si="100"/>
        <v>3803.75</v>
      </c>
      <c r="AB396" s="88">
        <f t="shared" si="101"/>
        <v>20585</v>
      </c>
      <c r="AC396" s="109">
        <f t="shared" si="102"/>
        <v>1852.6499999999999</v>
      </c>
      <c r="AD396" s="109">
        <f t="shared" si="103"/>
        <v>494.04</v>
      </c>
      <c r="AE396" s="109">
        <f t="shared" si="104"/>
        <v>6150.44</v>
      </c>
      <c r="AF396" s="73">
        <f t="shared" si="105"/>
        <v>30.752199999999998</v>
      </c>
    </row>
    <row r="397" spans="1:32" x14ac:dyDescent="0.25">
      <c r="B397" s="68" t="str">
        <f t="shared" si="91"/>
        <v>11.02, Hay Cut-Cond 12'</v>
      </c>
      <c r="C397" s="103">
        <v>11.02</v>
      </c>
      <c r="D397" s="68" t="s">
        <v>151</v>
      </c>
      <c r="E397" s="68" t="s">
        <v>352</v>
      </c>
      <c r="F397" s="68" t="s">
        <v>231</v>
      </c>
      <c r="G397" s="68" t="str">
        <f t="shared" si="92"/>
        <v>Hay Cut-Cond 12'</v>
      </c>
      <c r="H397" s="85">
        <v>47300</v>
      </c>
      <c r="I397" s="68">
        <v>12</v>
      </c>
      <c r="J397" s="68">
        <v>5</v>
      </c>
      <c r="K397" s="68">
        <v>80</v>
      </c>
      <c r="L397" s="86">
        <f t="shared" si="93"/>
        <v>0.171875</v>
      </c>
      <c r="M397" s="68">
        <v>15</v>
      </c>
      <c r="N397" s="68">
        <v>100</v>
      </c>
      <c r="O397" s="68">
        <v>8</v>
      </c>
      <c r="P397" s="68">
        <v>200</v>
      </c>
      <c r="Q397" s="68">
        <v>0</v>
      </c>
      <c r="R397" s="104">
        <f t="shared" si="94"/>
        <v>1600</v>
      </c>
      <c r="S397" s="104">
        <v>1</v>
      </c>
      <c r="T397" s="104">
        <v>0.18</v>
      </c>
      <c r="U397" s="104">
        <v>1.6</v>
      </c>
      <c r="V397" s="105">
        <f t="shared" si="95"/>
        <v>648.30838536907947</v>
      </c>
      <c r="W397" s="106">
        <f t="shared" si="96"/>
        <v>3.2415419268453975</v>
      </c>
      <c r="X397" s="107">
        <f t="shared" si="97"/>
        <v>5912.5</v>
      </c>
      <c r="Y397" s="108">
        <f t="shared" si="98"/>
        <v>29.5625</v>
      </c>
      <c r="Z397" s="88">
        <f t="shared" si="99"/>
        <v>7095</v>
      </c>
      <c r="AA397" s="88">
        <f t="shared" si="100"/>
        <v>5025.625</v>
      </c>
      <c r="AB397" s="88">
        <f t="shared" si="101"/>
        <v>27197.5</v>
      </c>
      <c r="AC397" s="109">
        <f t="shared" si="102"/>
        <v>2447.7750000000001</v>
      </c>
      <c r="AD397" s="109">
        <f t="shared" si="103"/>
        <v>652.74</v>
      </c>
      <c r="AE397" s="109">
        <f t="shared" si="104"/>
        <v>8126.1399999999994</v>
      </c>
      <c r="AF397" s="73">
        <f t="shared" si="105"/>
        <v>40.630699999999997</v>
      </c>
    </row>
    <row r="398" spans="1:32" x14ac:dyDescent="0.25">
      <c r="B398" s="68" t="str">
        <f t="shared" si="91"/>
        <v>12.01, Hay Disc Mower 8'</v>
      </c>
      <c r="C398" s="103">
        <v>12.01</v>
      </c>
      <c r="D398" s="68" t="s">
        <v>151</v>
      </c>
      <c r="E398" s="68" t="s">
        <v>354</v>
      </c>
      <c r="F398" s="68" t="s">
        <v>355</v>
      </c>
      <c r="G398" s="68" t="str">
        <f t="shared" si="92"/>
        <v>Hay Disc Mower 8'</v>
      </c>
      <c r="H398" s="85">
        <v>15000</v>
      </c>
      <c r="I398" s="68">
        <v>8</v>
      </c>
      <c r="J398" s="68">
        <v>5</v>
      </c>
      <c r="K398" s="68">
        <v>80</v>
      </c>
      <c r="L398" s="86">
        <f t="shared" si="93"/>
        <v>0.2578125</v>
      </c>
      <c r="M398" s="68">
        <v>15</v>
      </c>
      <c r="N398" s="68">
        <v>100</v>
      </c>
      <c r="O398" s="68">
        <v>8</v>
      </c>
      <c r="P398" s="68">
        <v>200</v>
      </c>
      <c r="Q398" s="68">
        <v>0</v>
      </c>
      <c r="R398" s="104">
        <f t="shared" si="94"/>
        <v>1600</v>
      </c>
      <c r="S398" s="104">
        <v>1</v>
      </c>
      <c r="T398" s="104">
        <v>0.46</v>
      </c>
      <c r="U398" s="104">
        <v>1.7</v>
      </c>
      <c r="V398" s="105">
        <f t="shared" si="95"/>
        <v>447.3012206872026</v>
      </c>
      <c r="W398" s="106">
        <f t="shared" si="96"/>
        <v>2.236506103436013</v>
      </c>
      <c r="X398" s="107">
        <f t="shared" si="97"/>
        <v>1875</v>
      </c>
      <c r="Y398" s="108">
        <f t="shared" si="98"/>
        <v>9.375</v>
      </c>
      <c r="Z398" s="88">
        <f t="shared" si="99"/>
        <v>2250</v>
      </c>
      <c r="AA398" s="88">
        <f t="shared" si="100"/>
        <v>1593.75</v>
      </c>
      <c r="AB398" s="88">
        <f t="shared" si="101"/>
        <v>8625</v>
      </c>
      <c r="AC398" s="109">
        <f t="shared" si="102"/>
        <v>776.25</v>
      </c>
      <c r="AD398" s="109">
        <f t="shared" si="103"/>
        <v>207</v>
      </c>
      <c r="AE398" s="109">
        <f t="shared" si="104"/>
        <v>2577</v>
      </c>
      <c r="AF398" s="73">
        <f t="shared" si="105"/>
        <v>12.885</v>
      </c>
    </row>
    <row r="399" spans="1:32" x14ac:dyDescent="0.25">
      <c r="B399" s="68" t="str">
        <f t="shared" si="91"/>
        <v>12.02, Hay Disc Mower 10'</v>
      </c>
      <c r="C399" s="103">
        <v>12.02</v>
      </c>
      <c r="D399" s="68" t="s">
        <v>151</v>
      </c>
      <c r="E399" s="68" t="s">
        <v>354</v>
      </c>
      <c r="F399" s="68" t="s">
        <v>203</v>
      </c>
      <c r="G399" s="68" t="str">
        <f t="shared" si="92"/>
        <v>Hay Disc Mower 10'</v>
      </c>
      <c r="H399" s="85">
        <v>17300</v>
      </c>
      <c r="I399" s="68">
        <v>10</v>
      </c>
      <c r="J399" s="68">
        <v>5</v>
      </c>
      <c r="K399" s="68">
        <v>80</v>
      </c>
      <c r="L399" s="86">
        <f t="shared" si="93"/>
        <v>0.20624999999999999</v>
      </c>
      <c r="M399" s="68">
        <v>15</v>
      </c>
      <c r="N399" s="68">
        <v>100</v>
      </c>
      <c r="O399" s="68">
        <v>8</v>
      </c>
      <c r="P399" s="68">
        <v>200</v>
      </c>
      <c r="Q399" s="68">
        <v>0</v>
      </c>
      <c r="R399" s="104">
        <f t="shared" si="94"/>
        <v>1600</v>
      </c>
      <c r="S399" s="104">
        <v>1</v>
      </c>
      <c r="T399" s="104">
        <v>0.46</v>
      </c>
      <c r="U399" s="104">
        <v>1.7</v>
      </c>
      <c r="V399" s="105">
        <f t="shared" si="95"/>
        <v>515.8874078592404</v>
      </c>
      <c r="W399" s="106">
        <f t="shared" si="96"/>
        <v>2.5794370392962018</v>
      </c>
      <c r="X399" s="107">
        <f t="shared" si="97"/>
        <v>2162.5</v>
      </c>
      <c r="Y399" s="108">
        <f t="shared" si="98"/>
        <v>10.8125</v>
      </c>
      <c r="Z399" s="88">
        <f t="shared" si="99"/>
        <v>2595</v>
      </c>
      <c r="AA399" s="88">
        <f t="shared" si="100"/>
        <v>1838.125</v>
      </c>
      <c r="AB399" s="88">
        <f t="shared" si="101"/>
        <v>9947.5</v>
      </c>
      <c r="AC399" s="109">
        <f t="shared" si="102"/>
        <v>895.27499999999998</v>
      </c>
      <c r="AD399" s="109">
        <f t="shared" si="103"/>
        <v>238.74</v>
      </c>
      <c r="AE399" s="109">
        <f t="shared" si="104"/>
        <v>2972.1400000000003</v>
      </c>
      <c r="AF399" s="73">
        <f t="shared" si="105"/>
        <v>14.860700000000001</v>
      </c>
    </row>
    <row r="400" spans="1:32" x14ac:dyDescent="0.25">
      <c r="B400" s="68" t="str">
        <f t="shared" si="91"/>
        <v>13.01, Hay Mover 1B Lift</v>
      </c>
      <c r="C400" s="103">
        <v>13.01</v>
      </c>
      <c r="D400" s="68" t="s">
        <v>151</v>
      </c>
      <c r="E400" s="68" t="s">
        <v>356</v>
      </c>
      <c r="F400" s="68" t="s">
        <v>357</v>
      </c>
      <c r="G400" s="68" t="str">
        <f t="shared" si="92"/>
        <v>Hay Mover 1B Lift</v>
      </c>
      <c r="H400" s="85">
        <v>680</v>
      </c>
      <c r="L400" s="86">
        <v>0.3</v>
      </c>
      <c r="M400" s="68">
        <v>15</v>
      </c>
      <c r="N400" s="68">
        <v>50</v>
      </c>
      <c r="O400" s="68">
        <v>10</v>
      </c>
      <c r="P400" s="68">
        <v>200</v>
      </c>
      <c r="Q400" s="68">
        <v>0</v>
      </c>
      <c r="R400" s="104">
        <f t="shared" si="94"/>
        <v>2000</v>
      </c>
      <c r="S400" s="104">
        <v>1</v>
      </c>
      <c r="T400" s="104"/>
      <c r="U400" s="104"/>
      <c r="V400" s="105">
        <f t="shared" si="95"/>
        <v>0</v>
      </c>
      <c r="W400" s="106">
        <f t="shared" si="96"/>
        <v>0</v>
      </c>
      <c r="X400" s="107">
        <f t="shared" si="97"/>
        <v>34</v>
      </c>
      <c r="Y400" s="108">
        <f t="shared" si="98"/>
        <v>0.17</v>
      </c>
      <c r="Z400" s="88">
        <f t="shared" si="99"/>
        <v>102</v>
      </c>
      <c r="AA400" s="88">
        <f t="shared" si="100"/>
        <v>57.8</v>
      </c>
      <c r="AB400" s="88">
        <f t="shared" si="101"/>
        <v>391</v>
      </c>
      <c r="AC400" s="109">
        <f t="shared" si="102"/>
        <v>35.19</v>
      </c>
      <c r="AD400" s="109">
        <f t="shared" si="103"/>
        <v>9.3840000000000003</v>
      </c>
      <c r="AE400" s="109">
        <f t="shared" si="104"/>
        <v>102.374</v>
      </c>
      <c r="AF400" s="73">
        <f t="shared" si="105"/>
        <v>0.51186999999999994</v>
      </c>
    </row>
    <row r="401" spans="2:32" x14ac:dyDescent="0.25">
      <c r="B401" s="68" t="str">
        <f t="shared" si="91"/>
        <v>13.02, Front Loader .5 yd</v>
      </c>
      <c r="C401" s="103">
        <v>13.02</v>
      </c>
      <c r="D401" s="68" t="s">
        <v>151</v>
      </c>
      <c r="E401" s="68" t="s">
        <v>358</v>
      </c>
      <c r="F401" s="68" t="s">
        <v>359</v>
      </c>
      <c r="G401" s="68" t="str">
        <f t="shared" si="92"/>
        <v>Front Loader .5 yd</v>
      </c>
      <c r="H401" s="85">
        <v>6880</v>
      </c>
      <c r="L401" s="86">
        <v>0.12</v>
      </c>
      <c r="M401" s="68">
        <v>15</v>
      </c>
      <c r="N401" s="68">
        <v>60</v>
      </c>
      <c r="O401" s="68">
        <v>10</v>
      </c>
      <c r="P401" s="68">
        <v>100</v>
      </c>
      <c r="Q401" s="68">
        <v>0</v>
      </c>
      <c r="R401" s="104">
        <f t="shared" si="94"/>
        <v>1000</v>
      </c>
      <c r="S401" s="104">
        <v>1</v>
      </c>
      <c r="T401" s="104"/>
      <c r="U401" s="104"/>
      <c r="V401" s="105">
        <f t="shared" si="95"/>
        <v>0</v>
      </c>
      <c r="W401" s="106">
        <f t="shared" si="96"/>
        <v>0</v>
      </c>
      <c r="X401" s="107">
        <f t="shared" si="97"/>
        <v>412.8</v>
      </c>
      <c r="Y401" s="108">
        <f t="shared" si="98"/>
        <v>4.1280000000000001</v>
      </c>
      <c r="Z401" s="88">
        <f t="shared" si="99"/>
        <v>1032</v>
      </c>
      <c r="AA401" s="88">
        <f t="shared" si="100"/>
        <v>584.79999999999995</v>
      </c>
      <c r="AB401" s="88">
        <f t="shared" si="101"/>
        <v>3956</v>
      </c>
      <c r="AC401" s="109">
        <f t="shared" si="102"/>
        <v>356.03999999999996</v>
      </c>
      <c r="AD401" s="109">
        <f t="shared" si="103"/>
        <v>94.944000000000003</v>
      </c>
      <c r="AE401" s="109">
        <f t="shared" si="104"/>
        <v>1035.7839999999999</v>
      </c>
      <c r="AF401" s="73">
        <f t="shared" si="105"/>
        <v>10.357839999999999</v>
      </c>
    </row>
    <row r="402" spans="2:32" x14ac:dyDescent="0.25">
      <c r="B402" s="68" t="str">
        <f t="shared" si="91"/>
        <v>13.03, Hay Trailer 20'</v>
      </c>
      <c r="C402" s="103">
        <v>13.03</v>
      </c>
      <c r="D402" s="68" t="s">
        <v>151</v>
      </c>
      <c r="E402" s="68" t="s">
        <v>360</v>
      </c>
      <c r="F402" s="68" t="s">
        <v>205</v>
      </c>
      <c r="G402" s="68" t="str">
        <f t="shared" si="92"/>
        <v>Hay Trailer 20'</v>
      </c>
      <c r="H402" s="85">
        <v>4840</v>
      </c>
      <c r="L402" s="86">
        <v>0.09</v>
      </c>
      <c r="M402" s="68">
        <v>15</v>
      </c>
      <c r="N402" s="68">
        <v>80</v>
      </c>
      <c r="O402" s="68">
        <v>15</v>
      </c>
      <c r="P402" s="68">
        <v>200</v>
      </c>
      <c r="Q402" s="68">
        <v>0</v>
      </c>
      <c r="R402" s="104">
        <f t="shared" si="94"/>
        <v>3000</v>
      </c>
      <c r="S402" s="104">
        <v>1</v>
      </c>
      <c r="T402" s="104"/>
      <c r="U402" s="104"/>
      <c r="V402" s="105">
        <f t="shared" si="95"/>
        <v>0</v>
      </c>
      <c r="W402" s="106">
        <f t="shared" si="96"/>
        <v>0</v>
      </c>
      <c r="X402" s="107">
        <f t="shared" si="97"/>
        <v>258.13333333333333</v>
      </c>
      <c r="Y402" s="108">
        <f t="shared" si="98"/>
        <v>1.2906666666666666</v>
      </c>
      <c r="Z402" s="88">
        <f t="shared" si="99"/>
        <v>726</v>
      </c>
      <c r="AA402" s="88">
        <f t="shared" si="100"/>
        <v>274.26666666666665</v>
      </c>
      <c r="AB402" s="88">
        <f t="shared" si="101"/>
        <v>2783</v>
      </c>
      <c r="AC402" s="109">
        <f t="shared" si="102"/>
        <v>250.47</v>
      </c>
      <c r="AD402" s="109">
        <f t="shared" si="103"/>
        <v>66.792000000000002</v>
      </c>
      <c r="AE402" s="109">
        <f t="shared" si="104"/>
        <v>591.52866666666671</v>
      </c>
      <c r="AF402" s="73">
        <f t="shared" si="105"/>
        <v>2.9576433333333334</v>
      </c>
    </row>
    <row r="403" spans="2:32" x14ac:dyDescent="0.25">
      <c r="B403" s="68" t="str">
        <f t="shared" si="91"/>
        <v>14.01, Hay Rake 8.5'</v>
      </c>
      <c r="C403" s="103">
        <v>14.01</v>
      </c>
      <c r="D403" s="68" t="s">
        <v>151</v>
      </c>
      <c r="E403" s="68" t="s">
        <v>361</v>
      </c>
      <c r="F403" s="68" t="s">
        <v>362</v>
      </c>
      <c r="G403" s="68" t="str">
        <f t="shared" si="92"/>
        <v>Hay Rake 8.5'</v>
      </c>
      <c r="H403" s="85">
        <v>8340</v>
      </c>
      <c r="I403" s="68">
        <v>8.5</v>
      </c>
      <c r="J403" s="68">
        <v>6</v>
      </c>
      <c r="K403" s="68">
        <v>80</v>
      </c>
      <c r="L403" s="86">
        <f t="shared" si="93"/>
        <v>0.20220588235294121</v>
      </c>
      <c r="M403" s="68">
        <v>15</v>
      </c>
      <c r="N403" s="68">
        <v>80</v>
      </c>
      <c r="O403" s="68">
        <v>8</v>
      </c>
      <c r="P403" s="68">
        <v>200</v>
      </c>
      <c r="Q403" s="68">
        <v>0</v>
      </c>
      <c r="R403" s="104">
        <f t="shared" si="94"/>
        <v>1600</v>
      </c>
      <c r="S403" s="104">
        <v>1</v>
      </c>
      <c r="T403" s="104">
        <v>0.17</v>
      </c>
      <c r="U403" s="104">
        <v>1.4</v>
      </c>
      <c r="V403" s="105">
        <f t="shared" si="95"/>
        <v>148.95564484334648</v>
      </c>
      <c r="W403" s="106">
        <f t="shared" si="96"/>
        <v>0.74477822421673234</v>
      </c>
      <c r="X403" s="107">
        <f t="shared" si="97"/>
        <v>834</v>
      </c>
      <c r="Y403" s="108">
        <f t="shared" si="98"/>
        <v>4.17</v>
      </c>
      <c r="Z403" s="88">
        <f t="shared" si="99"/>
        <v>1251</v>
      </c>
      <c r="AA403" s="88">
        <f t="shared" si="100"/>
        <v>886.125</v>
      </c>
      <c r="AB403" s="88">
        <f t="shared" si="101"/>
        <v>4795.5</v>
      </c>
      <c r="AC403" s="109">
        <f t="shared" si="102"/>
        <v>431.59499999999997</v>
      </c>
      <c r="AD403" s="109">
        <f t="shared" si="103"/>
        <v>115.092</v>
      </c>
      <c r="AE403" s="109">
        <f t="shared" si="104"/>
        <v>1432.8120000000001</v>
      </c>
      <c r="AF403" s="73">
        <f t="shared" si="105"/>
        <v>7.164060000000001</v>
      </c>
    </row>
    <row r="404" spans="2:32" x14ac:dyDescent="0.25">
      <c r="B404" s="68" t="str">
        <f t="shared" si="91"/>
        <v>14.02, Hay Rake 17'</v>
      </c>
      <c r="C404" s="103">
        <v>14.02</v>
      </c>
      <c r="D404" s="68" t="s">
        <v>151</v>
      </c>
      <c r="E404" s="68" t="s">
        <v>361</v>
      </c>
      <c r="F404" s="68" t="s">
        <v>363</v>
      </c>
      <c r="G404" s="68" t="str">
        <f t="shared" si="92"/>
        <v>Hay Rake 17'</v>
      </c>
      <c r="H404" s="85">
        <v>8100</v>
      </c>
      <c r="I404" s="68">
        <v>17</v>
      </c>
      <c r="J404" s="68">
        <v>6</v>
      </c>
      <c r="K404" s="68">
        <v>80</v>
      </c>
      <c r="L404" s="86">
        <f t="shared" si="93"/>
        <v>0.1011029411764706</v>
      </c>
      <c r="M404" s="68">
        <v>15</v>
      </c>
      <c r="N404" s="68">
        <v>80</v>
      </c>
      <c r="O404" s="68">
        <v>8</v>
      </c>
      <c r="P404" s="68">
        <v>200</v>
      </c>
      <c r="Q404" s="68">
        <v>0</v>
      </c>
      <c r="R404" s="104">
        <f t="shared" si="94"/>
        <v>1600</v>
      </c>
      <c r="S404" s="104">
        <v>1</v>
      </c>
      <c r="T404" s="104">
        <v>0.17</v>
      </c>
      <c r="U404" s="104">
        <v>1.4</v>
      </c>
      <c r="V404" s="105">
        <f t="shared" si="95"/>
        <v>144.66915146655953</v>
      </c>
      <c r="W404" s="106">
        <f t="shared" si="96"/>
        <v>0.7233457573327976</v>
      </c>
      <c r="X404" s="107">
        <f t="shared" si="97"/>
        <v>810</v>
      </c>
      <c r="Y404" s="108">
        <f t="shared" si="98"/>
        <v>4.05</v>
      </c>
      <c r="Z404" s="88">
        <f t="shared" si="99"/>
        <v>1215</v>
      </c>
      <c r="AA404" s="88">
        <f t="shared" si="100"/>
        <v>860.625</v>
      </c>
      <c r="AB404" s="88">
        <f t="shared" si="101"/>
        <v>4657.5</v>
      </c>
      <c r="AC404" s="109">
        <f t="shared" si="102"/>
        <v>419.17500000000001</v>
      </c>
      <c r="AD404" s="109">
        <f t="shared" si="103"/>
        <v>111.78</v>
      </c>
      <c r="AE404" s="109">
        <f t="shared" si="104"/>
        <v>1391.58</v>
      </c>
      <c r="AF404" s="73">
        <f t="shared" si="105"/>
        <v>6.9578999999999995</v>
      </c>
    </row>
    <row r="405" spans="2:32" x14ac:dyDescent="0.25">
      <c r="B405" s="68" t="str">
        <f t="shared" si="91"/>
        <v>15.01, Hay Tedder 17'</v>
      </c>
      <c r="C405" s="103">
        <v>15.01</v>
      </c>
      <c r="D405" s="68" t="s">
        <v>151</v>
      </c>
      <c r="E405" s="68" t="s">
        <v>364</v>
      </c>
      <c r="F405" s="68" t="s">
        <v>363</v>
      </c>
      <c r="G405" s="68" t="str">
        <f t="shared" si="92"/>
        <v>Hay Tedder 17'</v>
      </c>
      <c r="H405" s="85">
        <v>12300</v>
      </c>
      <c r="I405" s="68">
        <v>17</v>
      </c>
      <c r="J405" s="68">
        <v>6</v>
      </c>
      <c r="K405" s="68">
        <v>80</v>
      </c>
      <c r="L405" s="86">
        <f t="shared" si="93"/>
        <v>0.1011029411764706</v>
      </c>
      <c r="M405" s="68">
        <v>15</v>
      </c>
      <c r="N405" s="68">
        <v>80</v>
      </c>
      <c r="O405" s="68">
        <v>8</v>
      </c>
      <c r="P405" s="68">
        <v>200</v>
      </c>
      <c r="Q405" s="68">
        <v>0</v>
      </c>
      <c r="R405" s="104">
        <f t="shared" si="94"/>
        <v>1600</v>
      </c>
      <c r="S405" s="104">
        <v>1</v>
      </c>
      <c r="T405" s="104"/>
      <c r="U405" s="104"/>
      <c r="V405" s="105">
        <f t="shared" si="95"/>
        <v>0</v>
      </c>
      <c r="W405" s="106">
        <f t="shared" si="96"/>
        <v>0</v>
      </c>
      <c r="X405" s="107">
        <f t="shared" si="97"/>
        <v>1230</v>
      </c>
      <c r="Y405" s="108">
        <f t="shared" si="98"/>
        <v>6.15</v>
      </c>
      <c r="Z405" s="88">
        <f t="shared" si="99"/>
        <v>1845</v>
      </c>
      <c r="AA405" s="88">
        <f t="shared" si="100"/>
        <v>1306.875</v>
      </c>
      <c r="AB405" s="88">
        <f t="shared" si="101"/>
        <v>7072.5</v>
      </c>
      <c r="AC405" s="109">
        <f t="shared" si="102"/>
        <v>636.52499999999998</v>
      </c>
      <c r="AD405" s="109">
        <f t="shared" si="103"/>
        <v>169.74</v>
      </c>
      <c r="AE405" s="109">
        <f t="shared" si="104"/>
        <v>2113.1400000000003</v>
      </c>
      <c r="AF405" s="73">
        <f t="shared" si="105"/>
        <v>10.565700000000001</v>
      </c>
    </row>
    <row r="406" spans="2:32" x14ac:dyDescent="0.25">
      <c r="B406" s="68" t="str">
        <f t="shared" si="91"/>
        <v>16.01, Rotary Mower 7'</v>
      </c>
      <c r="C406" s="103">
        <v>16.010000000000002</v>
      </c>
      <c r="D406" s="68" t="s">
        <v>151</v>
      </c>
      <c r="E406" s="68" t="s">
        <v>365</v>
      </c>
      <c r="F406" s="68" t="s">
        <v>366</v>
      </c>
      <c r="G406" s="68" t="str">
        <f t="shared" si="92"/>
        <v>Rotary Mower 7'</v>
      </c>
      <c r="H406" s="85">
        <v>6580</v>
      </c>
      <c r="I406" s="68">
        <v>7</v>
      </c>
      <c r="J406" s="68">
        <v>8.75</v>
      </c>
      <c r="K406" s="68">
        <v>80</v>
      </c>
      <c r="L406" s="86">
        <f t="shared" si="93"/>
        <v>0.1683673469387755</v>
      </c>
      <c r="M406" s="68">
        <v>30</v>
      </c>
      <c r="N406" s="68">
        <v>150</v>
      </c>
      <c r="O406" s="68">
        <v>10</v>
      </c>
      <c r="P406" s="68">
        <v>185</v>
      </c>
      <c r="Q406" s="68">
        <v>0</v>
      </c>
      <c r="R406" s="104">
        <f t="shared" si="94"/>
        <v>1850</v>
      </c>
      <c r="S406" s="104">
        <v>1</v>
      </c>
      <c r="T406" s="104">
        <v>0.44</v>
      </c>
      <c r="U406" s="104">
        <v>2</v>
      </c>
      <c r="V406" s="105">
        <f t="shared" si="95"/>
        <v>99.088219999999993</v>
      </c>
      <c r="W406" s="106">
        <f t="shared" si="96"/>
        <v>0.53561199999999998</v>
      </c>
      <c r="X406" s="107">
        <f t="shared" si="97"/>
        <v>987</v>
      </c>
      <c r="Y406" s="108">
        <f t="shared" si="98"/>
        <v>5.3351351351351353</v>
      </c>
      <c r="Z406" s="88">
        <f t="shared" si="99"/>
        <v>1974</v>
      </c>
      <c r="AA406" s="88">
        <f t="shared" si="100"/>
        <v>460.6</v>
      </c>
      <c r="AB406" s="88">
        <f t="shared" si="101"/>
        <v>4277</v>
      </c>
      <c r="AC406" s="109">
        <f t="shared" si="102"/>
        <v>384.93</v>
      </c>
      <c r="AD406" s="109">
        <f t="shared" si="103"/>
        <v>102.648</v>
      </c>
      <c r="AE406" s="109">
        <f t="shared" si="104"/>
        <v>948.178</v>
      </c>
      <c r="AF406" s="73">
        <f t="shared" si="105"/>
        <v>5.1252864864864867</v>
      </c>
    </row>
    <row r="407" spans="2:32" x14ac:dyDescent="0.25">
      <c r="B407" s="68" t="str">
        <f t="shared" si="91"/>
        <v>16.02, Rotary Mower 12'</v>
      </c>
      <c r="C407" s="103">
        <v>16.02</v>
      </c>
      <c r="D407" s="103" t="s">
        <v>151</v>
      </c>
      <c r="E407" s="68" t="s">
        <v>365</v>
      </c>
      <c r="F407" s="68" t="s">
        <v>231</v>
      </c>
      <c r="G407" s="68" t="str">
        <f t="shared" si="92"/>
        <v>Rotary Mower 12'</v>
      </c>
      <c r="H407" s="85">
        <v>20200</v>
      </c>
      <c r="I407" s="68">
        <v>12</v>
      </c>
      <c r="J407" s="68">
        <v>8.75</v>
      </c>
      <c r="K407" s="68">
        <v>80</v>
      </c>
      <c r="L407" s="86">
        <f t="shared" si="93"/>
        <v>9.8214285714285712E-2</v>
      </c>
      <c r="M407" s="68">
        <v>30</v>
      </c>
      <c r="N407" s="68">
        <v>150</v>
      </c>
      <c r="O407" s="68">
        <v>10</v>
      </c>
      <c r="P407" s="68">
        <v>185</v>
      </c>
      <c r="Q407" s="68">
        <v>0</v>
      </c>
      <c r="R407" s="104">
        <f t="shared" si="94"/>
        <v>1850</v>
      </c>
      <c r="S407" s="104">
        <v>1</v>
      </c>
      <c r="T407" s="104">
        <v>0.44</v>
      </c>
      <c r="U407" s="104">
        <v>2</v>
      </c>
      <c r="V407" s="105">
        <f t="shared" si="95"/>
        <v>304.1918</v>
      </c>
      <c r="W407" s="106">
        <f t="shared" si="96"/>
        <v>1.64428</v>
      </c>
      <c r="X407" s="107">
        <f t="shared" si="97"/>
        <v>3030</v>
      </c>
      <c r="Y407" s="108">
        <f t="shared" si="98"/>
        <v>16.378378378378379</v>
      </c>
      <c r="Z407" s="88">
        <f t="shared" si="99"/>
        <v>6060</v>
      </c>
      <c r="AA407" s="88">
        <f t="shared" si="100"/>
        <v>1414</v>
      </c>
      <c r="AB407" s="88">
        <f t="shared" si="101"/>
        <v>13130</v>
      </c>
      <c r="AC407" s="109">
        <f t="shared" si="102"/>
        <v>1181.7</v>
      </c>
      <c r="AD407" s="109">
        <f t="shared" si="103"/>
        <v>315.12</v>
      </c>
      <c r="AE407" s="109">
        <f t="shared" si="104"/>
        <v>2910.8199999999997</v>
      </c>
      <c r="AF407" s="73">
        <f t="shared" si="105"/>
        <v>15.734162162162161</v>
      </c>
    </row>
    <row r="408" spans="2:32" x14ac:dyDescent="0.25">
      <c r="B408" s="68" t="str">
        <f t="shared" si="91"/>
        <v>16.03, Rotary Mower 15'</v>
      </c>
      <c r="C408" s="103">
        <v>16.03</v>
      </c>
      <c r="D408" s="103" t="s">
        <v>151</v>
      </c>
      <c r="E408" s="68" t="s">
        <v>365</v>
      </c>
      <c r="F408" s="68" t="s">
        <v>204</v>
      </c>
      <c r="G408" s="68" t="str">
        <f t="shared" si="92"/>
        <v>Rotary Mower 15'</v>
      </c>
      <c r="H408" s="85">
        <v>27300</v>
      </c>
      <c r="I408" s="68">
        <v>15</v>
      </c>
      <c r="J408" s="68">
        <v>8.75</v>
      </c>
      <c r="K408" s="68">
        <v>80</v>
      </c>
      <c r="L408" s="86">
        <f t="shared" si="93"/>
        <v>7.857142857142857E-2</v>
      </c>
      <c r="M408" s="68">
        <v>30</v>
      </c>
      <c r="N408" s="68">
        <v>150</v>
      </c>
      <c r="O408" s="68">
        <v>10</v>
      </c>
      <c r="P408" s="68">
        <v>185</v>
      </c>
      <c r="Q408" s="68">
        <v>0</v>
      </c>
      <c r="R408" s="104">
        <f t="shared" si="94"/>
        <v>1850</v>
      </c>
      <c r="S408" s="104">
        <v>1</v>
      </c>
      <c r="T408" s="104">
        <v>0.44</v>
      </c>
      <c r="U408" s="104">
        <v>2</v>
      </c>
      <c r="V408" s="105">
        <f t="shared" si="95"/>
        <v>411.11070000000001</v>
      </c>
      <c r="W408" s="106">
        <f t="shared" si="96"/>
        <v>2.2222200000000001</v>
      </c>
      <c r="X408" s="107">
        <f t="shared" si="97"/>
        <v>4095</v>
      </c>
      <c r="Y408" s="108">
        <f t="shared" si="98"/>
        <v>22.135135135135137</v>
      </c>
      <c r="Z408" s="88">
        <f t="shared" si="99"/>
        <v>8190</v>
      </c>
      <c r="AA408" s="88">
        <f t="shared" si="100"/>
        <v>1911</v>
      </c>
      <c r="AB408" s="88">
        <f t="shared" si="101"/>
        <v>17745</v>
      </c>
      <c r="AC408" s="109">
        <f t="shared" si="102"/>
        <v>1597.05</v>
      </c>
      <c r="AD408" s="109">
        <f t="shared" si="103"/>
        <v>425.88</v>
      </c>
      <c r="AE408" s="109">
        <f t="shared" si="104"/>
        <v>3933.9300000000003</v>
      </c>
      <c r="AF408" s="73">
        <f t="shared" si="105"/>
        <v>21.264486486486486</v>
      </c>
    </row>
    <row r="409" spans="2:32" x14ac:dyDescent="0.25">
      <c r="B409" s="68" t="str">
        <f t="shared" si="91"/>
        <v>17.01, Row Cond 13'</v>
      </c>
      <c r="C409" s="103">
        <v>17.010000000000002</v>
      </c>
      <c r="D409" s="103" t="s">
        <v>151</v>
      </c>
      <c r="E409" s="68" t="s">
        <v>367</v>
      </c>
      <c r="F409" s="68" t="s">
        <v>246</v>
      </c>
      <c r="G409" s="68" t="str">
        <f t="shared" si="92"/>
        <v>Row Cond 13'</v>
      </c>
      <c r="H409" s="85">
        <v>12900</v>
      </c>
      <c r="I409" s="68">
        <v>13</v>
      </c>
      <c r="J409" s="68">
        <v>6.25</v>
      </c>
      <c r="K409" s="68">
        <v>85</v>
      </c>
      <c r="L409" s="86">
        <f t="shared" si="93"/>
        <v>0.11945701357466064</v>
      </c>
      <c r="M409" s="68">
        <v>25</v>
      </c>
      <c r="N409" s="68">
        <v>75</v>
      </c>
      <c r="O409" s="68">
        <v>10</v>
      </c>
      <c r="P409" s="68">
        <v>100</v>
      </c>
      <c r="Q409" s="68">
        <v>0</v>
      </c>
      <c r="R409" s="104">
        <f t="shared" si="94"/>
        <v>1000</v>
      </c>
      <c r="S409" s="104">
        <v>1</v>
      </c>
      <c r="T409" s="104"/>
      <c r="U409" s="104"/>
      <c r="V409" s="105">
        <f t="shared" si="95"/>
        <v>0</v>
      </c>
      <c r="W409" s="106">
        <f t="shared" si="96"/>
        <v>0</v>
      </c>
      <c r="X409" s="107">
        <f t="shared" si="97"/>
        <v>967.5</v>
      </c>
      <c r="Y409" s="108">
        <f t="shared" si="98"/>
        <v>9.6750000000000007</v>
      </c>
      <c r="Z409" s="88">
        <f t="shared" si="99"/>
        <v>3225</v>
      </c>
      <c r="AA409" s="88">
        <f t="shared" si="100"/>
        <v>967.5</v>
      </c>
      <c r="AB409" s="88">
        <f t="shared" si="101"/>
        <v>8062.5</v>
      </c>
      <c r="AC409" s="109">
        <f t="shared" si="102"/>
        <v>725.625</v>
      </c>
      <c r="AD409" s="109">
        <f t="shared" si="103"/>
        <v>193.5</v>
      </c>
      <c r="AE409" s="109">
        <f t="shared" si="104"/>
        <v>1886.625</v>
      </c>
      <c r="AF409" s="73">
        <f t="shared" si="105"/>
        <v>18.866250000000001</v>
      </c>
    </row>
    <row r="410" spans="2:32" x14ac:dyDescent="0.25">
      <c r="B410" s="68" t="str">
        <f t="shared" si="91"/>
        <v>17.02, Row Cond 21'</v>
      </c>
      <c r="C410" s="103">
        <v>17.02</v>
      </c>
      <c r="D410" s="103" t="s">
        <v>151</v>
      </c>
      <c r="E410" s="68" t="s">
        <v>367</v>
      </c>
      <c r="F410" s="68" t="s">
        <v>241</v>
      </c>
      <c r="G410" s="68" t="str">
        <f t="shared" si="92"/>
        <v>Row Cond 21'</v>
      </c>
      <c r="H410" s="85">
        <v>21200</v>
      </c>
      <c r="I410" s="68">
        <v>21</v>
      </c>
      <c r="J410" s="68">
        <v>6.25</v>
      </c>
      <c r="K410" s="68">
        <v>80</v>
      </c>
      <c r="L410" s="86">
        <f t="shared" si="93"/>
        <v>7.857142857142857E-2</v>
      </c>
      <c r="M410" s="68">
        <v>30</v>
      </c>
      <c r="N410" s="68">
        <v>25</v>
      </c>
      <c r="O410" s="68">
        <v>10</v>
      </c>
      <c r="P410" s="68">
        <v>100</v>
      </c>
      <c r="Q410" s="68">
        <v>0</v>
      </c>
      <c r="R410" s="104">
        <f t="shared" si="94"/>
        <v>1000</v>
      </c>
      <c r="S410" s="104">
        <v>1</v>
      </c>
      <c r="T410" s="104"/>
      <c r="U410" s="104"/>
      <c r="V410" s="105">
        <f t="shared" si="95"/>
        <v>0</v>
      </c>
      <c r="W410" s="106">
        <f t="shared" si="96"/>
        <v>0</v>
      </c>
      <c r="X410" s="107">
        <f t="shared" si="97"/>
        <v>530</v>
      </c>
      <c r="Y410" s="108">
        <f t="shared" si="98"/>
        <v>5.3</v>
      </c>
      <c r="Z410" s="88">
        <f t="shared" si="99"/>
        <v>6360</v>
      </c>
      <c r="AA410" s="88">
        <f t="shared" si="100"/>
        <v>1484</v>
      </c>
      <c r="AB410" s="88">
        <f t="shared" si="101"/>
        <v>13780</v>
      </c>
      <c r="AC410" s="109">
        <f t="shared" si="102"/>
        <v>1240.2</v>
      </c>
      <c r="AD410" s="109">
        <f t="shared" si="103"/>
        <v>330.72</v>
      </c>
      <c r="AE410" s="109">
        <f t="shared" si="104"/>
        <v>3054.92</v>
      </c>
      <c r="AF410" s="73">
        <f t="shared" si="105"/>
        <v>30.549199999999999</v>
      </c>
    </row>
    <row r="411" spans="2:32" x14ac:dyDescent="0.25">
      <c r="B411" s="68" t="str">
        <f t="shared" si="91"/>
        <v>17.03, Row Cond &amp; Inc 13'</v>
      </c>
      <c r="C411" s="103">
        <v>17.03</v>
      </c>
      <c r="D411" s="103" t="s">
        <v>151</v>
      </c>
      <c r="E411" s="68" t="s">
        <v>368</v>
      </c>
      <c r="F411" s="68" t="s">
        <v>246</v>
      </c>
      <c r="G411" s="68" t="str">
        <f t="shared" si="92"/>
        <v>Row Cond &amp; Inc 13'</v>
      </c>
      <c r="H411" s="85">
        <v>18700</v>
      </c>
      <c r="I411" s="68">
        <v>13</v>
      </c>
      <c r="J411" s="68">
        <v>6.25</v>
      </c>
      <c r="K411" s="68">
        <v>80</v>
      </c>
      <c r="L411" s="86">
        <f t="shared" si="93"/>
        <v>0.12692307692307692</v>
      </c>
      <c r="M411" s="68">
        <v>30</v>
      </c>
      <c r="N411" s="68">
        <v>25</v>
      </c>
      <c r="O411" s="68">
        <v>10</v>
      </c>
      <c r="P411" s="68">
        <v>100</v>
      </c>
      <c r="Q411" s="68">
        <v>0</v>
      </c>
      <c r="R411" s="104">
        <f t="shared" si="94"/>
        <v>1000</v>
      </c>
      <c r="S411" s="104">
        <v>1</v>
      </c>
      <c r="T411" s="104"/>
      <c r="U411" s="104"/>
      <c r="V411" s="105">
        <f t="shared" si="95"/>
        <v>0</v>
      </c>
      <c r="W411" s="106">
        <f t="shared" si="96"/>
        <v>0</v>
      </c>
      <c r="X411" s="107">
        <f t="shared" si="97"/>
        <v>467.5</v>
      </c>
      <c r="Y411" s="108">
        <f t="shared" si="98"/>
        <v>4.6749999999999998</v>
      </c>
      <c r="Z411" s="88">
        <f t="shared" si="99"/>
        <v>5610</v>
      </c>
      <c r="AA411" s="88">
        <f t="shared" si="100"/>
        <v>1309</v>
      </c>
      <c r="AB411" s="88">
        <f t="shared" si="101"/>
        <v>12155</v>
      </c>
      <c r="AC411" s="109">
        <f t="shared" si="102"/>
        <v>1093.95</v>
      </c>
      <c r="AD411" s="109">
        <f t="shared" si="103"/>
        <v>291.72000000000003</v>
      </c>
      <c r="AE411" s="109">
        <f t="shared" si="104"/>
        <v>2694.67</v>
      </c>
      <c r="AF411" s="73">
        <f t="shared" si="105"/>
        <v>26.9467</v>
      </c>
    </row>
    <row r="412" spans="2:32" x14ac:dyDescent="0.25">
      <c r="B412" s="68" t="str">
        <f t="shared" si="91"/>
        <v>17.04, Row Cond &amp; Inc 21'</v>
      </c>
      <c r="C412" s="103">
        <v>17.04</v>
      </c>
      <c r="D412" s="103" t="s">
        <v>151</v>
      </c>
      <c r="E412" s="68" t="s">
        <v>368</v>
      </c>
      <c r="F412" s="68" t="s">
        <v>241</v>
      </c>
      <c r="G412" s="68" t="str">
        <f t="shared" si="92"/>
        <v>Row Cond &amp; Inc 21'</v>
      </c>
      <c r="H412" s="85">
        <v>26900</v>
      </c>
      <c r="I412" s="68">
        <v>21</v>
      </c>
      <c r="J412" s="68">
        <v>6.25</v>
      </c>
      <c r="K412" s="68">
        <v>80</v>
      </c>
      <c r="L412" s="86">
        <f t="shared" si="93"/>
        <v>7.857142857142857E-2</v>
      </c>
      <c r="M412" s="68">
        <v>30</v>
      </c>
      <c r="N412" s="68">
        <v>25</v>
      </c>
      <c r="O412" s="68">
        <v>10</v>
      </c>
      <c r="P412" s="68">
        <v>100</v>
      </c>
      <c r="Q412" s="68">
        <v>0</v>
      </c>
      <c r="R412" s="104">
        <f t="shared" si="94"/>
        <v>1000</v>
      </c>
      <c r="S412" s="104">
        <v>1</v>
      </c>
      <c r="T412" s="104"/>
      <c r="U412" s="104"/>
      <c r="V412" s="105">
        <f t="shared" si="95"/>
        <v>0</v>
      </c>
      <c r="W412" s="106">
        <f t="shared" si="96"/>
        <v>0</v>
      </c>
      <c r="X412" s="107">
        <f t="shared" si="97"/>
        <v>672.5</v>
      </c>
      <c r="Y412" s="108">
        <f t="shared" si="98"/>
        <v>6.7249999999999996</v>
      </c>
      <c r="Z412" s="88">
        <f t="shared" si="99"/>
        <v>8070</v>
      </c>
      <c r="AA412" s="88">
        <f t="shared" si="100"/>
        <v>1883</v>
      </c>
      <c r="AB412" s="88">
        <f t="shared" si="101"/>
        <v>17485</v>
      </c>
      <c r="AC412" s="109">
        <f t="shared" si="102"/>
        <v>1573.6499999999999</v>
      </c>
      <c r="AD412" s="109">
        <f t="shared" si="103"/>
        <v>419.64</v>
      </c>
      <c r="AE412" s="109">
        <f t="shared" si="104"/>
        <v>3876.2899999999995</v>
      </c>
      <c r="AF412" s="73">
        <f t="shared" si="105"/>
        <v>38.762899999999995</v>
      </c>
    </row>
  </sheetData>
  <mergeCells count="2">
    <mergeCell ref="R3:W3"/>
    <mergeCell ref="X3:Y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36"/>
  <sheetViews>
    <sheetView workbookViewId="0"/>
  </sheetViews>
  <sheetFormatPr defaultColWidth="9" defaultRowHeight="15" x14ac:dyDescent="0.25"/>
  <cols>
    <col min="1" max="1" width="9.125" style="68" bestFit="1" customWidth="1"/>
    <col min="2" max="2" width="9" style="68"/>
    <col min="3" max="21" width="9.125" style="68" bestFit="1" customWidth="1"/>
    <col min="22" max="22" width="10.125" style="68" bestFit="1" customWidth="1"/>
    <col min="23" max="23" width="9.25" style="68" bestFit="1" customWidth="1"/>
    <col min="24" max="31" width="9.125" style="68" bestFit="1" customWidth="1"/>
    <col min="32" max="16384" width="9" style="68"/>
  </cols>
  <sheetData>
    <row r="1" spans="1:31" x14ac:dyDescent="0.25">
      <c r="A1" s="80" t="s">
        <v>369</v>
      </c>
      <c r="B1" s="80"/>
      <c r="C1" s="85">
        <v>2</v>
      </c>
      <c r="D1" s="68">
        <v>3</v>
      </c>
      <c r="E1" s="68">
        <v>4</v>
      </c>
      <c r="F1" s="68">
        <v>5</v>
      </c>
      <c r="G1" s="68">
        <v>6</v>
      </c>
      <c r="H1" s="111">
        <v>7</v>
      </c>
      <c r="I1" s="68">
        <v>8</v>
      </c>
      <c r="J1" s="68">
        <v>9</v>
      </c>
      <c r="K1" s="68">
        <v>10</v>
      </c>
      <c r="L1" s="68">
        <v>11</v>
      </c>
      <c r="M1" s="68">
        <v>12</v>
      </c>
      <c r="N1" s="68">
        <v>13</v>
      </c>
      <c r="O1" s="68">
        <v>14</v>
      </c>
      <c r="P1" s="68">
        <v>15</v>
      </c>
      <c r="Q1" s="68">
        <v>16</v>
      </c>
      <c r="R1" s="68">
        <v>17</v>
      </c>
      <c r="S1" s="68">
        <v>18</v>
      </c>
      <c r="T1" s="68">
        <v>19</v>
      </c>
      <c r="U1" s="68">
        <v>20</v>
      </c>
      <c r="V1" s="68">
        <v>21</v>
      </c>
      <c r="W1" s="68">
        <v>22</v>
      </c>
      <c r="X1" s="68">
        <v>23</v>
      </c>
      <c r="Y1" s="68">
        <v>24</v>
      </c>
      <c r="Z1" s="112"/>
      <c r="AA1" s="112"/>
      <c r="AB1" s="112"/>
      <c r="AC1" s="112"/>
      <c r="AD1" s="112"/>
      <c r="AE1" s="112"/>
    </row>
    <row r="2" spans="1:31" x14ac:dyDescent="0.25">
      <c r="B2" s="113"/>
      <c r="C2" s="114"/>
      <c r="D2" s="113"/>
      <c r="E2" s="115"/>
      <c r="H2" s="111"/>
      <c r="O2" s="259" t="s">
        <v>370</v>
      </c>
      <c r="P2" s="259"/>
      <c r="Q2" s="258" t="s">
        <v>119</v>
      </c>
      <c r="R2" s="258"/>
      <c r="Z2" s="112"/>
      <c r="AA2" s="112"/>
      <c r="AB2" s="112"/>
      <c r="AC2" s="112"/>
      <c r="AD2" s="112"/>
      <c r="AE2" s="112"/>
    </row>
    <row r="3" spans="1:31" x14ac:dyDescent="0.25">
      <c r="A3" s="75" t="s">
        <v>371</v>
      </c>
      <c r="B3" s="75" t="s">
        <v>120</v>
      </c>
      <c r="C3" s="95" t="s">
        <v>121</v>
      </c>
      <c r="D3" s="75" t="s">
        <v>122</v>
      </c>
      <c r="E3" s="94" t="s">
        <v>123</v>
      </c>
      <c r="F3" s="94" t="s">
        <v>124</v>
      </c>
      <c r="G3" s="94" t="s">
        <v>125</v>
      </c>
      <c r="H3" s="116" t="s">
        <v>126</v>
      </c>
      <c r="I3" s="94" t="s">
        <v>372</v>
      </c>
      <c r="J3" s="94" t="s">
        <v>131</v>
      </c>
      <c r="K3" s="94" t="s">
        <v>132</v>
      </c>
      <c r="L3" s="94" t="s">
        <v>133</v>
      </c>
      <c r="M3" s="94" t="s">
        <v>134</v>
      </c>
      <c r="N3" s="97" t="s">
        <v>135</v>
      </c>
      <c r="O3" s="98" t="s">
        <v>136</v>
      </c>
      <c r="P3" s="98" t="s">
        <v>137</v>
      </c>
      <c r="Q3" s="100" t="s">
        <v>142</v>
      </c>
      <c r="R3" s="101" t="s">
        <v>143</v>
      </c>
      <c r="S3" s="97" t="s">
        <v>144</v>
      </c>
      <c r="T3" s="97" t="s">
        <v>145</v>
      </c>
      <c r="U3" s="97" t="s">
        <v>146</v>
      </c>
      <c r="V3" s="97" t="s">
        <v>147</v>
      </c>
      <c r="W3" s="94" t="s">
        <v>148</v>
      </c>
      <c r="X3" s="94" t="s">
        <v>149</v>
      </c>
      <c r="Y3" s="94" t="s">
        <v>150</v>
      </c>
      <c r="Z3" s="117" t="s">
        <v>373</v>
      </c>
      <c r="AA3" s="117" t="s">
        <v>374</v>
      </c>
      <c r="AB3" s="118" t="s">
        <v>375</v>
      </c>
      <c r="AC3" s="117" t="s">
        <v>376</v>
      </c>
      <c r="AD3" s="117" t="s">
        <v>377</v>
      </c>
      <c r="AE3" s="117" t="s">
        <v>378</v>
      </c>
    </row>
    <row r="4" spans="1:31" x14ac:dyDescent="0.25">
      <c r="A4" s="68">
        <v>64</v>
      </c>
      <c r="B4" s="68" t="str">
        <f t="shared" ref="B4:B36" si="0">CONCATENATE(C4,D4,E4,F4)</f>
        <v>0.08, Tractor (20-39 hp) MFWD 30</v>
      </c>
      <c r="C4" s="103">
        <v>0.08</v>
      </c>
      <c r="D4" s="68" t="s">
        <v>151</v>
      </c>
      <c r="E4" s="68" t="s">
        <v>379</v>
      </c>
      <c r="F4" s="68" t="s">
        <v>380</v>
      </c>
      <c r="G4" s="68" t="str">
        <f t="shared" ref="G4:G36" si="1">CONCATENATE(E4,F4)</f>
        <v>Tractor (20-39 hp) MFWD 30</v>
      </c>
      <c r="H4" s="222">
        <v>38500</v>
      </c>
      <c r="I4" s="68">
        <v>1.544</v>
      </c>
      <c r="J4" s="68">
        <v>20</v>
      </c>
      <c r="K4" s="68">
        <v>75</v>
      </c>
      <c r="L4" s="68">
        <v>14</v>
      </c>
      <c r="M4" s="68">
        <v>600</v>
      </c>
      <c r="N4" s="68">
        <v>0</v>
      </c>
      <c r="O4" s="104">
        <f t="shared" ref="O4:O36" si="2">M4*L4</f>
        <v>8400</v>
      </c>
      <c r="P4" s="104">
        <v>1</v>
      </c>
      <c r="Q4" s="107">
        <f t="shared" ref="Q4:Q36" si="3">(H4*K4/100)/L4</f>
        <v>2062.5</v>
      </c>
      <c r="R4" s="108">
        <f t="shared" ref="R4:R36" si="4">Q4/M4</f>
        <v>3.4375</v>
      </c>
      <c r="S4" s="88">
        <f t="shared" ref="S4:S36" si="5">H4*J4/100</f>
        <v>7700</v>
      </c>
      <c r="T4" s="88">
        <f t="shared" ref="T4:T36" si="6">(H4-S4)/L4</f>
        <v>2200</v>
      </c>
      <c r="U4" s="88">
        <f t="shared" ref="U4:U36" si="7">(S4+H4)/2</f>
        <v>23100</v>
      </c>
      <c r="V4" s="73">
        <f t="shared" ref="V4:V36" si="8">U4*intir</f>
        <v>2079</v>
      </c>
      <c r="W4" s="73">
        <f t="shared" ref="W4:W36" si="9">U4*itr</f>
        <v>554.4</v>
      </c>
      <c r="X4" s="109">
        <f t="shared" ref="X4:X36" si="10">T4+V4+W4</f>
        <v>4833.3999999999996</v>
      </c>
      <c r="Y4" s="73">
        <f t="shared" ref="Y4:Y36" si="11">X4/M4</f>
        <v>8.0556666666666654</v>
      </c>
      <c r="Z4" s="119">
        <f t="shared" ref="Z4" si="12">((1.132-0.165*(L4^0.5)-0.0079*(M4^0.5))^2)*H4</f>
        <v>3969.9669970150858</v>
      </c>
      <c r="AA4" s="119">
        <f t="shared" ref="AA4:AA36" si="13">(H4-Z4)/L4</f>
        <v>2466.4309287846368</v>
      </c>
      <c r="AB4" s="119">
        <f t="shared" ref="AB4:AB36" si="14">(Z4+H4)*intir</f>
        <v>3822.2970297313577</v>
      </c>
      <c r="AC4" s="119">
        <f t="shared" ref="AC4:AC36" si="15">(Z4+H4)*itr</f>
        <v>1019.2792079283621</v>
      </c>
      <c r="AD4" s="119">
        <f t="shared" ref="AD4:AD36" si="16">(AA4+AB4+AC4)/M4</f>
        <v>12.180011944073927</v>
      </c>
      <c r="AE4" s="120">
        <f t="shared" ref="AE4:AE36" si="17">AD4-Y4</f>
        <v>4.1243452774072615</v>
      </c>
    </row>
    <row r="5" spans="1:31" x14ac:dyDescent="0.25">
      <c r="A5" s="68">
        <v>65</v>
      </c>
      <c r="B5" s="68" t="str">
        <f t="shared" si="0"/>
        <v>0.09, Tractor (20-39 hp) MFWD 30</v>
      </c>
      <c r="C5" s="103">
        <v>0.09</v>
      </c>
      <c r="D5" s="68" t="s">
        <v>151</v>
      </c>
      <c r="E5" s="68" t="s">
        <v>379</v>
      </c>
      <c r="F5" s="68" t="s">
        <v>380</v>
      </c>
      <c r="G5" s="68" t="str">
        <f t="shared" si="1"/>
        <v>Tractor (20-39 hp) MFWD 30</v>
      </c>
      <c r="H5" s="222">
        <v>28100</v>
      </c>
      <c r="I5" s="68">
        <v>1.544</v>
      </c>
      <c r="J5" s="68">
        <v>20</v>
      </c>
      <c r="K5" s="68">
        <v>75</v>
      </c>
      <c r="L5" s="68">
        <v>14</v>
      </c>
      <c r="M5" s="68">
        <v>600</v>
      </c>
      <c r="N5" s="68">
        <v>0</v>
      </c>
      <c r="O5" s="104">
        <f t="shared" si="2"/>
        <v>8400</v>
      </c>
      <c r="P5" s="104">
        <v>1</v>
      </c>
      <c r="Q5" s="107">
        <f t="shared" si="3"/>
        <v>1505.3571428571429</v>
      </c>
      <c r="R5" s="108">
        <f t="shared" si="4"/>
        <v>2.5089285714285716</v>
      </c>
      <c r="S5" s="88">
        <f t="shared" si="5"/>
        <v>5620</v>
      </c>
      <c r="T5" s="88">
        <f t="shared" si="6"/>
        <v>1605.7142857142858</v>
      </c>
      <c r="U5" s="88">
        <f t="shared" si="7"/>
        <v>16860</v>
      </c>
      <c r="V5" s="73">
        <f t="shared" si="8"/>
        <v>1517.3999999999999</v>
      </c>
      <c r="W5" s="73">
        <f t="shared" si="9"/>
        <v>404.64</v>
      </c>
      <c r="X5" s="109">
        <f t="shared" si="10"/>
        <v>3527.7542857142857</v>
      </c>
      <c r="Y5" s="73">
        <f t="shared" si="11"/>
        <v>5.8795904761904758</v>
      </c>
      <c r="Z5" s="119">
        <f>((0.981-0.093*(L5^0.5)-0.0058*(M5^0.5))^2)*H5</f>
        <v>6773.1470534754735</v>
      </c>
      <c r="AA5" s="119">
        <f t="shared" si="13"/>
        <v>1523.3466390374663</v>
      </c>
      <c r="AB5" s="119">
        <f t="shared" si="14"/>
        <v>3138.5832348127929</v>
      </c>
      <c r="AC5" s="119">
        <f t="shared" si="15"/>
        <v>836.95552928341147</v>
      </c>
      <c r="AD5" s="119">
        <f t="shared" si="16"/>
        <v>9.164809005222784</v>
      </c>
      <c r="AE5" s="120">
        <f t="shared" si="17"/>
        <v>3.2852185290323082</v>
      </c>
    </row>
    <row r="6" spans="1:31" x14ac:dyDescent="0.25">
      <c r="A6" s="68">
        <v>36</v>
      </c>
      <c r="B6" s="68" t="str">
        <f t="shared" si="0"/>
        <v>0.1, Tractor (40-59 hp) 2WD 50</v>
      </c>
      <c r="C6" s="103">
        <v>0.1</v>
      </c>
      <c r="D6" s="68" t="s">
        <v>151</v>
      </c>
      <c r="E6" s="68" t="s">
        <v>381</v>
      </c>
      <c r="F6" s="68" t="s">
        <v>382</v>
      </c>
      <c r="G6" s="68" t="str">
        <f t="shared" si="1"/>
        <v>Tractor (40-59 hp) 2WD 50</v>
      </c>
      <c r="H6" s="222">
        <v>39900</v>
      </c>
      <c r="I6" s="68">
        <v>2.5735999999999999</v>
      </c>
      <c r="J6" s="68">
        <v>20</v>
      </c>
      <c r="K6" s="68">
        <v>75</v>
      </c>
      <c r="L6" s="68">
        <v>14</v>
      </c>
      <c r="M6" s="68">
        <v>600</v>
      </c>
      <c r="N6" s="68">
        <v>0</v>
      </c>
      <c r="O6" s="104">
        <f t="shared" si="2"/>
        <v>8400</v>
      </c>
      <c r="P6" s="104">
        <v>1</v>
      </c>
      <c r="Q6" s="107">
        <f t="shared" si="3"/>
        <v>2137.5</v>
      </c>
      <c r="R6" s="108">
        <f t="shared" si="4"/>
        <v>3.5625</v>
      </c>
      <c r="S6" s="88">
        <f t="shared" si="5"/>
        <v>7980</v>
      </c>
      <c r="T6" s="88">
        <f t="shared" si="6"/>
        <v>2280</v>
      </c>
      <c r="U6" s="88">
        <f t="shared" si="7"/>
        <v>23940</v>
      </c>
      <c r="V6" s="73">
        <f t="shared" si="8"/>
        <v>2154.6</v>
      </c>
      <c r="W6" s="73">
        <f t="shared" si="9"/>
        <v>574.56000000000006</v>
      </c>
      <c r="X6" s="109">
        <f t="shared" si="10"/>
        <v>5009.1600000000008</v>
      </c>
      <c r="Y6" s="73">
        <f t="shared" si="11"/>
        <v>8.3486000000000011</v>
      </c>
      <c r="Z6" s="119">
        <f t="shared" ref="Z6:Z13" si="18">((0.981-0.093*(L6^0.5)-0.0058*(M6^0.5))^2)*H6</f>
        <v>9617.386741411794</v>
      </c>
      <c r="AA6" s="119">
        <f t="shared" si="13"/>
        <v>2163.043804184872</v>
      </c>
      <c r="AB6" s="119">
        <f t="shared" si="14"/>
        <v>4456.5648067270613</v>
      </c>
      <c r="AC6" s="119">
        <f t="shared" si="15"/>
        <v>1188.4172817938831</v>
      </c>
      <c r="AD6" s="119">
        <f t="shared" si="16"/>
        <v>13.013376487843027</v>
      </c>
      <c r="AE6" s="120">
        <f t="shared" si="17"/>
        <v>4.6647764878430262</v>
      </c>
    </row>
    <row r="7" spans="1:31" x14ac:dyDescent="0.25">
      <c r="A7" s="68">
        <v>37</v>
      </c>
      <c r="B7" s="68" t="str">
        <f t="shared" si="0"/>
        <v>0.11, Tractor (40-59 hp) MFWD 50</v>
      </c>
      <c r="C7" s="103">
        <v>0.11</v>
      </c>
      <c r="D7" s="68" t="s">
        <v>151</v>
      </c>
      <c r="E7" s="68" t="s">
        <v>381</v>
      </c>
      <c r="F7" s="68" t="s">
        <v>383</v>
      </c>
      <c r="G7" s="68" t="str">
        <f t="shared" si="1"/>
        <v>Tractor (40-59 hp) MFWD 50</v>
      </c>
      <c r="H7" s="222">
        <v>50600</v>
      </c>
      <c r="I7" s="68">
        <v>2.5735999999999999</v>
      </c>
      <c r="J7" s="68">
        <v>20</v>
      </c>
      <c r="K7" s="68">
        <v>75</v>
      </c>
      <c r="L7" s="68">
        <v>14</v>
      </c>
      <c r="M7" s="68">
        <v>600</v>
      </c>
      <c r="N7" s="68">
        <v>0</v>
      </c>
      <c r="O7" s="104">
        <f t="shared" si="2"/>
        <v>8400</v>
      </c>
      <c r="P7" s="104">
        <v>1</v>
      </c>
      <c r="Q7" s="107">
        <f t="shared" si="3"/>
        <v>2710.7142857142858</v>
      </c>
      <c r="R7" s="108">
        <f t="shared" si="4"/>
        <v>4.5178571428571432</v>
      </c>
      <c r="S7" s="88">
        <f t="shared" si="5"/>
        <v>10120</v>
      </c>
      <c r="T7" s="88">
        <f t="shared" si="6"/>
        <v>2891.4285714285716</v>
      </c>
      <c r="U7" s="88">
        <f t="shared" si="7"/>
        <v>30360</v>
      </c>
      <c r="V7" s="73">
        <f t="shared" si="8"/>
        <v>2732.4</v>
      </c>
      <c r="W7" s="73">
        <f t="shared" si="9"/>
        <v>728.64</v>
      </c>
      <c r="X7" s="109">
        <f t="shared" si="10"/>
        <v>6352.4685714285724</v>
      </c>
      <c r="Y7" s="73">
        <f t="shared" si="11"/>
        <v>10.587447619047621</v>
      </c>
      <c r="Z7" s="119">
        <f t="shared" si="18"/>
        <v>12196.485441489644</v>
      </c>
      <c r="AA7" s="119">
        <f t="shared" si="13"/>
        <v>2743.1081827507401</v>
      </c>
      <c r="AB7" s="119">
        <f t="shared" si="14"/>
        <v>5651.6836897340672</v>
      </c>
      <c r="AC7" s="119">
        <f t="shared" si="15"/>
        <v>1507.1156505957513</v>
      </c>
      <c r="AD7" s="119">
        <f t="shared" si="16"/>
        <v>16.503179205134266</v>
      </c>
      <c r="AE7" s="120">
        <f t="shared" si="17"/>
        <v>5.9157315860866451</v>
      </c>
    </row>
    <row r="8" spans="1:31" x14ac:dyDescent="0.25">
      <c r="A8" s="68">
        <v>1</v>
      </c>
      <c r="B8" s="68" t="str">
        <f t="shared" si="0"/>
        <v>0.12, Tractor (40-59 hp) 2WD 50</v>
      </c>
      <c r="C8" s="103">
        <v>0.12</v>
      </c>
      <c r="D8" s="68" t="s">
        <v>151</v>
      </c>
      <c r="E8" s="68" t="s">
        <v>381</v>
      </c>
      <c r="F8" s="68" t="s">
        <v>382</v>
      </c>
      <c r="G8" s="68" t="str">
        <f t="shared" si="1"/>
        <v>Tractor (40-59 hp) 2WD 50</v>
      </c>
      <c r="H8" s="222">
        <v>29100</v>
      </c>
      <c r="I8" s="68">
        <v>2.5735999999999999</v>
      </c>
      <c r="J8" s="68">
        <v>20</v>
      </c>
      <c r="K8" s="68">
        <v>75</v>
      </c>
      <c r="L8" s="68">
        <v>14</v>
      </c>
      <c r="M8" s="68">
        <v>600</v>
      </c>
      <c r="N8" s="68">
        <v>0</v>
      </c>
      <c r="O8" s="104">
        <f t="shared" si="2"/>
        <v>8400</v>
      </c>
      <c r="P8" s="104">
        <v>1</v>
      </c>
      <c r="Q8" s="107">
        <f t="shared" si="3"/>
        <v>1558.9285714285713</v>
      </c>
      <c r="R8" s="108">
        <f t="shared" si="4"/>
        <v>2.5982142857142856</v>
      </c>
      <c r="S8" s="88">
        <f t="shared" si="5"/>
        <v>5820</v>
      </c>
      <c r="T8" s="88">
        <f t="shared" si="6"/>
        <v>1662.8571428571429</v>
      </c>
      <c r="U8" s="88">
        <f t="shared" si="7"/>
        <v>17460</v>
      </c>
      <c r="V8" s="73">
        <f t="shared" si="8"/>
        <v>1571.3999999999999</v>
      </c>
      <c r="W8" s="73">
        <f t="shared" si="9"/>
        <v>419.04</v>
      </c>
      <c r="X8" s="109">
        <f t="shared" si="10"/>
        <v>3653.2971428571427</v>
      </c>
      <c r="Y8" s="73">
        <f t="shared" si="11"/>
        <v>6.0888285714285715</v>
      </c>
      <c r="Z8" s="119">
        <f t="shared" si="18"/>
        <v>7014.1843151649928</v>
      </c>
      <c r="AA8" s="119">
        <f t="shared" si="13"/>
        <v>1577.5582632025005</v>
      </c>
      <c r="AB8" s="119">
        <f t="shared" si="14"/>
        <v>3250.2765883648494</v>
      </c>
      <c r="AC8" s="119">
        <f t="shared" si="15"/>
        <v>866.74042356395989</v>
      </c>
      <c r="AD8" s="119">
        <f t="shared" si="16"/>
        <v>9.4909587918855163</v>
      </c>
      <c r="AE8" s="120">
        <f t="shared" si="17"/>
        <v>3.4021302204569448</v>
      </c>
    </row>
    <row r="9" spans="1:31" x14ac:dyDescent="0.25">
      <c r="A9" s="68">
        <v>35</v>
      </c>
      <c r="B9" s="68" t="str">
        <f t="shared" si="0"/>
        <v>0.13, Tractor (40-59 hp) MFWD 50</v>
      </c>
      <c r="C9" s="103">
        <v>0.13</v>
      </c>
      <c r="D9" s="68" t="s">
        <v>151</v>
      </c>
      <c r="E9" s="68" t="s">
        <v>381</v>
      </c>
      <c r="F9" s="68" t="s">
        <v>383</v>
      </c>
      <c r="G9" s="68" t="str">
        <f t="shared" si="1"/>
        <v>Tractor (40-59 hp) MFWD 50</v>
      </c>
      <c r="H9" s="222">
        <v>33800</v>
      </c>
      <c r="I9" s="68">
        <v>2.5735999999999999</v>
      </c>
      <c r="J9" s="68">
        <v>20</v>
      </c>
      <c r="K9" s="68">
        <v>75</v>
      </c>
      <c r="L9" s="68">
        <v>14</v>
      </c>
      <c r="M9" s="68">
        <v>600</v>
      </c>
      <c r="N9" s="68">
        <v>0</v>
      </c>
      <c r="O9" s="104">
        <f t="shared" si="2"/>
        <v>8400</v>
      </c>
      <c r="P9" s="104">
        <v>1</v>
      </c>
      <c r="Q9" s="107">
        <f t="shared" si="3"/>
        <v>1810.7142857142858</v>
      </c>
      <c r="R9" s="108">
        <f t="shared" si="4"/>
        <v>3.0178571428571428</v>
      </c>
      <c r="S9" s="88">
        <f t="shared" si="5"/>
        <v>6760</v>
      </c>
      <c r="T9" s="88">
        <f t="shared" si="6"/>
        <v>1931.4285714285713</v>
      </c>
      <c r="U9" s="88">
        <f t="shared" si="7"/>
        <v>20280</v>
      </c>
      <c r="V9" s="73">
        <f t="shared" si="8"/>
        <v>1825.2</v>
      </c>
      <c r="W9" s="73">
        <f t="shared" si="9"/>
        <v>486.72</v>
      </c>
      <c r="X9" s="109">
        <f t="shared" si="10"/>
        <v>4243.3485714285716</v>
      </c>
      <c r="Y9" s="73">
        <f t="shared" si="11"/>
        <v>7.0722476190476193</v>
      </c>
      <c r="Z9" s="119">
        <f t="shared" si="18"/>
        <v>8147.0594451057304</v>
      </c>
      <c r="AA9" s="119">
        <f t="shared" si="13"/>
        <v>1832.3528967781622</v>
      </c>
      <c r="AB9" s="119">
        <f t="shared" si="14"/>
        <v>3775.2353500595159</v>
      </c>
      <c r="AC9" s="119">
        <f t="shared" si="15"/>
        <v>1006.7294266825376</v>
      </c>
      <c r="AD9" s="119">
        <f t="shared" si="16"/>
        <v>11.02386278920036</v>
      </c>
      <c r="AE9" s="120">
        <f t="shared" si="17"/>
        <v>3.9516151701527402</v>
      </c>
    </row>
    <row r="10" spans="1:31" x14ac:dyDescent="0.25">
      <c r="A10" s="68">
        <v>38</v>
      </c>
      <c r="B10" s="68" t="str">
        <f t="shared" si="0"/>
        <v>0.14, Tractor (60-89 hp) 2WD 75</v>
      </c>
      <c r="C10" s="103">
        <v>0.14000000000000001</v>
      </c>
      <c r="D10" s="68" t="s">
        <v>151</v>
      </c>
      <c r="E10" s="68" t="s">
        <v>384</v>
      </c>
      <c r="F10" s="68" t="s">
        <v>385</v>
      </c>
      <c r="G10" s="68" t="str">
        <f t="shared" si="1"/>
        <v>Tractor (60-89 hp) 2WD 75</v>
      </c>
      <c r="H10" s="222">
        <v>69500</v>
      </c>
      <c r="I10" s="68">
        <v>3.8603999999999998</v>
      </c>
      <c r="J10" s="68">
        <v>20</v>
      </c>
      <c r="K10" s="68">
        <v>75</v>
      </c>
      <c r="L10" s="68">
        <v>14</v>
      </c>
      <c r="M10" s="68">
        <v>600</v>
      </c>
      <c r="N10" s="68">
        <v>0</v>
      </c>
      <c r="O10" s="104">
        <f t="shared" si="2"/>
        <v>8400</v>
      </c>
      <c r="P10" s="104">
        <v>1</v>
      </c>
      <c r="Q10" s="107">
        <f t="shared" si="3"/>
        <v>3723.2142857142858</v>
      </c>
      <c r="R10" s="108">
        <f t="shared" si="4"/>
        <v>6.2053571428571432</v>
      </c>
      <c r="S10" s="88">
        <f t="shared" si="5"/>
        <v>13900</v>
      </c>
      <c r="T10" s="88">
        <f t="shared" si="6"/>
        <v>3971.4285714285716</v>
      </c>
      <c r="U10" s="88">
        <f t="shared" si="7"/>
        <v>41700</v>
      </c>
      <c r="V10" s="73">
        <f t="shared" si="8"/>
        <v>3753</v>
      </c>
      <c r="W10" s="73">
        <f t="shared" si="9"/>
        <v>1000.8000000000001</v>
      </c>
      <c r="X10" s="109">
        <f t="shared" si="10"/>
        <v>8725.2285714285717</v>
      </c>
      <c r="Y10" s="73">
        <f t="shared" si="11"/>
        <v>14.54204761904762</v>
      </c>
      <c r="Z10" s="119">
        <f t="shared" si="18"/>
        <v>16752.089687421547</v>
      </c>
      <c r="AA10" s="119">
        <f t="shared" si="13"/>
        <v>3767.7078794698896</v>
      </c>
      <c r="AB10" s="119">
        <f t="shared" si="14"/>
        <v>7762.6880718679386</v>
      </c>
      <c r="AC10" s="119">
        <f t="shared" si="15"/>
        <v>2070.0501524981169</v>
      </c>
      <c r="AD10" s="119">
        <f t="shared" si="16"/>
        <v>22.66741017305991</v>
      </c>
      <c r="AE10" s="120">
        <f t="shared" si="17"/>
        <v>8.1253625540122894</v>
      </c>
    </row>
    <row r="11" spans="1:31" x14ac:dyDescent="0.25">
      <c r="A11" s="68">
        <v>40</v>
      </c>
      <c r="B11" s="68" t="str">
        <f t="shared" si="0"/>
        <v>0.15, Tractor (60-89 hp) MFWD 75</v>
      </c>
      <c r="C11" s="103">
        <v>0.15</v>
      </c>
      <c r="D11" s="68" t="s">
        <v>151</v>
      </c>
      <c r="E11" s="68" t="s">
        <v>384</v>
      </c>
      <c r="F11" s="68" t="s">
        <v>386</v>
      </c>
      <c r="G11" s="68" t="str">
        <f t="shared" si="1"/>
        <v>Tractor (60-89 hp) MFWD 75</v>
      </c>
      <c r="H11" s="222">
        <v>79000</v>
      </c>
      <c r="I11" s="68">
        <v>3.8603999999999998</v>
      </c>
      <c r="J11" s="68">
        <v>20</v>
      </c>
      <c r="K11" s="68">
        <v>75</v>
      </c>
      <c r="L11" s="68">
        <v>14</v>
      </c>
      <c r="M11" s="68">
        <v>600</v>
      </c>
      <c r="N11" s="68">
        <v>0</v>
      </c>
      <c r="O11" s="104">
        <f t="shared" si="2"/>
        <v>8400</v>
      </c>
      <c r="P11" s="104">
        <v>1</v>
      </c>
      <c r="Q11" s="107">
        <f t="shared" si="3"/>
        <v>4232.1428571428569</v>
      </c>
      <c r="R11" s="108">
        <f t="shared" si="4"/>
        <v>7.0535714285714279</v>
      </c>
      <c r="S11" s="88">
        <f t="shared" si="5"/>
        <v>15800</v>
      </c>
      <c r="T11" s="88">
        <f t="shared" si="6"/>
        <v>4514.2857142857147</v>
      </c>
      <c r="U11" s="88">
        <f t="shared" si="7"/>
        <v>47400</v>
      </c>
      <c r="V11" s="73">
        <f t="shared" si="8"/>
        <v>4266</v>
      </c>
      <c r="W11" s="73">
        <f t="shared" si="9"/>
        <v>1137.6000000000001</v>
      </c>
      <c r="X11" s="109">
        <f t="shared" si="10"/>
        <v>9917.8857142857141</v>
      </c>
      <c r="Y11" s="73">
        <f t="shared" si="11"/>
        <v>16.529809523809522</v>
      </c>
      <c r="Z11" s="119">
        <f t="shared" si="18"/>
        <v>19041.943673471971</v>
      </c>
      <c r="AA11" s="119">
        <f t="shared" si="13"/>
        <v>4282.7183090377166</v>
      </c>
      <c r="AB11" s="119">
        <f t="shared" si="14"/>
        <v>8823.774930612477</v>
      </c>
      <c r="AC11" s="119">
        <f t="shared" si="15"/>
        <v>2353.0066481633276</v>
      </c>
      <c r="AD11" s="119">
        <f t="shared" si="16"/>
        <v>25.76583314635587</v>
      </c>
      <c r="AE11" s="120">
        <f t="shared" si="17"/>
        <v>9.2360236225463481</v>
      </c>
    </row>
    <row r="12" spans="1:31" x14ac:dyDescent="0.25">
      <c r="A12" s="68">
        <v>2</v>
      </c>
      <c r="B12" s="68" t="str">
        <f t="shared" si="0"/>
        <v>0.16, Tractor (60-89 hp) 2WD 75</v>
      </c>
      <c r="C12" s="103">
        <v>0.16</v>
      </c>
      <c r="D12" s="68" t="s">
        <v>151</v>
      </c>
      <c r="E12" s="68" t="s">
        <v>384</v>
      </c>
      <c r="F12" s="68" t="s">
        <v>385</v>
      </c>
      <c r="G12" s="68" t="str">
        <f t="shared" si="1"/>
        <v>Tractor (60-89 hp) 2WD 75</v>
      </c>
      <c r="H12" s="222">
        <v>60100</v>
      </c>
      <c r="I12" s="68">
        <v>3.8603999999999998</v>
      </c>
      <c r="J12" s="68">
        <v>20</v>
      </c>
      <c r="K12" s="68">
        <v>75</v>
      </c>
      <c r="L12" s="68">
        <v>14</v>
      </c>
      <c r="M12" s="68">
        <v>600</v>
      </c>
      <c r="N12" s="68">
        <v>0</v>
      </c>
      <c r="O12" s="104">
        <f t="shared" si="2"/>
        <v>8400</v>
      </c>
      <c r="P12" s="104">
        <v>1</v>
      </c>
      <c r="Q12" s="107">
        <f t="shared" si="3"/>
        <v>3219.6428571428573</v>
      </c>
      <c r="R12" s="108">
        <f t="shared" si="4"/>
        <v>5.3660714285714288</v>
      </c>
      <c r="S12" s="88">
        <f t="shared" si="5"/>
        <v>12020</v>
      </c>
      <c r="T12" s="88">
        <f t="shared" si="6"/>
        <v>3434.2857142857142</v>
      </c>
      <c r="U12" s="88">
        <f t="shared" si="7"/>
        <v>36060</v>
      </c>
      <c r="V12" s="73">
        <f t="shared" si="8"/>
        <v>3245.4</v>
      </c>
      <c r="W12" s="73">
        <f t="shared" si="9"/>
        <v>865.44</v>
      </c>
      <c r="X12" s="109">
        <f t="shared" si="10"/>
        <v>7545.1257142857139</v>
      </c>
      <c r="Y12" s="73">
        <f t="shared" si="11"/>
        <v>12.575209523809523</v>
      </c>
      <c r="Z12" s="119">
        <f t="shared" si="18"/>
        <v>14486.33942754007</v>
      </c>
      <c r="AA12" s="119">
        <f t="shared" si="13"/>
        <v>3258.1186123185662</v>
      </c>
      <c r="AB12" s="119">
        <f t="shared" si="14"/>
        <v>6712.7705484786056</v>
      </c>
      <c r="AC12" s="119">
        <f t="shared" si="15"/>
        <v>1790.0721462609615</v>
      </c>
      <c r="AD12" s="119">
        <f t="shared" si="16"/>
        <v>19.60160217843022</v>
      </c>
      <c r="AE12" s="120">
        <f t="shared" si="17"/>
        <v>7.0263926546206967</v>
      </c>
    </row>
    <row r="13" spans="1:31" x14ac:dyDescent="0.25">
      <c r="A13" s="68">
        <v>39</v>
      </c>
      <c r="B13" s="68" t="str">
        <f t="shared" si="0"/>
        <v>0.17, Tractor (60-89 hp) MFWD 75</v>
      </c>
      <c r="C13" s="103">
        <v>0.17</v>
      </c>
      <c r="D13" s="68" t="s">
        <v>151</v>
      </c>
      <c r="E13" s="68" t="s">
        <v>384</v>
      </c>
      <c r="F13" s="68" t="s">
        <v>386</v>
      </c>
      <c r="G13" s="68" t="str">
        <f t="shared" si="1"/>
        <v>Tractor (60-89 hp) MFWD 75</v>
      </c>
      <c r="H13" s="222">
        <v>53400</v>
      </c>
      <c r="I13" s="68">
        <v>3.8603999999999998</v>
      </c>
      <c r="J13" s="68">
        <v>20</v>
      </c>
      <c r="K13" s="68">
        <v>75</v>
      </c>
      <c r="L13" s="68">
        <v>14</v>
      </c>
      <c r="M13" s="68">
        <v>600</v>
      </c>
      <c r="N13" s="68">
        <v>0</v>
      </c>
      <c r="O13" s="104">
        <f t="shared" si="2"/>
        <v>8400</v>
      </c>
      <c r="P13" s="104">
        <v>1</v>
      </c>
      <c r="Q13" s="107">
        <f t="shared" si="3"/>
        <v>2860.7142857142858</v>
      </c>
      <c r="R13" s="108">
        <f t="shared" si="4"/>
        <v>4.7678571428571432</v>
      </c>
      <c r="S13" s="88">
        <f t="shared" si="5"/>
        <v>10680</v>
      </c>
      <c r="T13" s="88">
        <f t="shared" si="6"/>
        <v>3051.4285714285716</v>
      </c>
      <c r="U13" s="88">
        <f t="shared" si="7"/>
        <v>32040</v>
      </c>
      <c r="V13" s="73">
        <f t="shared" si="8"/>
        <v>2883.6</v>
      </c>
      <c r="W13" s="73">
        <f t="shared" si="9"/>
        <v>768.96</v>
      </c>
      <c r="X13" s="109">
        <f t="shared" si="10"/>
        <v>6703.988571428571</v>
      </c>
      <c r="Y13" s="73">
        <f t="shared" si="11"/>
        <v>11.173314285714286</v>
      </c>
      <c r="Z13" s="119">
        <f t="shared" si="18"/>
        <v>12871.389774220295</v>
      </c>
      <c r="AA13" s="119">
        <f t="shared" si="13"/>
        <v>2894.9007304128359</v>
      </c>
      <c r="AB13" s="119">
        <f t="shared" si="14"/>
        <v>5964.4250796798269</v>
      </c>
      <c r="AC13" s="119">
        <f t="shared" si="15"/>
        <v>1590.5133545812871</v>
      </c>
      <c r="AD13" s="119">
        <f t="shared" si="16"/>
        <v>17.416398607789919</v>
      </c>
      <c r="AE13" s="120">
        <f t="shared" si="17"/>
        <v>6.2430843220756334</v>
      </c>
    </row>
    <row r="14" spans="1:31" x14ac:dyDescent="0.25">
      <c r="A14" s="68">
        <v>42</v>
      </c>
      <c r="B14" s="68" t="str">
        <f t="shared" si="0"/>
        <v>0.18, Tractor (90-119 hp) 2WD 105</v>
      </c>
      <c r="C14" s="103">
        <v>0.18</v>
      </c>
      <c r="D14" s="68" t="s">
        <v>151</v>
      </c>
      <c r="E14" s="68" t="s">
        <v>387</v>
      </c>
      <c r="F14" s="68" t="s">
        <v>388</v>
      </c>
      <c r="G14" s="68" t="str">
        <f t="shared" si="1"/>
        <v>Tractor (90-119 hp) 2WD 105</v>
      </c>
      <c r="H14" s="222">
        <v>96900</v>
      </c>
      <c r="I14" s="68">
        <v>5.4046000000000003</v>
      </c>
      <c r="J14" s="68">
        <v>20</v>
      </c>
      <c r="K14" s="68">
        <v>60</v>
      </c>
      <c r="L14" s="68">
        <v>14</v>
      </c>
      <c r="M14" s="68">
        <v>600</v>
      </c>
      <c r="N14" s="68">
        <v>0</v>
      </c>
      <c r="O14" s="104">
        <f t="shared" si="2"/>
        <v>8400</v>
      </c>
      <c r="P14" s="104">
        <v>1</v>
      </c>
      <c r="Q14" s="107">
        <f t="shared" si="3"/>
        <v>4152.8571428571431</v>
      </c>
      <c r="R14" s="108">
        <f t="shared" si="4"/>
        <v>6.9214285714285717</v>
      </c>
      <c r="S14" s="88">
        <f t="shared" si="5"/>
        <v>19380</v>
      </c>
      <c r="T14" s="88">
        <f t="shared" si="6"/>
        <v>5537.1428571428569</v>
      </c>
      <c r="U14" s="88">
        <f t="shared" si="7"/>
        <v>58140</v>
      </c>
      <c r="V14" s="73">
        <f t="shared" si="8"/>
        <v>5232.5999999999995</v>
      </c>
      <c r="W14" s="73">
        <f t="shared" si="9"/>
        <v>1395.3600000000001</v>
      </c>
      <c r="X14" s="109">
        <f t="shared" si="10"/>
        <v>12165.102857142858</v>
      </c>
      <c r="Y14" s="73">
        <f t="shared" si="11"/>
        <v>20.275171428571429</v>
      </c>
      <c r="Z14" s="119">
        <f>((0.942-0.1*(L14^0.5)-0.0008*(M14^0.5))^2)*H14</f>
        <v>29124.775743669485</v>
      </c>
      <c r="AA14" s="119">
        <f t="shared" si="13"/>
        <v>4841.0874468807515</v>
      </c>
      <c r="AB14" s="119">
        <f t="shared" si="14"/>
        <v>11342.229816930252</v>
      </c>
      <c r="AC14" s="119">
        <f t="shared" si="15"/>
        <v>3024.5946178480676</v>
      </c>
      <c r="AD14" s="119">
        <f t="shared" si="16"/>
        <v>32.013186469431787</v>
      </c>
      <c r="AE14" s="120">
        <f t="shared" si="17"/>
        <v>11.738015040860358</v>
      </c>
    </row>
    <row r="15" spans="1:31" x14ac:dyDescent="0.25">
      <c r="A15" s="68">
        <v>43</v>
      </c>
      <c r="B15" s="68" t="str">
        <f t="shared" si="0"/>
        <v>0.19, Tractor (90-119 hp) MFWD 105</v>
      </c>
      <c r="C15" s="103">
        <v>0.19</v>
      </c>
      <c r="D15" s="68" t="s">
        <v>151</v>
      </c>
      <c r="E15" s="68" t="s">
        <v>387</v>
      </c>
      <c r="F15" s="68" t="s">
        <v>389</v>
      </c>
      <c r="G15" s="68" t="str">
        <f t="shared" si="1"/>
        <v>Tractor (90-119 hp) MFWD 105</v>
      </c>
      <c r="H15" s="222">
        <v>109900</v>
      </c>
      <c r="I15" s="68">
        <v>5.4046000000000003</v>
      </c>
      <c r="J15" s="68">
        <v>20</v>
      </c>
      <c r="K15" s="68">
        <v>60</v>
      </c>
      <c r="L15" s="68">
        <v>14</v>
      </c>
      <c r="M15" s="68">
        <v>600</v>
      </c>
      <c r="N15" s="68">
        <v>0</v>
      </c>
      <c r="O15" s="104">
        <f t="shared" si="2"/>
        <v>8400</v>
      </c>
      <c r="P15" s="104">
        <v>1</v>
      </c>
      <c r="Q15" s="107">
        <f t="shared" si="3"/>
        <v>4710</v>
      </c>
      <c r="R15" s="108">
        <f t="shared" si="4"/>
        <v>7.85</v>
      </c>
      <c r="S15" s="88">
        <f t="shared" si="5"/>
        <v>21980</v>
      </c>
      <c r="T15" s="88">
        <f t="shared" si="6"/>
        <v>6280</v>
      </c>
      <c r="U15" s="88">
        <f t="shared" si="7"/>
        <v>65940</v>
      </c>
      <c r="V15" s="73">
        <f t="shared" si="8"/>
        <v>5934.5999999999995</v>
      </c>
      <c r="W15" s="73">
        <f t="shared" si="9"/>
        <v>1582.56</v>
      </c>
      <c r="X15" s="109">
        <f t="shared" si="10"/>
        <v>13797.159999999998</v>
      </c>
      <c r="Y15" s="73">
        <f t="shared" si="11"/>
        <v>22.995266666666662</v>
      </c>
      <c r="Z15" s="119">
        <f t="shared" ref="Z15:Z21" si="19">((0.942-0.1*(L15^0.5)-0.0008*(M15^0.5))^2)*H15</f>
        <v>33032.124398650943</v>
      </c>
      <c r="AA15" s="119">
        <f t="shared" si="13"/>
        <v>5490.5625429535039</v>
      </c>
      <c r="AB15" s="119">
        <f t="shared" si="14"/>
        <v>12863.891195878585</v>
      </c>
      <c r="AC15" s="119">
        <f t="shared" si="15"/>
        <v>3430.3709855676229</v>
      </c>
      <c r="AD15" s="119">
        <f t="shared" si="16"/>
        <v>36.308041207332856</v>
      </c>
      <c r="AE15" s="120">
        <f t="shared" si="17"/>
        <v>13.312774540666194</v>
      </c>
    </row>
    <row r="16" spans="1:31" x14ac:dyDescent="0.25">
      <c r="A16" s="68">
        <v>3</v>
      </c>
      <c r="B16" s="68" t="str">
        <f t="shared" si="0"/>
        <v>0.2, Tractor (90-119 hp) 2WD 105</v>
      </c>
      <c r="C16" s="103">
        <v>0.2</v>
      </c>
      <c r="D16" s="68" t="s">
        <v>151</v>
      </c>
      <c r="E16" s="68" t="s">
        <v>387</v>
      </c>
      <c r="F16" s="68" t="s">
        <v>388</v>
      </c>
      <c r="G16" s="68" t="str">
        <f t="shared" si="1"/>
        <v>Tractor (90-119 hp) 2WD 105</v>
      </c>
      <c r="H16" s="222">
        <v>91600</v>
      </c>
      <c r="I16" s="68">
        <v>5.4046000000000003</v>
      </c>
      <c r="J16" s="68">
        <v>20</v>
      </c>
      <c r="K16" s="68">
        <v>60</v>
      </c>
      <c r="L16" s="68">
        <v>14</v>
      </c>
      <c r="M16" s="68">
        <v>600</v>
      </c>
      <c r="N16" s="68">
        <v>0</v>
      </c>
      <c r="O16" s="104">
        <f t="shared" si="2"/>
        <v>8400</v>
      </c>
      <c r="P16" s="104">
        <v>1</v>
      </c>
      <c r="Q16" s="107">
        <f t="shared" si="3"/>
        <v>3925.7142857142858</v>
      </c>
      <c r="R16" s="108">
        <f t="shared" si="4"/>
        <v>6.5428571428571427</v>
      </c>
      <c r="S16" s="88">
        <f t="shared" si="5"/>
        <v>18320</v>
      </c>
      <c r="T16" s="88">
        <f t="shared" si="6"/>
        <v>5234.2857142857147</v>
      </c>
      <c r="U16" s="88">
        <f t="shared" si="7"/>
        <v>54960</v>
      </c>
      <c r="V16" s="73">
        <f t="shared" si="8"/>
        <v>4946.3999999999996</v>
      </c>
      <c r="W16" s="73">
        <f t="shared" si="9"/>
        <v>1319.04</v>
      </c>
      <c r="X16" s="109">
        <f t="shared" si="10"/>
        <v>11499.725714285716</v>
      </c>
      <c r="Y16" s="73">
        <f t="shared" si="11"/>
        <v>19.166209523809528</v>
      </c>
      <c r="Z16" s="119">
        <f t="shared" si="19"/>
        <v>27531.779753561659</v>
      </c>
      <c r="AA16" s="119">
        <f t="shared" si="13"/>
        <v>4576.3014461741677</v>
      </c>
      <c r="AB16" s="119">
        <f t="shared" si="14"/>
        <v>10721.860177820548</v>
      </c>
      <c r="AC16" s="119">
        <f t="shared" si="15"/>
        <v>2859.1627140854798</v>
      </c>
      <c r="AD16" s="119">
        <f t="shared" si="16"/>
        <v>30.262207230133658</v>
      </c>
      <c r="AE16" s="120">
        <f t="shared" si="17"/>
        <v>11.09599770632413</v>
      </c>
    </row>
    <row r="17" spans="1:31" x14ac:dyDescent="0.25">
      <c r="A17" s="68">
        <v>41</v>
      </c>
      <c r="B17" s="68" t="str">
        <f t="shared" si="0"/>
        <v>0.21, Tractor (90-119 hp) MFWD 105</v>
      </c>
      <c r="C17" s="103">
        <v>0.21</v>
      </c>
      <c r="D17" s="68" t="s">
        <v>151</v>
      </c>
      <c r="E17" s="68" t="s">
        <v>387</v>
      </c>
      <c r="F17" s="68" t="s">
        <v>389</v>
      </c>
      <c r="G17" s="68" t="str">
        <f t="shared" si="1"/>
        <v>Tractor (90-119 hp) MFWD 105</v>
      </c>
      <c r="H17" s="222">
        <v>97400</v>
      </c>
      <c r="I17" s="68">
        <v>5.4046000000000003</v>
      </c>
      <c r="J17" s="68">
        <v>20</v>
      </c>
      <c r="K17" s="68">
        <v>60</v>
      </c>
      <c r="L17" s="68">
        <v>14</v>
      </c>
      <c r="M17" s="68">
        <v>600</v>
      </c>
      <c r="N17" s="68">
        <v>0</v>
      </c>
      <c r="O17" s="104">
        <f t="shared" si="2"/>
        <v>8400</v>
      </c>
      <c r="P17" s="104">
        <v>1</v>
      </c>
      <c r="Q17" s="107">
        <f t="shared" si="3"/>
        <v>4174.2857142857147</v>
      </c>
      <c r="R17" s="108">
        <f t="shared" si="4"/>
        <v>6.9571428571428582</v>
      </c>
      <c r="S17" s="88">
        <f t="shared" si="5"/>
        <v>19480</v>
      </c>
      <c r="T17" s="88">
        <f t="shared" si="6"/>
        <v>5565.7142857142853</v>
      </c>
      <c r="U17" s="88">
        <f t="shared" si="7"/>
        <v>58440</v>
      </c>
      <c r="V17" s="73">
        <f t="shared" si="8"/>
        <v>5259.5999999999995</v>
      </c>
      <c r="W17" s="73">
        <f t="shared" si="9"/>
        <v>1402.56</v>
      </c>
      <c r="X17" s="109">
        <f t="shared" si="10"/>
        <v>12227.874285714284</v>
      </c>
      <c r="Y17" s="73">
        <f t="shared" si="11"/>
        <v>20.379790476190475</v>
      </c>
      <c r="Z17" s="119">
        <f t="shared" si="19"/>
        <v>29275.058384245694</v>
      </c>
      <c r="AA17" s="119">
        <f t="shared" si="13"/>
        <v>4866.0672582681646</v>
      </c>
      <c r="AB17" s="119">
        <f t="shared" si="14"/>
        <v>11400.755254582113</v>
      </c>
      <c r="AC17" s="119">
        <f t="shared" si="15"/>
        <v>3040.201401221897</v>
      </c>
      <c r="AD17" s="119">
        <f t="shared" si="16"/>
        <v>32.17837319012029</v>
      </c>
      <c r="AE17" s="120">
        <f t="shared" si="17"/>
        <v>11.798582713929815</v>
      </c>
    </row>
    <row r="18" spans="1:31" x14ac:dyDescent="0.25">
      <c r="A18" s="68">
        <v>4</v>
      </c>
      <c r="B18" s="68" t="str">
        <f t="shared" si="0"/>
        <v>0.22, Tractor (120-139 hp) 2WD 130</v>
      </c>
      <c r="C18" s="103">
        <v>0.22</v>
      </c>
      <c r="D18" s="68" t="s">
        <v>151</v>
      </c>
      <c r="E18" s="68" t="s">
        <v>390</v>
      </c>
      <c r="F18" s="68" t="s">
        <v>391</v>
      </c>
      <c r="G18" s="68" t="str">
        <f t="shared" si="1"/>
        <v>Tractor (120-139 hp) 2WD 130</v>
      </c>
      <c r="H18" s="225">
        <v>127900</v>
      </c>
      <c r="I18" s="68">
        <v>6.6913999999999998</v>
      </c>
      <c r="J18" s="68">
        <v>20</v>
      </c>
      <c r="K18" s="68">
        <v>60</v>
      </c>
      <c r="L18" s="68">
        <v>14</v>
      </c>
      <c r="M18" s="68">
        <v>600</v>
      </c>
      <c r="N18" s="68">
        <v>0</v>
      </c>
      <c r="O18" s="104">
        <f t="shared" si="2"/>
        <v>8400</v>
      </c>
      <c r="P18" s="104">
        <v>1</v>
      </c>
      <c r="Q18" s="107">
        <f t="shared" si="3"/>
        <v>5481.4285714285716</v>
      </c>
      <c r="R18" s="108">
        <f t="shared" si="4"/>
        <v>9.1357142857142861</v>
      </c>
      <c r="S18" s="88">
        <f t="shared" si="5"/>
        <v>25580</v>
      </c>
      <c r="T18" s="88">
        <f t="shared" si="6"/>
        <v>7308.5714285714284</v>
      </c>
      <c r="U18" s="88">
        <f t="shared" si="7"/>
        <v>76740</v>
      </c>
      <c r="V18" s="73">
        <f t="shared" si="8"/>
        <v>6906.5999999999995</v>
      </c>
      <c r="W18" s="73">
        <f t="shared" si="9"/>
        <v>1841.76</v>
      </c>
      <c r="X18" s="109">
        <f t="shared" si="10"/>
        <v>16056.931428571428</v>
      </c>
      <c r="Y18" s="73">
        <f t="shared" si="11"/>
        <v>26.761552380952381</v>
      </c>
      <c r="Z18" s="119">
        <f t="shared" si="19"/>
        <v>38442.299459394504</v>
      </c>
      <c r="AA18" s="119">
        <f t="shared" si="13"/>
        <v>6389.8357529003924</v>
      </c>
      <c r="AB18" s="119">
        <f t="shared" si="14"/>
        <v>14970.806951345505</v>
      </c>
      <c r="AC18" s="119">
        <f t="shared" si="15"/>
        <v>3992.2151870254684</v>
      </c>
      <c r="AD18" s="119">
        <f t="shared" si="16"/>
        <v>42.25476315211894</v>
      </c>
      <c r="AE18" s="120">
        <f t="shared" si="17"/>
        <v>15.493210771166559</v>
      </c>
    </row>
    <row r="19" spans="1:31" x14ac:dyDescent="0.25">
      <c r="A19" s="68">
        <v>44</v>
      </c>
      <c r="B19" s="68" t="str">
        <f t="shared" si="0"/>
        <v>0.23, Tractor (120-139 hp) MFWD 130</v>
      </c>
      <c r="C19" s="103">
        <v>0.23</v>
      </c>
      <c r="D19" s="68" t="s">
        <v>151</v>
      </c>
      <c r="E19" s="68" t="s">
        <v>390</v>
      </c>
      <c r="F19" s="68" t="s">
        <v>392</v>
      </c>
      <c r="G19" s="68" t="str">
        <f t="shared" si="1"/>
        <v>Tractor (120-139 hp) MFWD 130</v>
      </c>
      <c r="H19" s="225">
        <v>165700</v>
      </c>
      <c r="I19" s="68">
        <v>6.6913999999999998</v>
      </c>
      <c r="J19" s="68">
        <v>20</v>
      </c>
      <c r="K19" s="68">
        <v>60</v>
      </c>
      <c r="L19" s="68">
        <v>14</v>
      </c>
      <c r="M19" s="68">
        <v>600</v>
      </c>
      <c r="N19" s="68">
        <v>0</v>
      </c>
      <c r="O19" s="104">
        <f t="shared" si="2"/>
        <v>8400</v>
      </c>
      <c r="P19" s="104">
        <v>1</v>
      </c>
      <c r="Q19" s="107">
        <f t="shared" si="3"/>
        <v>7101.4285714285716</v>
      </c>
      <c r="R19" s="108">
        <f t="shared" si="4"/>
        <v>11.835714285714285</v>
      </c>
      <c r="S19" s="88">
        <f t="shared" si="5"/>
        <v>33140</v>
      </c>
      <c r="T19" s="88">
        <f t="shared" si="6"/>
        <v>9468.5714285714294</v>
      </c>
      <c r="U19" s="88">
        <f t="shared" si="7"/>
        <v>99420</v>
      </c>
      <c r="V19" s="73">
        <f t="shared" si="8"/>
        <v>8947.7999999999993</v>
      </c>
      <c r="W19" s="73">
        <f t="shared" si="9"/>
        <v>2386.08</v>
      </c>
      <c r="X19" s="109">
        <f t="shared" si="10"/>
        <v>20802.451428571432</v>
      </c>
      <c r="Y19" s="73">
        <f t="shared" si="11"/>
        <v>34.670752380952386</v>
      </c>
      <c r="Z19" s="119">
        <f t="shared" si="19"/>
        <v>49803.667086955975</v>
      </c>
      <c r="AA19" s="119">
        <f t="shared" si="13"/>
        <v>8278.3094937888582</v>
      </c>
      <c r="AB19" s="119">
        <f t="shared" si="14"/>
        <v>19395.330037826036</v>
      </c>
      <c r="AC19" s="119">
        <f t="shared" si="15"/>
        <v>5172.0880100869435</v>
      </c>
      <c r="AD19" s="119">
        <f t="shared" si="16"/>
        <v>54.742879236169735</v>
      </c>
      <c r="AE19" s="120">
        <f t="shared" si="17"/>
        <v>20.072126855217348</v>
      </c>
    </row>
    <row r="20" spans="1:31" x14ac:dyDescent="0.25">
      <c r="A20" s="68">
        <v>5</v>
      </c>
      <c r="B20" s="68" t="str">
        <f t="shared" si="0"/>
        <v>0.24, Tractor (140-159 hp) 2WD 150</v>
      </c>
      <c r="C20" s="103">
        <v>0.24</v>
      </c>
      <c r="D20" s="68" t="s">
        <v>151</v>
      </c>
      <c r="E20" s="68" t="s">
        <v>393</v>
      </c>
      <c r="F20" s="68" t="s">
        <v>394</v>
      </c>
      <c r="G20" s="68" t="str">
        <f t="shared" si="1"/>
        <v>Tractor (140-159 hp) 2WD 150</v>
      </c>
      <c r="H20" s="225">
        <v>152300</v>
      </c>
      <c r="I20" s="68">
        <v>7.7209000000000003</v>
      </c>
      <c r="J20" s="68">
        <v>20</v>
      </c>
      <c r="K20" s="68">
        <v>60</v>
      </c>
      <c r="L20" s="68">
        <v>14</v>
      </c>
      <c r="M20" s="68">
        <v>600</v>
      </c>
      <c r="N20" s="68">
        <v>0</v>
      </c>
      <c r="O20" s="104">
        <f t="shared" si="2"/>
        <v>8400</v>
      </c>
      <c r="P20" s="104">
        <v>1</v>
      </c>
      <c r="Q20" s="107">
        <f t="shared" si="3"/>
        <v>6527.1428571428569</v>
      </c>
      <c r="R20" s="108">
        <f t="shared" si="4"/>
        <v>10.878571428571428</v>
      </c>
      <c r="S20" s="88">
        <f t="shared" si="5"/>
        <v>30460</v>
      </c>
      <c r="T20" s="88">
        <f t="shared" si="6"/>
        <v>8702.8571428571431</v>
      </c>
      <c r="U20" s="88">
        <f t="shared" si="7"/>
        <v>91380</v>
      </c>
      <c r="V20" s="73">
        <f t="shared" si="8"/>
        <v>8224.1999999999989</v>
      </c>
      <c r="W20" s="73">
        <f t="shared" si="9"/>
        <v>2193.12</v>
      </c>
      <c r="X20" s="109">
        <f t="shared" si="10"/>
        <v>19120.177142857141</v>
      </c>
      <c r="Y20" s="73">
        <f t="shared" si="11"/>
        <v>31.866961904761901</v>
      </c>
      <c r="Z20" s="119">
        <f t="shared" si="19"/>
        <v>45776.092319513547</v>
      </c>
      <c r="AA20" s="119">
        <f t="shared" si="13"/>
        <v>7608.8505486061749</v>
      </c>
      <c r="AB20" s="119">
        <f t="shared" si="14"/>
        <v>17826.84830875622</v>
      </c>
      <c r="AC20" s="119">
        <f t="shared" si="15"/>
        <v>4753.8262156683259</v>
      </c>
      <c r="AD20" s="119">
        <f t="shared" si="16"/>
        <v>50.315875121717873</v>
      </c>
      <c r="AE20" s="120">
        <f t="shared" si="17"/>
        <v>18.448913216955972</v>
      </c>
    </row>
    <row r="21" spans="1:31" x14ac:dyDescent="0.25">
      <c r="A21" s="68">
        <v>18</v>
      </c>
      <c r="B21" s="68" t="str">
        <f t="shared" si="0"/>
        <v>0.25, Tractor (140-159 hp) MFWD 150</v>
      </c>
      <c r="C21" s="103">
        <v>0.25</v>
      </c>
      <c r="D21" s="68" t="s">
        <v>151</v>
      </c>
      <c r="E21" s="68" t="s">
        <v>393</v>
      </c>
      <c r="F21" s="68" t="s">
        <v>395</v>
      </c>
      <c r="G21" s="68" t="str">
        <f t="shared" si="1"/>
        <v>Tractor (140-159 hp) MFWD 150</v>
      </c>
      <c r="H21" s="225">
        <v>179700</v>
      </c>
      <c r="I21" s="68">
        <v>7.7209000000000003</v>
      </c>
      <c r="J21" s="68">
        <v>20</v>
      </c>
      <c r="K21" s="68">
        <v>60</v>
      </c>
      <c r="L21" s="68">
        <v>14</v>
      </c>
      <c r="M21" s="68">
        <v>600</v>
      </c>
      <c r="N21" s="68">
        <v>0</v>
      </c>
      <c r="O21" s="104">
        <f t="shared" si="2"/>
        <v>8400</v>
      </c>
      <c r="P21" s="104">
        <v>1</v>
      </c>
      <c r="Q21" s="107">
        <f t="shared" si="3"/>
        <v>7701.4285714285716</v>
      </c>
      <c r="R21" s="108">
        <f t="shared" si="4"/>
        <v>12.835714285714285</v>
      </c>
      <c r="S21" s="88">
        <f t="shared" si="5"/>
        <v>35940</v>
      </c>
      <c r="T21" s="88">
        <f t="shared" si="6"/>
        <v>10268.571428571429</v>
      </c>
      <c r="U21" s="88">
        <f t="shared" si="7"/>
        <v>107820</v>
      </c>
      <c r="V21" s="73">
        <f t="shared" si="8"/>
        <v>9703.7999999999993</v>
      </c>
      <c r="W21" s="73">
        <f t="shared" si="9"/>
        <v>2587.6799999999998</v>
      </c>
      <c r="X21" s="109">
        <f t="shared" si="10"/>
        <v>22560.051428571431</v>
      </c>
      <c r="Y21" s="73">
        <f t="shared" si="11"/>
        <v>37.600085714285719</v>
      </c>
      <c r="Z21" s="119">
        <f t="shared" si="19"/>
        <v>54011.58102308985</v>
      </c>
      <c r="AA21" s="119">
        <f t="shared" si="13"/>
        <v>8977.7442126364385</v>
      </c>
      <c r="AB21" s="119">
        <f t="shared" si="14"/>
        <v>21034.042292078087</v>
      </c>
      <c r="AC21" s="119">
        <f t="shared" si="15"/>
        <v>5609.0779445541566</v>
      </c>
      <c r="AD21" s="119">
        <f t="shared" si="16"/>
        <v>59.368107415447803</v>
      </c>
      <c r="AE21" s="120">
        <f t="shared" si="17"/>
        <v>21.768021701162084</v>
      </c>
    </row>
    <row r="22" spans="1:31" x14ac:dyDescent="0.25">
      <c r="A22" s="68">
        <v>6</v>
      </c>
      <c r="B22" s="68" t="str">
        <f t="shared" si="0"/>
        <v>0.26, Tractor (160-179 hp) 2WD 170</v>
      </c>
      <c r="C22" s="103">
        <v>0.26</v>
      </c>
      <c r="D22" s="68" t="s">
        <v>151</v>
      </c>
      <c r="E22" s="68" t="s">
        <v>396</v>
      </c>
      <c r="F22" s="68" t="s">
        <v>397</v>
      </c>
      <c r="G22" s="68" t="str">
        <f t="shared" si="1"/>
        <v>Tractor (160-179 hp) 2WD 170</v>
      </c>
      <c r="H22" s="225">
        <v>207000</v>
      </c>
      <c r="I22" s="68">
        <v>8.7502999999999993</v>
      </c>
      <c r="J22" s="68">
        <v>20</v>
      </c>
      <c r="K22" s="68">
        <v>60</v>
      </c>
      <c r="L22" s="68">
        <v>14</v>
      </c>
      <c r="M22" s="68">
        <v>600</v>
      </c>
      <c r="N22" s="68">
        <v>0</v>
      </c>
      <c r="O22" s="104">
        <f t="shared" si="2"/>
        <v>8400</v>
      </c>
      <c r="P22" s="104">
        <v>1</v>
      </c>
      <c r="Q22" s="107">
        <f t="shared" si="3"/>
        <v>8871.4285714285706</v>
      </c>
      <c r="R22" s="108">
        <f t="shared" si="4"/>
        <v>14.785714285714285</v>
      </c>
      <c r="S22" s="88">
        <f t="shared" si="5"/>
        <v>41400</v>
      </c>
      <c r="T22" s="88">
        <f t="shared" si="6"/>
        <v>11828.571428571429</v>
      </c>
      <c r="U22" s="88">
        <f t="shared" si="7"/>
        <v>124200</v>
      </c>
      <c r="V22" s="73">
        <f t="shared" si="8"/>
        <v>11178</v>
      </c>
      <c r="W22" s="73">
        <f t="shared" si="9"/>
        <v>2980.8</v>
      </c>
      <c r="X22" s="109">
        <f t="shared" si="10"/>
        <v>25987.371428571427</v>
      </c>
      <c r="Y22" s="73">
        <f t="shared" si="11"/>
        <v>43.312285714285714</v>
      </c>
      <c r="Z22" s="119">
        <f>((0.976-0.119*(L22^0.5)-0.0019*(M22^0.5))^2)*H22</f>
        <v>48531.569784799816</v>
      </c>
      <c r="AA22" s="119">
        <f t="shared" si="13"/>
        <v>11319.173586800012</v>
      </c>
      <c r="AB22" s="119">
        <f t="shared" si="14"/>
        <v>22997.841280631983</v>
      </c>
      <c r="AC22" s="119">
        <f t="shared" si="15"/>
        <v>6132.7576748351958</v>
      </c>
      <c r="AD22" s="119">
        <f t="shared" si="16"/>
        <v>67.416287570445306</v>
      </c>
      <c r="AE22" s="120">
        <f t="shared" si="17"/>
        <v>24.104001856159591</v>
      </c>
    </row>
    <row r="23" spans="1:31" x14ac:dyDescent="0.25">
      <c r="A23" s="68">
        <v>19</v>
      </c>
      <c r="B23" s="68" t="str">
        <f t="shared" si="0"/>
        <v>0.27, Tractor (160-179 hp) MFWD 170</v>
      </c>
      <c r="C23" s="103">
        <v>0.27</v>
      </c>
      <c r="D23" s="68" t="s">
        <v>151</v>
      </c>
      <c r="E23" s="68" t="s">
        <v>396</v>
      </c>
      <c r="F23" s="68" t="s">
        <v>398</v>
      </c>
      <c r="G23" s="68" t="str">
        <f t="shared" si="1"/>
        <v>Tractor (160-179 hp) MFWD 170</v>
      </c>
      <c r="H23" s="223">
        <v>217000</v>
      </c>
      <c r="I23" s="68">
        <v>8.7502999999999993</v>
      </c>
      <c r="J23" s="68">
        <v>20</v>
      </c>
      <c r="K23" s="68">
        <v>60</v>
      </c>
      <c r="L23" s="68">
        <v>14</v>
      </c>
      <c r="M23" s="68">
        <v>600</v>
      </c>
      <c r="N23" s="68">
        <v>0</v>
      </c>
      <c r="O23" s="104">
        <f t="shared" si="2"/>
        <v>8400</v>
      </c>
      <c r="P23" s="104">
        <v>1</v>
      </c>
      <c r="Q23" s="107">
        <f t="shared" si="3"/>
        <v>9300</v>
      </c>
      <c r="R23" s="108">
        <f t="shared" si="4"/>
        <v>15.5</v>
      </c>
      <c r="S23" s="88">
        <f t="shared" si="5"/>
        <v>43400</v>
      </c>
      <c r="T23" s="88">
        <f t="shared" si="6"/>
        <v>12400</v>
      </c>
      <c r="U23" s="88">
        <f t="shared" si="7"/>
        <v>130200</v>
      </c>
      <c r="V23" s="73">
        <f t="shared" si="8"/>
        <v>11718</v>
      </c>
      <c r="W23" s="73">
        <f t="shared" si="9"/>
        <v>3124.8</v>
      </c>
      <c r="X23" s="109">
        <f t="shared" si="10"/>
        <v>27242.799999999999</v>
      </c>
      <c r="Y23" s="73">
        <f t="shared" si="11"/>
        <v>45.404666666666664</v>
      </c>
      <c r="Z23" s="119">
        <f t="shared" ref="Z23:Z33" si="20">((0.976-0.119*(L23^0.5)-0.0019*(M23^0.5))^2)*H23</f>
        <v>50876.090064258744</v>
      </c>
      <c r="AA23" s="119">
        <f t="shared" si="13"/>
        <v>11865.993566838661</v>
      </c>
      <c r="AB23" s="119">
        <f t="shared" si="14"/>
        <v>24108.848105783283</v>
      </c>
      <c r="AC23" s="119">
        <f t="shared" si="15"/>
        <v>6429.0261615422096</v>
      </c>
      <c r="AD23" s="119">
        <f t="shared" si="16"/>
        <v>70.673113056940252</v>
      </c>
      <c r="AE23" s="120">
        <f t="shared" si="17"/>
        <v>25.268446390273589</v>
      </c>
    </row>
    <row r="24" spans="1:31" x14ac:dyDescent="0.25">
      <c r="A24" s="68">
        <v>21</v>
      </c>
      <c r="B24" s="68" t="str">
        <f t="shared" si="0"/>
        <v>0.28, Tractor (180-199 hp) MFWD 190</v>
      </c>
      <c r="C24" s="103">
        <v>0.28000000000000003</v>
      </c>
      <c r="D24" s="68" t="s">
        <v>151</v>
      </c>
      <c r="E24" s="68" t="s">
        <v>399</v>
      </c>
      <c r="F24" s="68" t="s">
        <v>400</v>
      </c>
      <c r="G24" s="68" t="str">
        <f t="shared" si="1"/>
        <v>Tractor (180-199 hp) MFWD 190</v>
      </c>
      <c r="H24" s="225">
        <v>274000</v>
      </c>
      <c r="I24" s="68">
        <v>9.7797999999999998</v>
      </c>
      <c r="J24" s="68">
        <v>20</v>
      </c>
      <c r="K24" s="68">
        <v>60</v>
      </c>
      <c r="L24" s="68">
        <v>14</v>
      </c>
      <c r="M24" s="68">
        <v>600</v>
      </c>
      <c r="N24" s="68">
        <v>0</v>
      </c>
      <c r="O24" s="104">
        <f t="shared" si="2"/>
        <v>8400</v>
      </c>
      <c r="P24" s="104">
        <v>1</v>
      </c>
      <c r="Q24" s="107">
        <f t="shared" si="3"/>
        <v>11742.857142857143</v>
      </c>
      <c r="R24" s="108">
        <f t="shared" si="4"/>
        <v>19.571428571428573</v>
      </c>
      <c r="S24" s="88">
        <f t="shared" si="5"/>
        <v>54800</v>
      </c>
      <c r="T24" s="88">
        <f t="shared" si="6"/>
        <v>15657.142857142857</v>
      </c>
      <c r="U24" s="88">
        <f t="shared" si="7"/>
        <v>164400</v>
      </c>
      <c r="V24" s="73">
        <f t="shared" si="8"/>
        <v>14796</v>
      </c>
      <c r="W24" s="73">
        <f t="shared" si="9"/>
        <v>3945.6</v>
      </c>
      <c r="X24" s="109">
        <f t="shared" si="10"/>
        <v>34398.742857142854</v>
      </c>
      <c r="Y24" s="73">
        <f t="shared" si="11"/>
        <v>57.331238095238092</v>
      </c>
      <c r="Z24" s="119">
        <f t="shared" si="20"/>
        <v>64239.855657174638</v>
      </c>
      <c r="AA24" s="119">
        <f t="shared" si="13"/>
        <v>14982.867453058954</v>
      </c>
      <c r="AB24" s="119">
        <f t="shared" si="14"/>
        <v>30441.587009145718</v>
      </c>
      <c r="AC24" s="119">
        <f t="shared" si="15"/>
        <v>8117.7565357721924</v>
      </c>
      <c r="AD24" s="119">
        <f t="shared" si="16"/>
        <v>89.237018329961444</v>
      </c>
      <c r="AE24" s="120">
        <f t="shared" si="17"/>
        <v>31.905780234723352</v>
      </c>
    </row>
    <row r="25" spans="1:31" x14ac:dyDescent="0.25">
      <c r="A25" s="68">
        <v>9</v>
      </c>
      <c r="B25" s="68" t="str">
        <f t="shared" si="0"/>
        <v>0.29, Tractor (200-249 hp) MFWD 225</v>
      </c>
      <c r="C25" s="103">
        <v>0.28999999999999998</v>
      </c>
      <c r="D25" s="68" t="s">
        <v>151</v>
      </c>
      <c r="E25" s="68" t="s">
        <v>401</v>
      </c>
      <c r="F25" s="68" t="s">
        <v>402</v>
      </c>
      <c r="G25" s="68" t="str">
        <f t="shared" si="1"/>
        <v>Tractor (200-249 hp) MFWD 225</v>
      </c>
      <c r="H25" s="225">
        <v>327000</v>
      </c>
      <c r="I25" s="68">
        <v>11.581300000000001</v>
      </c>
      <c r="J25" s="68">
        <v>20</v>
      </c>
      <c r="K25" s="68">
        <v>60</v>
      </c>
      <c r="L25" s="68">
        <v>14</v>
      </c>
      <c r="M25" s="68">
        <v>600</v>
      </c>
      <c r="N25" s="68">
        <v>0</v>
      </c>
      <c r="O25" s="104">
        <f t="shared" si="2"/>
        <v>8400</v>
      </c>
      <c r="P25" s="104">
        <v>1</v>
      </c>
      <c r="Q25" s="107">
        <f t="shared" si="3"/>
        <v>14014.285714285714</v>
      </c>
      <c r="R25" s="108">
        <f t="shared" si="4"/>
        <v>23.357142857142858</v>
      </c>
      <c r="S25" s="88">
        <f t="shared" si="5"/>
        <v>65400</v>
      </c>
      <c r="T25" s="88">
        <f t="shared" si="6"/>
        <v>18685.714285714286</v>
      </c>
      <c r="U25" s="88">
        <f t="shared" si="7"/>
        <v>196200</v>
      </c>
      <c r="V25" s="73">
        <f t="shared" si="8"/>
        <v>17658</v>
      </c>
      <c r="W25" s="73">
        <f t="shared" si="9"/>
        <v>4708.8</v>
      </c>
      <c r="X25" s="109">
        <f t="shared" si="10"/>
        <v>41052.514285714293</v>
      </c>
      <c r="Y25" s="73">
        <f t="shared" si="11"/>
        <v>68.420857142857159</v>
      </c>
      <c r="Z25" s="119">
        <f t="shared" si="20"/>
        <v>76665.813138306956</v>
      </c>
      <c r="AA25" s="119">
        <f t="shared" si="13"/>
        <v>17881.01334726379</v>
      </c>
      <c r="AB25" s="119">
        <f t="shared" si="14"/>
        <v>36329.923182447623</v>
      </c>
      <c r="AC25" s="119">
        <f t="shared" si="15"/>
        <v>9687.9795153193663</v>
      </c>
      <c r="AD25" s="119">
        <f t="shared" si="16"/>
        <v>106.49819340838464</v>
      </c>
      <c r="AE25" s="120">
        <f t="shared" si="17"/>
        <v>38.077336265527478</v>
      </c>
    </row>
    <row r="26" spans="1:31" x14ac:dyDescent="0.25">
      <c r="A26" s="68">
        <v>22</v>
      </c>
      <c r="B26" s="68" t="str">
        <f t="shared" si="0"/>
        <v>0.3, Tractor (200-249 hp) Track 225</v>
      </c>
      <c r="C26" s="103">
        <v>0.3</v>
      </c>
      <c r="D26" s="68" t="s">
        <v>151</v>
      </c>
      <c r="E26" s="68" t="s">
        <v>401</v>
      </c>
      <c r="F26" s="68" t="s">
        <v>403</v>
      </c>
      <c r="G26" s="68" t="str">
        <f t="shared" si="1"/>
        <v>Tractor (200-249 hp) Track 225</v>
      </c>
      <c r="H26" s="222">
        <v>277000</v>
      </c>
      <c r="I26" s="68">
        <v>11.581300000000001</v>
      </c>
      <c r="J26" s="68">
        <v>20</v>
      </c>
      <c r="K26" s="68">
        <v>60</v>
      </c>
      <c r="L26" s="68">
        <v>14</v>
      </c>
      <c r="M26" s="68">
        <v>600</v>
      </c>
      <c r="N26" s="68">
        <v>0</v>
      </c>
      <c r="O26" s="104">
        <f t="shared" si="2"/>
        <v>8400</v>
      </c>
      <c r="P26" s="104">
        <v>1</v>
      </c>
      <c r="Q26" s="107">
        <f t="shared" si="3"/>
        <v>11871.428571428571</v>
      </c>
      <c r="R26" s="108">
        <f t="shared" si="4"/>
        <v>19.785714285714285</v>
      </c>
      <c r="S26" s="88">
        <f t="shared" si="5"/>
        <v>55400</v>
      </c>
      <c r="T26" s="88">
        <f t="shared" si="6"/>
        <v>15828.571428571429</v>
      </c>
      <c r="U26" s="88">
        <f t="shared" si="7"/>
        <v>166200</v>
      </c>
      <c r="V26" s="73">
        <f t="shared" si="8"/>
        <v>14958</v>
      </c>
      <c r="W26" s="73">
        <f t="shared" si="9"/>
        <v>3988.8</v>
      </c>
      <c r="X26" s="109">
        <f t="shared" si="10"/>
        <v>34775.37142857143</v>
      </c>
      <c r="Y26" s="73">
        <f t="shared" si="11"/>
        <v>57.958952380952383</v>
      </c>
      <c r="Z26" s="119">
        <f t="shared" si="20"/>
        <v>64943.211741012317</v>
      </c>
      <c r="AA26" s="119">
        <f t="shared" si="13"/>
        <v>15146.913447070549</v>
      </c>
      <c r="AB26" s="119">
        <f t="shared" si="14"/>
        <v>30774.889056691103</v>
      </c>
      <c r="AC26" s="119">
        <f t="shared" si="15"/>
        <v>8206.6370817842944</v>
      </c>
      <c r="AD26" s="119">
        <f t="shared" si="16"/>
        <v>90.214065975909904</v>
      </c>
      <c r="AE26" s="120">
        <f t="shared" si="17"/>
        <v>32.255113594957521</v>
      </c>
    </row>
    <row r="27" spans="1:31" x14ac:dyDescent="0.25">
      <c r="A27" s="68">
        <v>23</v>
      </c>
      <c r="B27" s="68" t="str">
        <f t="shared" si="0"/>
        <v>0.31, Tractor (250-349 hp) 4WD 300</v>
      </c>
      <c r="C27" s="103">
        <v>0.31</v>
      </c>
      <c r="D27" s="68" t="s">
        <v>151</v>
      </c>
      <c r="E27" s="68" t="s">
        <v>404</v>
      </c>
      <c r="F27" s="68" t="s">
        <v>405</v>
      </c>
      <c r="G27" s="68" t="str">
        <f t="shared" si="1"/>
        <v>Tractor (250-349 hp) 4WD 300</v>
      </c>
      <c r="H27" s="222">
        <v>452000</v>
      </c>
      <c r="I27" s="68">
        <v>15.441800000000001</v>
      </c>
      <c r="J27" s="68">
        <v>20</v>
      </c>
      <c r="K27" s="68">
        <v>60</v>
      </c>
      <c r="L27" s="68">
        <v>14</v>
      </c>
      <c r="M27" s="68">
        <v>600</v>
      </c>
      <c r="N27" s="68">
        <v>0</v>
      </c>
      <c r="O27" s="104">
        <f t="shared" si="2"/>
        <v>8400</v>
      </c>
      <c r="P27" s="104">
        <v>1</v>
      </c>
      <c r="Q27" s="107">
        <f t="shared" si="3"/>
        <v>19371.428571428572</v>
      </c>
      <c r="R27" s="108">
        <f t="shared" si="4"/>
        <v>32.285714285714285</v>
      </c>
      <c r="S27" s="88">
        <f t="shared" si="5"/>
        <v>90400</v>
      </c>
      <c r="T27" s="88">
        <f t="shared" si="6"/>
        <v>25828.571428571428</v>
      </c>
      <c r="U27" s="88">
        <f t="shared" si="7"/>
        <v>271200</v>
      </c>
      <c r="V27" s="73">
        <f t="shared" si="8"/>
        <v>24408</v>
      </c>
      <c r="W27" s="73">
        <f t="shared" si="9"/>
        <v>6508.8</v>
      </c>
      <c r="X27" s="109">
        <f t="shared" si="10"/>
        <v>56745.37142857143</v>
      </c>
      <c r="Y27" s="73">
        <f t="shared" si="11"/>
        <v>94.575619047619057</v>
      </c>
      <c r="Z27" s="119">
        <f t="shared" si="20"/>
        <v>105972.31663154357</v>
      </c>
      <c r="AA27" s="119">
        <f t="shared" si="13"/>
        <v>24716.263097746887</v>
      </c>
      <c r="AB27" s="119">
        <f t="shared" si="14"/>
        <v>50217.50849683892</v>
      </c>
      <c r="AC27" s="119">
        <f t="shared" si="15"/>
        <v>13391.335599157046</v>
      </c>
      <c r="AD27" s="119">
        <f t="shared" si="16"/>
        <v>147.20851198957141</v>
      </c>
      <c r="AE27" s="120">
        <f t="shared" si="17"/>
        <v>52.632892941952349</v>
      </c>
    </row>
    <row r="28" spans="1:31" x14ac:dyDescent="0.25">
      <c r="A28" s="68">
        <v>61</v>
      </c>
      <c r="B28" s="68" t="str">
        <f t="shared" si="0"/>
        <v>0.32, Tractor (250-349 hp) MFWD 300</v>
      </c>
      <c r="C28" s="103">
        <v>0.32</v>
      </c>
      <c r="D28" s="68" t="s">
        <v>151</v>
      </c>
      <c r="E28" s="68" t="s">
        <v>404</v>
      </c>
      <c r="F28" s="68" t="s">
        <v>406</v>
      </c>
      <c r="G28" s="68" t="str">
        <f t="shared" si="1"/>
        <v>Tractor (250-349 hp) MFWD 300</v>
      </c>
      <c r="H28" s="222">
        <v>392000</v>
      </c>
      <c r="I28" s="68">
        <v>15.441800000000001</v>
      </c>
      <c r="J28" s="68">
        <v>20</v>
      </c>
      <c r="K28" s="68">
        <v>60</v>
      </c>
      <c r="L28" s="68">
        <v>14</v>
      </c>
      <c r="M28" s="68">
        <v>600</v>
      </c>
      <c r="N28" s="68">
        <v>0</v>
      </c>
      <c r="O28" s="104">
        <f t="shared" si="2"/>
        <v>8400</v>
      </c>
      <c r="P28" s="104">
        <v>1</v>
      </c>
      <c r="Q28" s="107">
        <f t="shared" si="3"/>
        <v>16800</v>
      </c>
      <c r="R28" s="108">
        <f t="shared" si="4"/>
        <v>28</v>
      </c>
      <c r="S28" s="88">
        <f t="shared" si="5"/>
        <v>78400</v>
      </c>
      <c r="T28" s="88">
        <f t="shared" si="6"/>
        <v>22400</v>
      </c>
      <c r="U28" s="88">
        <f t="shared" si="7"/>
        <v>235200</v>
      </c>
      <c r="V28" s="73">
        <f t="shared" si="8"/>
        <v>21168</v>
      </c>
      <c r="W28" s="73">
        <f t="shared" si="9"/>
        <v>5644.8</v>
      </c>
      <c r="X28" s="109">
        <f t="shared" si="10"/>
        <v>49212.800000000003</v>
      </c>
      <c r="Y28" s="73">
        <f t="shared" si="11"/>
        <v>82.021333333333345</v>
      </c>
      <c r="Z28" s="119">
        <f t="shared" si="20"/>
        <v>91905.19495479</v>
      </c>
      <c r="AA28" s="119">
        <f t="shared" si="13"/>
        <v>21435.343217515001</v>
      </c>
      <c r="AB28" s="119">
        <f t="shared" si="14"/>
        <v>43551.467545931097</v>
      </c>
      <c r="AC28" s="119">
        <f t="shared" si="15"/>
        <v>11613.724678914959</v>
      </c>
      <c r="AD28" s="119">
        <f t="shared" si="16"/>
        <v>127.66755907060175</v>
      </c>
      <c r="AE28" s="120">
        <f t="shared" si="17"/>
        <v>45.646225737268409</v>
      </c>
    </row>
    <row r="29" spans="1:31" x14ac:dyDescent="0.25">
      <c r="A29" s="68">
        <v>24</v>
      </c>
      <c r="B29" s="68" t="str">
        <f t="shared" si="0"/>
        <v>0.33, Tractor (250-349 hp) Track 300</v>
      </c>
      <c r="C29" s="103">
        <v>0.33</v>
      </c>
      <c r="D29" s="68" t="s">
        <v>151</v>
      </c>
      <c r="E29" s="68" t="s">
        <v>404</v>
      </c>
      <c r="F29" s="68" t="s">
        <v>407</v>
      </c>
      <c r="G29" s="68" t="str">
        <f t="shared" si="1"/>
        <v>Tractor (250-349 hp) Track 300</v>
      </c>
      <c r="H29" s="222">
        <v>329000</v>
      </c>
      <c r="I29" s="68">
        <v>15.441800000000001</v>
      </c>
      <c r="J29" s="68">
        <v>20</v>
      </c>
      <c r="K29" s="68">
        <v>60</v>
      </c>
      <c r="L29" s="68">
        <v>14</v>
      </c>
      <c r="M29" s="68">
        <v>600</v>
      </c>
      <c r="N29" s="68">
        <v>0</v>
      </c>
      <c r="O29" s="104">
        <f t="shared" si="2"/>
        <v>8400</v>
      </c>
      <c r="P29" s="104">
        <v>1</v>
      </c>
      <c r="Q29" s="107">
        <f t="shared" si="3"/>
        <v>14100</v>
      </c>
      <c r="R29" s="108">
        <f t="shared" si="4"/>
        <v>23.5</v>
      </c>
      <c r="S29" s="88">
        <f t="shared" si="5"/>
        <v>65800</v>
      </c>
      <c r="T29" s="88">
        <f t="shared" si="6"/>
        <v>18800</v>
      </c>
      <c r="U29" s="88">
        <f t="shared" si="7"/>
        <v>197400</v>
      </c>
      <c r="V29" s="73">
        <f t="shared" si="8"/>
        <v>17766</v>
      </c>
      <c r="W29" s="73">
        <f t="shared" si="9"/>
        <v>4737.6000000000004</v>
      </c>
      <c r="X29" s="109">
        <f t="shared" si="10"/>
        <v>41303.599999999999</v>
      </c>
      <c r="Y29" s="73">
        <f t="shared" si="11"/>
        <v>68.839333333333329</v>
      </c>
      <c r="Z29" s="119">
        <f t="shared" si="20"/>
        <v>77134.717194198747</v>
      </c>
      <c r="AA29" s="119">
        <f t="shared" si="13"/>
        <v>17990.377343271517</v>
      </c>
      <c r="AB29" s="119">
        <f t="shared" si="14"/>
        <v>36552.124547477884</v>
      </c>
      <c r="AC29" s="119">
        <f t="shared" si="15"/>
        <v>9747.2332126607707</v>
      </c>
      <c r="AD29" s="119">
        <f t="shared" si="16"/>
        <v>107.14955850568363</v>
      </c>
      <c r="AE29" s="120">
        <f t="shared" si="17"/>
        <v>38.3102251723503</v>
      </c>
    </row>
    <row r="30" spans="1:31" x14ac:dyDescent="0.25">
      <c r="A30" s="68">
        <v>25</v>
      </c>
      <c r="B30" s="68" t="str">
        <f t="shared" si="0"/>
        <v>0.34, Tractor (350-449 hp) 4WD 400</v>
      </c>
      <c r="C30" s="103">
        <v>0.34</v>
      </c>
      <c r="D30" s="68" t="s">
        <v>151</v>
      </c>
      <c r="E30" s="68" t="s">
        <v>408</v>
      </c>
      <c r="F30" s="68" t="s">
        <v>409</v>
      </c>
      <c r="G30" s="68" t="str">
        <f t="shared" si="1"/>
        <v>Tractor (350-449 hp) 4WD 400</v>
      </c>
      <c r="H30" s="222">
        <v>501000</v>
      </c>
      <c r="I30" s="68">
        <v>20.588999999999999</v>
      </c>
      <c r="J30" s="68">
        <v>20</v>
      </c>
      <c r="K30" s="68">
        <v>60</v>
      </c>
      <c r="L30" s="68">
        <v>14</v>
      </c>
      <c r="M30" s="68">
        <v>600</v>
      </c>
      <c r="N30" s="68">
        <v>0</v>
      </c>
      <c r="O30" s="104">
        <f t="shared" si="2"/>
        <v>8400</v>
      </c>
      <c r="P30" s="104">
        <v>1</v>
      </c>
      <c r="Q30" s="107">
        <f t="shared" si="3"/>
        <v>21471.428571428572</v>
      </c>
      <c r="R30" s="108">
        <f t="shared" si="4"/>
        <v>35.785714285714285</v>
      </c>
      <c r="S30" s="88">
        <f t="shared" si="5"/>
        <v>100200</v>
      </c>
      <c r="T30" s="88">
        <f t="shared" si="6"/>
        <v>28628.571428571428</v>
      </c>
      <c r="U30" s="88">
        <f t="shared" si="7"/>
        <v>300600</v>
      </c>
      <c r="V30" s="73">
        <f t="shared" si="8"/>
        <v>27054</v>
      </c>
      <c r="W30" s="73">
        <f t="shared" si="9"/>
        <v>7214.4000000000005</v>
      </c>
      <c r="X30" s="109">
        <f t="shared" si="10"/>
        <v>62896.971428571429</v>
      </c>
      <c r="Y30" s="73">
        <f t="shared" si="11"/>
        <v>104.82828571428571</v>
      </c>
      <c r="Z30" s="119">
        <f t="shared" si="20"/>
        <v>117460.46600089231</v>
      </c>
      <c r="AA30" s="119">
        <f t="shared" si="13"/>
        <v>27395.680999936263</v>
      </c>
      <c r="AB30" s="119">
        <f t="shared" si="14"/>
        <v>55661.441940080309</v>
      </c>
      <c r="AC30" s="119">
        <f t="shared" si="15"/>
        <v>14843.051184021417</v>
      </c>
      <c r="AD30" s="119">
        <f t="shared" si="16"/>
        <v>163.16695687339666</v>
      </c>
      <c r="AE30" s="120">
        <f t="shared" si="17"/>
        <v>58.338671159110945</v>
      </c>
    </row>
    <row r="31" spans="1:31" x14ac:dyDescent="0.25">
      <c r="A31" s="68">
        <v>26</v>
      </c>
      <c r="B31" s="68" t="str">
        <f t="shared" si="0"/>
        <v>0.35, Tractor (350-449 hp) Track 400</v>
      </c>
      <c r="C31" s="103">
        <v>0.35</v>
      </c>
      <c r="D31" s="68" t="s">
        <v>151</v>
      </c>
      <c r="E31" s="68" t="s">
        <v>408</v>
      </c>
      <c r="F31" s="68" t="s">
        <v>410</v>
      </c>
      <c r="G31" s="68" t="str">
        <f t="shared" si="1"/>
        <v>Tractor (350-449 hp) Track 400</v>
      </c>
      <c r="H31" s="222">
        <v>635000</v>
      </c>
      <c r="I31" s="68">
        <v>20.588999999999999</v>
      </c>
      <c r="J31" s="68">
        <v>20</v>
      </c>
      <c r="K31" s="68">
        <v>60</v>
      </c>
      <c r="L31" s="68">
        <v>14</v>
      </c>
      <c r="M31" s="68">
        <v>600</v>
      </c>
      <c r="N31" s="68">
        <v>0</v>
      </c>
      <c r="O31" s="104">
        <f t="shared" si="2"/>
        <v>8400</v>
      </c>
      <c r="P31" s="104">
        <v>1</v>
      </c>
      <c r="Q31" s="107">
        <f t="shared" si="3"/>
        <v>27214.285714285714</v>
      </c>
      <c r="R31" s="108">
        <f t="shared" si="4"/>
        <v>45.357142857142854</v>
      </c>
      <c r="S31" s="88">
        <f t="shared" si="5"/>
        <v>127000</v>
      </c>
      <c r="T31" s="88">
        <f t="shared" si="6"/>
        <v>36285.714285714283</v>
      </c>
      <c r="U31" s="88">
        <f t="shared" si="7"/>
        <v>381000</v>
      </c>
      <c r="V31" s="73">
        <f t="shared" si="8"/>
        <v>34290</v>
      </c>
      <c r="W31" s="73">
        <f t="shared" si="9"/>
        <v>9144</v>
      </c>
      <c r="X31" s="109">
        <f t="shared" si="10"/>
        <v>79719.71428571429</v>
      </c>
      <c r="Y31" s="73">
        <f t="shared" si="11"/>
        <v>132.8661904761905</v>
      </c>
      <c r="Z31" s="119">
        <f t="shared" si="20"/>
        <v>148877.03774564195</v>
      </c>
      <c r="AA31" s="119">
        <f t="shared" si="13"/>
        <v>34723.068732454143</v>
      </c>
      <c r="AB31" s="119">
        <f t="shared" si="14"/>
        <v>70548.933397107772</v>
      </c>
      <c r="AC31" s="119">
        <f t="shared" si="15"/>
        <v>18813.048905895408</v>
      </c>
      <c r="AD31" s="119">
        <f t="shared" si="16"/>
        <v>206.80841839242888</v>
      </c>
      <c r="AE31" s="120">
        <f t="shared" si="17"/>
        <v>73.94222791623838</v>
      </c>
    </row>
    <row r="32" spans="1:31" x14ac:dyDescent="0.25">
      <c r="A32" s="68">
        <v>56</v>
      </c>
      <c r="B32" s="68" t="str">
        <f t="shared" si="0"/>
        <v>0.36, Tractor (450-550 hp) 4WD 500</v>
      </c>
      <c r="C32" s="103">
        <v>0.36</v>
      </c>
      <c r="D32" s="68" t="s">
        <v>151</v>
      </c>
      <c r="E32" s="68" t="s">
        <v>411</v>
      </c>
      <c r="F32" s="68" t="s">
        <v>412</v>
      </c>
      <c r="G32" s="68" t="str">
        <f t="shared" si="1"/>
        <v>Tractor (450-550 hp) 4WD 500</v>
      </c>
      <c r="H32" s="222">
        <v>577000</v>
      </c>
      <c r="I32" s="68">
        <v>25.736000000000001</v>
      </c>
      <c r="J32" s="68">
        <v>20</v>
      </c>
      <c r="K32" s="68">
        <v>60</v>
      </c>
      <c r="L32" s="68">
        <v>14</v>
      </c>
      <c r="M32" s="68">
        <v>600</v>
      </c>
      <c r="N32" s="68">
        <v>0</v>
      </c>
      <c r="O32" s="104">
        <f t="shared" si="2"/>
        <v>8400</v>
      </c>
      <c r="P32" s="104">
        <v>1</v>
      </c>
      <c r="Q32" s="107">
        <f t="shared" si="3"/>
        <v>24728.571428571428</v>
      </c>
      <c r="R32" s="108">
        <f t="shared" si="4"/>
        <v>41.214285714285715</v>
      </c>
      <c r="S32" s="88">
        <f t="shared" si="5"/>
        <v>115400</v>
      </c>
      <c r="T32" s="88">
        <f t="shared" si="6"/>
        <v>32971.428571428572</v>
      </c>
      <c r="U32" s="88">
        <f t="shared" si="7"/>
        <v>346200</v>
      </c>
      <c r="V32" s="73">
        <f t="shared" si="8"/>
        <v>31158</v>
      </c>
      <c r="W32" s="73">
        <f t="shared" si="9"/>
        <v>8308.7999999999993</v>
      </c>
      <c r="X32" s="109">
        <f t="shared" si="10"/>
        <v>72438.228571428568</v>
      </c>
      <c r="Y32" s="73">
        <f t="shared" si="11"/>
        <v>120.73038095238094</v>
      </c>
      <c r="Z32" s="119">
        <f t="shared" si="20"/>
        <v>135278.82012478018</v>
      </c>
      <c r="AA32" s="119">
        <f t="shared" si="13"/>
        <v>31551.512848229988</v>
      </c>
      <c r="AB32" s="119">
        <f t="shared" si="14"/>
        <v>64105.09381123021</v>
      </c>
      <c r="AC32" s="119">
        <f t="shared" si="15"/>
        <v>17094.691682994726</v>
      </c>
      <c r="AD32" s="119">
        <f t="shared" si="16"/>
        <v>187.91883057075822</v>
      </c>
      <c r="AE32" s="120">
        <f t="shared" si="17"/>
        <v>67.188449618377277</v>
      </c>
    </row>
    <row r="33" spans="1:31" x14ac:dyDescent="0.25">
      <c r="A33" s="68">
        <v>55</v>
      </c>
      <c r="B33" s="68" t="str">
        <f t="shared" si="0"/>
        <v>0.37, Tractor (450-550 hp) Track 500</v>
      </c>
      <c r="C33" s="103">
        <v>0.37</v>
      </c>
      <c r="D33" s="68" t="s">
        <v>151</v>
      </c>
      <c r="E33" s="68" t="s">
        <v>411</v>
      </c>
      <c r="F33" s="68" t="s">
        <v>413</v>
      </c>
      <c r="G33" s="68" t="str">
        <f t="shared" si="1"/>
        <v>Tractor (450-550 hp) Track 500</v>
      </c>
      <c r="H33" s="222">
        <v>683000</v>
      </c>
      <c r="I33" s="68">
        <v>25.736000000000001</v>
      </c>
      <c r="J33" s="68">
        <v>20</v>
      </c>
      <c r="K33" s="68">
        <v>60</v>
      </c>
      <c r="L33" s="68">
        <v>14</v>
      </c>
      <c r="M33" s="68">
        <v>600</v>
      </c>
      <c r="N33" s="68">
        <v>0</v>
      </c>
      <c r="O33" s="104">
        <f t="shared" si="2"/>
        <v>8400</v>
      </c>
      <c r="P33" s="104">
        <v>1</v>
      </c>
      <c r="Q33" s="107">
        <f t="shared" si="3"/>
        <v>29271.428571428572</v>
      </c>
      <c r="R33" s="108">
        <f t="shared" si="4"/>
        <v>48.785714285714285</v>
      </c>
      <c r="S33" s="88">
        <f t="shared" si="5"/>
        <v>136600</v>
      </c>
      <c r="T33" s="88">
        <f t="shared" si="6"/>
        <v>39028.571428571428</v>
      </c>
      <c r="U33" s="88">
        <f t="shared" si="7"/>
        <v>409800</v>
      </c>
      <c r="V33" s="73">
        <f t="shared" si="8"/>
        <v>36882</v>
      </c>
      <c r="W33" s="73">
        <f t="shared" si="9"/>
        <v>9835.2000000000007</v>
      </c>
      <c r="X33" s="109">
        <f t="shared" si="10"/>
        <v>85745.771428571417</v>
      </c>
      <c r="Y33" s="73">
        <f t="shared" si="11"/>
        <v>142.90961904761903</v>
      </c>
      <c r="Z33" s="119">
        <f t="shared" si="20"/>
        <v>160130.7350870448</v>
      </c>
      <c r="AA33" s="119">
        <f t="shared" si="13"/>
        <v>37347.804636639659</v>
      </c>
      <c r="AB33" s="119">
        <f t="shared" si="14"/>
        <v>75881.766157834019</v>
      </c>
      <c r="AC33" s="119">
        <f t="shared" si="15"/>
        <v>20235.137642089074</v>
      </c>
      <c r="AD33" s="119">
        <f t="shared" si="16"/>
        <v>222.44118072760457</v>
      </c>
      <c r="AE33" s="120">
        <f t="shared" si="17"/>
        <v>79.531561679985543</v>
      </c>
    </row>
    <row r="34" spans="1:31" x14ac:dyDescent="0.25">
      <c r="A34" s="68">
        <v>68</v>
      </c>
      <c r="B34" s="68" t="str">
        <f t="shared" si="0"/>
        <v>0.38, Utility Vehicle 900 CC</v>
      </c>
      <c r="C34" s="103">
        <v>0.38</v>
      </c>
      <c r="D34" s="68" t="s">
        <v>151</v>
      </c>
      <c r="E34" s="68" t="s">
        <v>414</v>
      </c>
      <c r="F34" s="68" t="s">
        <v>415</v>
      </c>
      <c r="G34" s="68" t="str">
        <f t="shared" si="1"/>
        <v>Utility Vehicle 900 CC</v>
      </c>
      <c r="H34" s="222">
        <v>18700</v>
      </c>
      <c r="I34" s="68">
        <v>0.9</v>
      </c>
      <c r="J34" s="68">
        <v>30</v>
      </c>
      <c r="K34" s="68">
        <v>25</v>
      </c>
      <c r="L34" s="68">
        <v>14</v>
      </c>
      <c r="M34" s="68">
        <v>200</v>
      </c>
      <c r="N34" s="68">
        <v>0</v>
      </c>
      <c r="O34" s="104">
        <f t="shared" si="2"/>
        <v>2800</v>
      </c>
      <c r="P34" s="104">
        <v>1</v>
      </c>
      <c r="Q34" s="107">
        <f t="shared" si="3"/>
        <v>333.92857142857144</v>
      </c>
      <c r="R34" s="108">
        <f t="shared" si="4"/>
        <v>1.6696428571428572</v>
      </c>
      <c r="S34" s="88">
        <f t="shared" si="5"/>
        <v>5610</v>
      </c>
      <c r="T34" s="88">
        <f t="shared" si="6"/>
        <v>935</v>
      </c>
      <c r="U34" s="88">
        <f t="shared" si="7"/>
        <v>12155</v>
      </c>
      <c r="V34" s="73">
        <f t="shared" si="8"/>
        <v>1093.95</v>
      </c>
      <c r="W34" s="73">
        <f t="shared" si="9"/>
        <v>291.72000000000003</v>
      </c>
      <c r="X34" s="109">
        <f t="shared" si="10"/>
        <v>2320.67</v>
      </c>
      <c r="Y34" s="73">
        <f t="shared" si="11"/>
        <v>11.603350000000001</v>
      </c>
      <c r="Z34" s="119">
        <f>((0.786-0.063*(L34^0.5)-0.0033*(M34^0.5))^2)*H34</f>
        <v>4742.6854762520643</v>
      </c>
      <c r="AA34" s="119">
        <f t="shared" si="13"/>
        <v>996.95103741056687</v>
      </c>
      <c r="AB34" s="119">
        <f t="shared" si="14"/>
        <v>2109.8416928626857</v>
      </c>
      <c r="AC34" s="119">
        <f t="shared" si="15"/>
        <v>562.62445143004959</v>
      </c>
      <c r="AD34" s="119">
        <f t="shared" si="16"/>
        <v>18.347085908516512</v>
      </c>
      <c r="AE34" s="120">
        <f t="shared" si="17"/>
        <v>6.7437359085165109</v>
      </c>
    </row>
    <row r="35" spans="1:31" x14ac:dyDescent="0.25">
      <c r="A35" s="68">
        <v>66</v>
      </c>
      <c r="B35" s="68" t="str">
        <f t="shared" si="0"/>
        <v>0.39, Utility Vehicle 600 CC</v>
      </c>
      <c r="C35" s="103">
        <v>0.39</v>
      </c>
      <c r="D35" s="68" t="s">
        <v>151</v>
      </c>
      <c r="E35" s="68" t="s">
        <v>414</v>
      </c>
      <c r="F35" s="68" t="s">
        <v>416</v>
      </c>
      <c r="G35" s="68" t="str">
        <f t="shared" si="1"/>
        <v>Utility Vehicle 600 CC</v>
      </c>
      <c r="H35" s="224">
        <v>8340</v>
      </c>
      <c r="I35" s="68">
        <v>0.5</v>
      </c>
      <c r="J35" s="68">
        <v>30</v>
      </c>
      <c r="K35" s="68">
        <v>25</v>
      </c>
      <c r="L35" s="68">
        <v>14</v>
      </c>
      <c r="M35" s="68">
        <v>200</v>
      </c>
      <c r="N35" s="68">
        <v>0</v>
      </c>
      <c r="O35" s="104">
        <f t="shared" si="2"/>
        <v>2800</v>
      </c>
      <c r="P35" s="104">
        <v>1</v>
      </c>
      <c r="Q35" s="107">
        <f t="shared" si="3"/>
        <v>148.92857142857142</v>
      </c>
      <c r="R35" s="108">
        <f t="shared" si="4"/>
        <v>0.74464285714285705</v>
      </c>
      <c r="S35" s="88">
        <f t="shared" si="5"/>
        <v>2502</v>
      </c>
      <c r="T35" s="88">
        <f t="shared" si="6"/>
        <v>417</v>
      </c>
      <c r="U35" s="88">
        <f t="shared" si="7"/>
        <v>5421</v>
      </c>
      <c r="V35" s="73">
        <f t="shared" si="8"/>
        <v>487.89</v>
      </c>
      <c r="W35" s="73">
        <f t="shared" si="9"/>
        <v>130.10400000000001</v>
      </c>
      <c r="X35" s="109">
        <f t="shared" si="10"/>
        <v>1034.9939999999999</v>
      </c>
      <c r="Y35" s="73">
        <f t="shared" si="11"/>
        <v>5.1749699999999992</v>
      </c>
      <c r="Z35" s="119">
        <f t="shared" ref="Z35:Z36" si="21">((0.786-0.063*(L35^0.5)-0.0033*(M35^0.5))^2)*H35</f>
        <v>2115.1869984995838</v>
      </c>
      <c r="AA35" s="119">
        <f t="shared" si="13"/>
        <v>444.62950010717259</v>
      </c>
      <c r="AB35" s="119">
        <f t="shared" si="14"/>
        <v>940.96682986496239</v>
      </c>
      <c r="AC35" s="119">
        <f t="shared" si="15"/>
        <v>250.92448796399</v>
      </c>
      <c r="AD35" s="119">
        <f t="shared" si="16"/>
        <v>8.1826040896806251</v>
      </c>
      <c r="AE35" s="120">
        <f t="shared" si="17"/>
        <v>3.007634089680626</v>
      </c>
    </row>
    <row r="36" spans="1:31" x14ac:dyDescent="0.25">
      <c r="A36" s="68">
        <v>67</v>
      </c>
      <c r="B36" s="68" t="str">
        <f t="shared" si="0"/>
        <v>0.4, Utility Vehicle 800 CC</v>
      </c>
      <c r="C36" s="103">
        <v>0.4</v>
      </c>
      <c r="D36" s="68" t="s">
        <v>151</v>
      </c>
      <c r="E36" s="68" t="s">
        <v>414</v>
      </c>
      <c r="F36" s="68" t="s">
        <v>417</v>
      </c>
      <c r="G36" s="68" t="str">
        <f t="shared" si="1"/>
        <v>Utility Vehicle 800 CC</v>
      </c>
      <c r="H36" s="222">
        <v>12200</v>
      </c>
      <c r="I36" s="68">
        <v>0.7</v>
      </c>
      <c r="J36" s="68">
        <v>30</v>
      </c>
      <c r="K36" s="68">
        <v>25</v>
      </c>
      <c r="L36" s="68">
        <v>14</v>
      </c>
      <c r="M36" s="68">
        <v>200</v>
      </c>
      <c r="N36" s="68">
        <v>0</v>
      </c>
      <c r="O36" s="104">
        <f t="shared" si="2"/>
        <v>2800</v>
      </c>
      <c r="P36" s="104">
        <v>1</v>
      </c>
      <c r="Q36" s="107">
        <f t="shared" si="3"/>
        <v>217.85714285714286</v>
      </c>
      <c r="R36" s="108">
        <f t="shared" si="4"/>
        <v>1.0892857142857144</v>
      </c>
      <c r="S36" s="88">
        <f t="shared" si="5"/>
        <v>3660</v>
      </c>
      <c r="T36" s="88">
        <f t="shared" si="6"/>
        <v>610</v>
      </c>
      <c r="U36" s="88">
        <f t="shared" si="7"/>
        <v>7930</v>
      </c>
      <c r="V36" s="73">
        <f t="shared" si="8"/>
        <v>713.69999999999993</v>
      </c>
      <c r="W36" s="73">
        <f t="shared" si="9"/>
        <v>190.32</v>
      </c>
      <c r="X36" s="109">
        <f t="shared" si="10"/>
        <v>1514.0199999999998</v>
      </c>
      <c r="Y36" s="73">
        <f t="shared" si="11"/>
        <v>7.5700999999999992</v>
      </c>
      <c r="Z36" s="119">
        <f t="shared" si="21"/>
        <v>3094.1584390521489</v>
      </c>
      <c r="AA36" s="119">
        <f t="shared" si="13"/>
        <v>650.41725435341789</v>
      </c>
      <c r="AB36" s="119">
        <f t="shared" si="14"/>
        <v>1376.4742595146934</v>
      </c>
      <c r="AC36" s="119">
        <f t="shared" si="15"/>
        <v>367.05980253725158</v>
      </c>
      <c r="AD36" s="119">
        <f t="shared" si="16"/>
        <v>11.969756582026815</v>
      </c>
      <c r="AE36" s="120">
        <f t="shared" si="17"/>
        <v>4.3996565820268154</v>
      </c>
    </row>
  </sheetData>
  <mergeCells count="2">
    <mergeCell ref="O2:P2"/>
    <mergeCell ref="Q2:R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6"/>
  <sheetViews>
    <sheetView topLeftCell="A26" workbookViewId="0">
      <selection activeCell="D40" sqref="D40"/>
    </sheetView>
  </sheetViews>
  <sheetFormatPr defaultColWidth="9" defaultRowHeight="15" x14ac:dyDescent="0.25"/>
  <cols>
    <col min="1" max="1" width="18.75" style="121" bestFit="1" customWidth="1"/>
    <col min="2" max="2" width="40.5" style="121" bestFit="1" customWidth="1"/>
    <col min="3" max="3" width="11.5" style="121" bestFit="1" customWidth="1"/>
    <col min="4" max="4" width="9.125" style="121" bestFit="1" customWidth="1"/>
    <col min="5" max="5" width="11.875" style="121" bestFit="1" customWidth="1"/>
    <col min="6" max="6" width="8" style="121" bestFit="1" customWidth="1"/>
    <col min="7" max="7" width="11" style="121" bestFit="1" customWidth="1"/>
    <col min="8" max="9" width="10.125" style="121" bestFit="1" customWidth="1"/>
    <col min="10" max="10" width="11.75" style="121" bestFit="1" customWidth="1"/>
    <col min="11" max="11" width="9.25" style="121" bestFit="1" customWidth="1"/>
    <col min="12" max="16384" width="9" style="121"/>
  </cols>
  <sheetData>
    <row r="2" spans="2:10" x14ac:dyDescent="0.25">
      <c r="B2" s="239" t="s">
        <v>37</v>
      </c>
      <c r="C2" s="239"/>
      <c r="D2" s="239"/>
      <c r="E2" s="239"/>
      <c r="F2" s="239"/>
      <c r="G2" s="239"/>
      <c r="H2" s="239"/>
      <c r="I2" s="239"/>
      <c r="J2" s="239"/>
    </row>
    <row r="3" spans="2:10" x14ac:dyDescent="0.25">
      <c r="B3" s="239" t="s">
        <v>635</v>
      </c>
      <c r="C3" s="239"/>
      <c r="D3" s="239"/>
      <c r="E3" s="239"/>
      <c r="F3" s="239"/>
      <c r="G3" s="239"/>
      <c r="H3" s="239"/>
      <c r="I3" s="239"/>
      <c r="J3" s="239"/>
    </row>
    <row r="4" spans="2:10" ht="47.25" customHeight="1" x14ac:dyDescent="0.25">
      <c r="B4" s="240" t="s">
        <v>639</v>
      </c>
      <c r="C4" s="240"/>
      <c r="D4" s="240"/>
      <c r="E4" s="240"/>
      <c r="F4" s="240"/>
      <c r="G4" s="240"/>
      <c r="H4" s="240"/>
      <c r="I4" s="240"/>
      <c r="J4" s="240"/>
    </row>
    <row r="5" spans="2:10" x14ac:dyDescent="0.25">
      <c r="B5" s="10"/>
      <c r="C5" s="10"/>
      <c r="D5" s="10"/>
      <c r="E5" s="10"/>
      <c r="F5" s="10"/>
      <c r="G5" s="10"/>
      <c r="H5" s="10"/>
      <c r="I5" s="10"/>
      <c r="J5" s="11"/>
    </row>
    <row r="6" spans="2:10" ht="32.25" customHeight="1" x14ac:dyDescent="0.25">
      <c r="B6" s="242" t="s">
        <v>621</v>
      </c>
      <c r="C6" s="242"/>
      <c r="D6" s="242"/>
      <c r="E6" s="242"/>
      <c r="F6" s="242"/>
      <c r="G6" s="242"/>
      <c r="H6" s="242"/>
      <c r="I6" s="242"/>
      <c r="J6" s="242"/>
    </row>
    <row r="7" spans="2:10" ht="15.75" thickBot="1" x14ac:dyDescent="0.3">
      <c r="B7" s="124"/>
      <c r="C7" s="124"/>
      <c r="D7" s="124"/>
      <c r="E7" s="10"/>
      <c r="F7" s="10"/>
      <c r="G7" s="10"/>
      <c r="H7" s="10"/>
      <c r="I7" s="10"/>
      <c r="J7" s="11"/>
    </row>
    <row r="8" spans="2:10" ht="15.75" thickBot="1" x14ac:dyDescent="0.3">
      <c r="B8" s="125" t="s">
        <v>43</v>
      </c>
      <c r="C8" s="152" t="s">
        <v>438</v>
      </c>
      <c r="D8" s="125" t="s">
        <v>44</v>
      </c>
      <c r="E8" s="11"/>
      <c r="F8" s="62"/>
      <c r="G8" s="62"/>
      <c r="H8" s="62"/>
      <c r="I8" s="62"/>
      <c r="J8" s="11"/>
    </row>
    <row r="9" spans="2:10" x14ac:dyDescent="0.25">
      <c r="B9" s="63" t="s">
        <v>39</v>
      </c>
      <c r="C9" s="121" t="s">
        <v>49</v>
      </c>
      <c r="D9" s="64">
        <v>50</v>
      </c>
      <c r="E9" s="11"/>
      <c r="F9" s="62"/>
      <c r="G9" s="62"/>
      <c r="H9" s="62"/>
      <c r="I9" s="62"/>
      <c r="J9" s="11"/>
    </row>
    <row r="10" spans="2:10" x14ac:dyDescent="0.25">
      <c r="B10" s="63" t="s">
        <v>566</v>
      </c>
      <c r="C10" s="121" t="s">
        <v>567</v>
      </c>
      <c r="D10" s="65">
        <v>0.9</v>
      </c>
      <c r="E10" s="11"/>
      <c r="F10" s="62"/>
      <c r="G10" s="62"/>
      <c r="H10" s="62"/>
      <c r="I10" s="62"/>
      <c r="J10" s="11"/>
    </row>
    <row r="11" spans="2:10" x14ac:dyDescent="0.25">
      <c r="B11" s="63" t="s">
        <v>568</v>
      </c>
      <c r="C11" s="121" t="s">
        <v>567</v>
      </c>
      <c r="D11" s="65">
        <v>0.02</v>
      </c>
      <c r="E11" s="11"/>
      <c r="F11" s="62"/>
      <c r="G11" s="62"/>
      <c r="H11" s="62"/>
      <c r="I11" s="62"/>
      <c r="J11" s="11"/>
    </row>
    <row r="12" spans="2:10" x14ac:dyDescent="0.25">
      <c r="B12" s="63" t="s">
        <v>569</v>
      </c>
      <c r="C12" s="121" t="s">
        <v>567</v>
      </c>
      <c r="D12" s="67">
        <v>0.02</v>
      </c>
      <c r="E12" s="11"/>
      <c r="F12" s="62"/>
      <c r="G12" s="62"/>
      <c r="H12" s="62"/>
      <c r="I12" s="62"/>
      <c r="J12" s="11"/>
    </row>
    <row r="13" spans="2:10" x14ac:dyDescent="0.25">
      <c r="B13" s="63" t="s">
        <v>570</v>
      </c>
      <c r="C13" s="121" t="s">
        <v>567</v>
      </c>
      <c r="D13" s="65">
        <v>0.15</v>
      </c>
      <c r="E13" s="11"/>
      <c r="F13" s="62"/>
      <c r="G13" s="62"/>
      <c r="H13" s="62"/>
      <c r="I13" s="62"/>
      <c r="J13" s="11"/>
    </row>
    <row r="14" spans="2:10" x14ac:dyDescent="0.25">
      <c r="B14" s="63" t="s">
        <v>42</v>
      </c>
      <c r="C14" s="121" t="s">
        <v>49</v>
      </c>
      <c r="D14" s="64">
        <v>2</v>
      </c>
      <c r="E14" s="11"/>
      <c r="F14" s="62"/>
      <c r="G14" s="62"/>
      <c r="H14" s="62"/>
      <c r="I14" s="62"/>
      <c r="J14" s="11"/>
    </row>
    <row r="15" spans="2:10" x14ac:dyDescent="0.25">
      <c r="B15" s="63" t="s">
        <v>38</v>
      </c>
      <c r="C15" s="121" t="s">
        <v>567</v>
      </c>
      <c r="D15" s="65">
        <v>0.25</v>
      </c>
      <c r="E15" s="11"/>
      <c r="F15" s="62"/>
      <c r="G15" s="62"/>
      <c r="H15" s="62"/>
      <c r="I15" s="62"/>
      <c r="J15" s="11"/>
    </row>
    <row r="16" spans="2:10" x14ac:dyDescent="0.25">
      <c r="B16" s="63" t="s">
        <v>565</v>
      </c>
      <c r="C16" s="121" t="s">
        <v>567</v>
      </c>
      <c r="D16" s="65">
        <v>1</v>
      </c>
      <c r="E16" s="11"/>
      <c r="F16" s="62"/>
      <c r="G16" s="62"/>
      <c r="H16" s="62"/>
      <c r="I16" s="62"/>
      <c r="J16" s="11"/>
    </row>
    <row r="17" spans="1:11" x14ac:dyDescent="0.25">
      <c r="B17" s="63" t="s">
        <v>574</v>
      </c>
      <c r="C17" s="121" t="s">
        <v>49</v>
      </c>
      <c r="D17" s="64">
        <v>0</v>
      </c>
      <c r="E17" s="11"/>
      <c r="F17" s="62"/>
      <c r="G17" s="62"/>
      <c r="H17" s="62"/>
      <c r="I17" s="62"/>
      <c r="J17" s="11"/>
    </row>
    <row r="18" spans="1:11" x14ac:dyDescent="0.25">
      <c r="B18" s="63" t="s">
        <v>40</v>
      </c>
      <c r="C18" s="121" t="s">
        <v>49</v>
      </c>
      <c r="D18" s="11">
        <f>((D9*D13)+(D9*D12))*D16</f>
        <v>8.5</v>
      </c>
      <c r="E18" s="11"/>
      <c r="F18" s="62"/>
      <c r="G18" s="62"/>
      <c r="H18" s="62"/>
      <c r="I18" s="62"/>
      <c r="J18" s="11"/>
    </row>
    <row r="19" spans="1:11" x14ac:dyDescent="0.25">
      <c r="B19" s="63" t="s">
        <v>585</v>
      </c>
      <c r="C19" s="121" t="s">
        <v>49</v>
      </c>
      <c r="D19" s="11">
        <f>(D9*D10*(1-D11))/2</f>
        <v>22.05</v>
      </c>
      <c r="E19" s="11"/>
      <c r="F19" s="62"/>
      <c r="G19" s="62"/>
      <c r="H19" s="62"/>
      <c r="I19" s="62"/>
      <c r="J19" s="11"/>
    </row>
    <row r="20" spans="1:11" x14ac:dyDescent="0.25">
      <c r="B20" s="63" t="s">
        <v>586</v>
      </c>
      <c r="C20" s="121" t="s">
        <v>49</v>
      </c>
      <c r="D20" s="11">
        <f>((D9*D10*(1-D11))/2)-D18</f>
        <v>13.55</v>
      </c>
      <c r="E20" s="11"/>
      <c r="F20" s="62"/>
      <c r="G20" s="62"/>
      <c r="H20" s="62"/>
      <c r="I20" s="62"/>
      <c r="J20" s="11"/>
    </row>
    <row r="21" spans="1:11" x14ac:dyDescent="0.25">
      <c r="B21" s="63" t="s">
        <v>41</v>
      </c>
      <c r="C21" s="121" t="s">
        <v>49</v>
      </c>
      <c r="D21" s="11">
        <f>(D9*D10*(1-D11))-D18</f>
        <v>35.6</v>
      </c>
      <c r="E21" s="11"/>
      <c r="F21" s="62"/>
      <c r="G21" s="62"/>
      <c r="H21" s="62"/>
      <c r="I21" s="62"/>
      <c r="J21" s="11"/>
    </row>
    <row r="22" spans="1:11" ht="15.75" thickBot="1" x14ac:dyDescent="0.3">
      <c r="B22" s="206"/>
      <c r="C22" s="206"/>
      <c r="D22" s="206"/>
      <c r="E22" s="206"/>
      <c r="F22" s="206"/>
      <c r="G22" s="206"/>
      <c r="H22" s="206"/>
      <c r="I22" s="206"/>
      <c r="J22" s="11"/>
    </row>
    <row r="23" spans="1:11" ht="15.75" thickBot="1" x14ac:dyDescent="0.3">
      <c r="B23" s="36" t="s">
        <v>45</v>
      </c>
      <c r="C23" s="36" t="s">
        <v>49</v>
      </c>
      <c r="D23" s="36" t="s">
        <v>50</v>
      </c>
      <c r="E23" s="125" t="s">
        <v>557</v>
      </c>
      <c r="F23" s="36" t="s">
        <v>51</v>
      </c>
      <c r="G23" s="125" t="s">
        <v>550</v>
      </c>
      <c r="H23" s="36" t="s">
        <v>53</v>
      </c>
      <c r="I23" s="36" t="s">
        <v>52</v>
      </c>
      <c r="J23" s="11"/>
    </row>
    <row r="24" spans="1:11" x14ac:dyDescent="0.25">
      <c r="B24" s="11" t="s">
        <v>46</v>
      </c>
      <c r="C24" s="11">
        <f>D19</f>
        <v>22.05</v>
      </c>
      <c r="D24" s="66">
        <v>5.5</v>
      </c>
      <c r="E24" s="157">
        <f>C24*D24</f>
        <v>121.27500000000001</v>
      </c>
      <c r="F24" s="131">
        <v>298</v>
      </c>
      <c r="G24" s="147">
        <f>D24*F24</f>
        <v>1639</v>
      </c>
      <c r="H24" s="19">
        <f>(F24*D24*C24)/$D$9</f>
        <v>722.79900000000009</v>
      </c>
      <c r="I24" s="19">
        <f>C24*D24*F24</f>
        <v>36139.950000000004</v>
      </c>
      <c r="J24" s="11"/>
      <c r="K24" s="130"/>
    </row>
    <row r="25" spans="1:11" x14ac:dyDescent="0.25">
      <c r="B25" s="11" t="s">
        <v>47</v>
      </c>
      <c r="C25" s="11">
        <f>D20</f>
        <v>13.55</v>
      </c>
      <c r="D25" s="66">
        <v>5</v>
      </c>
      <c r="E25" s="157">
        <f t="shared" ref="E25:E28" si="0">C25*D25</f>
        <v>67.75</v>
      </c>
      <c r="F25" s="131">
        <v>263</v>
      </c>
      <c r="G25" s="147">
        <f>D25*F25</f>
        <v>1315</v>
      </c>
      <c r="H25" s="19">
        <f>(F25*D25*C25)/$D$9</f>
        <v>356.36500000000001</v>
      </c>
      <c r="I25" s="19">
        <f>C25*D25*F25</f>
        <v>17818.25</v>
      </c>
      <c r="J25" s="11"/>
    </row>
    <row r="26" spans="1:11" x14ac:dyDescent="0.25">
      <c r="B26" s="11" t="s">
        <v>434</v>
      </c>
      <c r="C26" s="11">
        <v>0</v>
      </c>
      <c r="D26" s="66">
        <v>7.5</v>
      </c>
      <c r="E26" s="157">
        <f t="shared" si="0"/>
        <v>0</v>
      </c>
      <c r="F26" s="131">
        <v>234</v>
      </c>
      <c r="G26" s="147">
        <f>D26*F26</f>
        <v>1755</v>
      </c>
      <c r="H26" s="19">
        <f>(F26*D26*C26)/$D$9</f>
        <v>0</v>
      </c>
      <c r="I26" s="19">
        <f>C26*D26*F26</f>
        <v>0</v>
      </c>
      <c r="J26" s="11"/>
    </row>
    <row r="27" spans="1:11" x14ac:dyDescent="0.25">
      <c r="B27" s="11" t="s">
        <v>48</v>
      </c>
      <c r="C27" s="11">
        <f>D9*D13</f>
        <v>7.5</v>
      </c>
      <c r="D27" s="66">
        <v>11</v>
      </c>
      <c r="E27" s="157">
        <f t="shared" si="0"/>
        <v>82.5</v>
      </c>
      <c r="F27" s="131">
        <v>120</v>
      </c>
      <c r="G27" s="147">
        <f>D27*F27</f>
        <v>1320</v>
      </c>
      <c r="H27" s="19">
        <f>(F27*D27*C27)/$D$9</f>
        <v>198</v>
      </c>
      <c r="I27" s="19">
        <f>C27*D27*F27</f>
        <v>9900</v>
      </c>
      <c r="J27" s="11"/>
    </row>
    <row r="28" spans="1:11" ht="15.75" thickBot="1" x14ac:dyDescent="0.3">
      <c r="B28" s="23" t="s">
        <v>54</v>
      </c>
      <c r="C28" s="23">
        <f>D14*D15</f>
        <v>0.5</v>
      </c>
      <c r="D28" s="207">
        <v>18</v>
      </c>
      <c r="E28" s="208">
        <f t="shared" si="0"/>
        <v>9</v>
      </c>
      <c r="F28" s="134">
        <v>150</v>
      </c>
      <c r="G28" s="163">
        <f>D28*F28</f>
        <v>2700</v>
      </c>
      <c r="H28" s="25">
        <f>(F28*D28*C28)/$D$9</f>
        <v>27</v>
      </c>
      <c r="I28" s="25">
        <f>C28*D28*F28</f>
        <v>1350</v>
      </c>
      <c r="J28" s="11"/>
    </row>
    <row r="29" spans="1:11" ht="15.75" thickBot="1" x14ac:dyDescent="0.3">
      <c r="B29" s="27" t="s">
        <v>440</v>
      </c>
      <c r="C29" s="27">
        <f>SUM(C24:C28)</f>
        <v>43.6</v>
      </c>
      <c r="D29" s="27"/>
      <c r="E29" s="209">
        <f>SUM(E24:E28)</f>
        <v>280.52499999999998</v>
      </c>
      <c r="F29" s="27"/>
      <c r="G29" s="129"/>
      <c r="H29" s="210">
        <f>SUM(H24:H28)</f>
        <v>1304.1640000000002</v>
      </c>
      <c r="I29" s="210">
        <f>SUM(I24:I28)</f>
        <v>65208.200000000004</v>
      </c>
      <c r="J29" s="11"/>
    </row>
    <row r="30" spans="1:11" ht="15.75" thickBot="1" x14ac:dyDescent="0.3">
      <c r="B30" s="11"/>
      <c r="C30" s="11"/>
      <c r="D30" s="11"/>
      <c r="E30" s="11"/>
      <c r="F30" s="11"/>
      <c r="G30" s="11"/>
      <c r="H30" s="11"/>
      <c r="I30" s="11"/>
      <c r="J30" s="11"/>
    </row>
    <row r="31" spans="1:11" ht="15.75" thickBot="1" x14ac:dyDescent="0.3">
      <c r="B31" s="13" t="s">
        <v>10</v>
      </c>
      <c r="C31" s="14" t="s">
        <v>11</v>
      </c>
      <c r="D31" s="14" t="s">
        <v>529</v>
      </c>
      <c r="E31" s="14" t="s">
        <v>530</v>
      </c>
      <c r="F31" s="14" t="s">
        <v>13</v>
      </c>
      <c r="G31" s="14" t="s">
        <v>14</v>
      </c>
      <c r="H31" s="15" t="s">
        <v>476</v>
      </c>
      <c r="I31" s="15" t="s">
        <v>587</v>
      </c>
      <c r="J31" s="15" t="s">
        <v>16</v>
      </c>
    </row>
    <row r="32" spans="1:11" x14ac:dyDescent="0.25">
      <c r="A32" s="218" t="s">
        <v>624</v>
      </c>
      <c r="B32" s="11" t="s">
        <v>490</v>
      </c>
      <c r="C32" s="11" t="s">
        <v>19</v>
      </c>
      <c r="D32" s="16">
        <v>0</v>
      </c>
      <c r="E32" s="166">
        <f t="shared" ref="E32:E38" si="1">D32*$D$9</f>
        <v>0</v>
      </c>
      <c r="F32" s="137">
        <f>Bahia!F22</f>
        <v>234.36073930548918</v>
      </c>
      <c r="G32" s="19">
        <f t="shared" ref="G32:G38" si="2">E32*F32</f>
        <v>0</v>
      </c>
      <c r="H32" s="167">
        <f t="shared" ref="H32:H38" si="3">G32/$D$9</f>
        <v>0</v>
      </c>
      <c r="I32" s="167">
        <f>G32/SUM($E$24:$E$25)</f>
        <v>0</v>
      </c>
      <c r="J32" s="20" t="s">
        <v>18</v>
      </c>
    </row>
    <row r="33" spans="1:10" x14ac:dyDescent="0.25">
      <c r="A33" s="218" t="s">
        <v>625</v>
      </c>
      <c r="B33" s="11" t="s">
        <v>55</v>
      </c>
      <c r="C33" s="11" t="s">
        <v>19</v>
      </c>
      <c r="D33" s="16">
        <v>0.5</v>
      </c>
      <c r="E33" s="166">
        <f t="shared" si="1"/>
        <v>25</v>
      </c>
      <c r="F33" s="137">
        <f>Bermuda!F22</f>
        <v>306.67513930548915</v>
      </c>
      <c r="G33" s="19">
        <f t="shared" si="2"/>
        <v>7666.8784826372284</v>
      </c>
      <c r="H33" s="167">
        <f t="shared" si="3"/>
        <v>153.33756965274458</v>
      </c>
      <c r="I33" s="167">
        <f t="shared" ref="I33:I56" si="4">G33/SUM($E$24:$E$25)</f>
        <v>40.560129520630753</v>
      </c>
      <c r="J33" s="20" t="s">
        <v>18</v>
      </c>
    </row>
    <row r="34" spans="1:10" x14ac:dyDescent="0.25">
      <c r="A34" s="218" t="s">
        <v>626</v>
      </c>
      <c r="B34" s="11" t="s">
        <v>56</v>
      </c>
      <c r="C34" s="11" t="s">
        <v>19</v>
      </c>
      <c r="D34" s="16">
        <v>0.75</v>
      </c>
      <c r="E34" s="166">
        <f t="shared" si="1"/>
        <v>37.5</v>
      </c>
      <c r="F34" s="137">
        <f>Fescue!F22</f>
        <v>214.60313930548918</v>
      </c>
      <c r="G34" s="19">
        <f t="shared" si="2"/>
        <v>8047.6177239558447</v>
      </c>
      <c r="H34" s="167">
        <f t="shared" si="3"/>
        <v>160.95235447911691</v>
      </c>
      <c r="I34" s="167">
        <f t="shared" si="4"/>
        <v>42.574356428810184</v>
      </c>
      <c r="J34" s="11"/>
    </row>
    <row r="35" spans="1:10" x14ac:dyDescent="0.25">
      <c r="A35" s="218" t="s">
        <v>629</v>
      </c>
      <c r="B35" s="11" t="s">
        <v>57</v>
      </c>
      <c r="C35" s="11" t="s">
        <v>19</v>
      </c>
      <c r="D35" s="16">
        <v>0.2</v>
      </c>
      <c r="E35" s="166">
        <f t="shared" si="1"/>
        <v>10</v>
      </c>
      <c r="F35" s="137">
        <f>Winter_Grazing!F29</f>
        <v>191.59446483387006</v>
      </c>
      <c r="G35" s="19">
        <f t="shared" si="2"/>
        <v>1915.9446483387005</v>
      </c>
      <c r="H35" s="167">
        <f t="shared" si="3"/>
        <v>38.318892966774008</v>
      </c>
      <c r="I35" s="167">
        <f t="shared" si="4"/>
        <v>10.135932539815899</v>
      </c>
      <c r="J35" s="20" t="s">
        <v>18</v>
      </c>
    </row>
    <row r="36" spans="1:10" x14ac:dyDescent="0.25">
      <c r="A36" s="218" t="s">
        <v>630</v>
      </c>
      <c r="B36" s="11" t="s">
        <v>58</v>
      </c>
      <c r="C36" s="11" t="s">
        <v>19</v>
      </c>
      <c r="D36" s="16">
        <v>0</v>
      </c>
      <c r="E36" s="166">
        <f t="shared" si="1"/>
        <v>0</v>
      </c>
      <c r="F36" s="137">
        <f>Summer_Annual!F26</f>
        <v>191.59446483387006</v>
      </c>
      <c r="G36" s="19">
        <f t="shared" si="2"/>
        <v>0</v>
      </c>
      <c r="H36" s="167">
        <f t="shared" si="3"/>
        <v>0</v>
      </c>
      <c r="I36" s="167">
        <f t="shared" si="4"/>
        <v>0</v>
      </c>
      <c r="J36" s="20" t="s">
        <v>18</v>
      </c>
    </row>
    <row r="37" spans="1:10" x14ac:dyDescent="0.25">
      <c r="A37" s="218" t="s">
        <v>627</v>
      </c>
      <c r="B37" s="11" t="s">
        <v>59</v>
      </c>
      <c r="C37" s="11" t="s">
        <v>19</v>
      </c>
      <c r="D37" s="16">
        <v>0</v>
      </c>
      <c r="E37" s="166">
        <f t="shared" si="1"/>
        <v>0</v>
      </c>
      <c r="F37" s="137">
        <f>Hay!F35</f>
        <v>890.65077731345775</v>
      </c>
      <c r="G37" s="19">
        <f t="shared" si="2"/>
        <v>0</v>
      </c>
      <c r="H37" s="167">
        <f t="shared" si="3"/>
        <v>0</v>
      </c>
      <c r="I37" s="167">
        <f t="shared" si="4"/>
        <v>0</v>
      </c>
      <c r="J37" s="20" t="s">
        <v>18</v>
      </c>
    </row>
    <row r="38" spans="1:10" x14ac:dyDescent="0.25">
      <c r="B38" s="11" t="s">
        <v>60</v>
      </c>
      <c r="C38" s="11" t="s">
        <v>61</v>
      </c>
      <c r="D38" s="16">
        <v>1.5</v>
      </c>
      <c r="E38" s="166">
        <f t="shared" si="1"/>
        <v>75</v>
      </c>
      <c r="F38" s="18">
        <v>145</v>
      </c>
      <c r="G38" s="19">
        <f t="shared" si="2"/>
        <v>10875</v>
      </c>
      <c r="H38" s="167">
        <f t="shared" si="3"/>
        <v>217.5</v>
      </c>
      <c r="I38" s="167">
        <f t="shared" si="4"/>
        <v>57.532072477185558</v>
      </c>
      <c r="J38" s="20" t="s">
        <v>18</v>
      </c>
    </row>
    <row r="39" spans="1:10" x14ac:dyDescent="0.25">
      <c r="A39" s="218" t="s">
        <v>631</v>
      </c>
      <c r="B39" s="11" t="s">
        <v>62</v>
      </c>
      <c r="C39" s="11" t="s">
        <v>63</v>
      </c>
      <c r="D39" s="16"/>
      <c r="E39" s="17"/>
      <c r="F39" s="18"/>
      <c r="G39" s="19"/>
      <c r="H39" s="168"/>
      <c r="I39" s="168"/>
      <c r="J39" s="20"/>
    </row>
    <row r="40" spans="1:10" x14ac:dyDescent="0.25">
      <c r="B40" s="11" t="s">
        <v>64</v>
      </c>
      <c r="C40" s="11" t="s">
        <v>17</v>
      </c>
      <c r="D40" s="22">
        <f>Feed!F9/2000</f>
        <v>0.36</v>
      </c>
      <c r="E40" s="166">
        <f>D40*$D$9</f>
        <v>18</v>
      </c>
      <c r="F40" s="137">
        <f>IF(E40&gt;0,G40/E40,0)</f>
        <v>276.33</v>
      </c>
      <c r="G40" s="19">
        <f>Feed!H9*D9</f>
        <v>4973.9399999999996</v>
      </c>
      <c r="H40" s="167">
        <f>G40/$D$9</f>
        <v>99.478799999999993</v>
      </c>
      <c r="I40" s="167">
        <f t="shared" si="4"/>
        <v>26.313662213992856</v>
      </c>
      <c r="J40" s="20" t="s">
        <v>18</v>
      </c>
    </row>
    <row r="41" spans="1:10" x14ac:dyDescent="0.25">
      <c r="B41" s="11" t="s">
        <v>65</v>
      </c>
      <c r="C41" s="11" t="s">
        <v>17</v>
      </c>
      <c r="D41" s="22">
        <f>Feed!F16/2000</f>
        <v>0.36</v>
      </c>
      <c r="E41" s="166">
        <f>D41*$D$9</f>
        <v>18</v>
      </c>
      <c r="F41" s="137">
        <f>IF(E41&gt;0,G41/E41,0)</f>
        <v>46.976100000000002</v>
      </c>
      <c r="G41" s="19">
        <f>Feed!H16*D18</f>
        <v>845.56979999999999</v>
      </c>
      <c r="H41" s="167">
        <f>G41/$D$9</f>
        <v>16.911396</v>
      </c>
      <c r="I41" s="167">
        <f t="shared" si="4"/>
        <v>4.4733225763787861</v>
      </c>
      <c r="J41" s="20" t="s">
        <v>18</v>
      </c>
    </row>
    <row r="42" spans="1:10" x14ac:dyDescent="0.25">
      <c r="B42" s="11" t="s">
        <v>66</v>
      </c>
      <c r="C42" s="11" t="s">
        <v>17</v>
      </c>
      <c r="D42" s="22">
        <f>Feed!F23/2000</f>
        <v>0.36</v>
      </c>
      <c r="E42" s="166">
        <f>D42*$D$9</f>
        <v>18</v>
      </c>
      <c r="F42" s="137">
        <f t="shared" ref="F42:F43" si="5">IF(E42&gt;0,G42/E42,0)</f>
        <v>10.948</v>
      </c>
      <c r="G42" s="19">
        <f>Feed!H23*D14</f>
        <v>197.06399999999999</v>
      </c>
      <c r="H42" s="167">
        <f>G42/$D$9</f>
        <v>3.9412799999999999</v>
      </c>
      <c r="I42" s="167">
        <f t="shared" si="4"/>
        <v>1.0425287660362386</v>
      </c>
      <c r="J42" s="20" t="s">
        <v>18</v>
      </c>
    </row>
    <row r="43" spans="1:10" x14ac:dyDescent="0.25">
      <c r="B43" s="11" t="s">
        <v>67</v>
      </c>
      <c r="C43" s="11" t="s">
        <v>17</v>
      </c>
      <c r="D43" s="22">
        <f>Feed!F30/2000</f>
        <v>0.15</v>
      </c>
      <c r="E43" s="166">
        <f>D43*$D$9</f>
        <v>7.5</v>
      </c>
      <c r="F43" s="137">
        <f t="shared" si="5"/>
        <v>194.87440000000001</v>
      </c>
      <c r="G43" s="19">
        <f>Feed!H30*D21</f>
        <v>1461.558</v>
      </c>
      <c r="H43" s="167">
        <f>G43/$D$9</f>
        <v>29.231159999999999</v>
      </c>
      <c r="I43" s="167">
        <f t="shared" si="4"/>
        <v>7.7320883481021028</v>
      </c>
      <c r="J43" s="20" t="s">
        <v>18</v>
      </c>
    </row>
    <row r="44" spans="1:10" x14ac:dyDescent="0.25">
      <c r="B44" s="11" t="s">
        <v>68</v>
      </c>
      <c r="C44" s="11" t="s">
        <v>69</v>
      </c>
      <c r="D44" s="22">
        <v>91.25</v>
      </c>
      <c r="E44" s="166">
        <f>D44*$D$9</f>
        <v>4562.5</v>
      </c>
      <c r="F44" s="18">
        <v>0.48</v>
      </c>
      <c r="G44" s="19">
        <f>E44*F44</f>
        <v>2190</v>
      </c>
      <c r="H44" s="167">
        <f>G44/$D$9</f>
        <v>43.8</v>
      </c>
      <c r="I44" s="167">
        <f t="shared" si="4"/>
        <v>11.585769078164263</v>
      </c>
      <c r="J44" s="20" t="s">
        <v>18</v>
      </c>
    </row>
    <row r="45" spans="1:10" x14ac:dyDescent="0.25">
      <c r="A45" s="218" t="s">
        <v>632</v>
      </c>
      <c r="B45" s="11" t="s">
        <v>70</v>
      </c>
      <c r="C45" s="11" t="s">
        <v>63</v>
      </c>
      <c r="D45" s="16"/>
      <c r="E45" s="17"/>
      <c r="F45" s="18"/>
      <c r="G45" s="19"/>
      <c r="H45" s="168"/>
      <c r="I45" s="168"/>
      <c r="J45" s="20"/>
    </row>
    <row r="46" spans="1:10" x14ac:dyDescent="0.25">
      <c r="B46" s="11" t="s">
        <v>64</v>
      </c>
      <c r="C46" s="11" t="s">
        <v>71</v>
      </c>
      <c r="D46" s="22">
        <v>1</v>
      </c>
      <c r="E46" s="166">
        <f>D46*$D$9</f>
        <v>50</v>
      </c>
      <c r="F46" s="137">
        <f>Vet!F14</f>
        <v>54</v>
      </c>
      <c r="G46" s="19">
        <f t="shared" ref="G46:G52" si="6">E46*F46</f>
        <v>2700</v>
      </c>
      <c r="H46" s="167">
        <f t="shared" ref="H46:H56" si="7">G46/$D$9</f>
        <v>54</v>
      </c>
      <c r="I46" s="167">
        <f t="shared" si="4"/>
        <v>14.283824890887448</v>
      </c>
      <c r="J46" s="20" t="s">
        <v>18</v>
      </c>
    </row>
    <row r="47" spans="1:10" x14ac:dyDescent="0.25">
      <c r="B47" s="11" t="s">
        <v>65</v>
      </c>
      <c r="C47" s="11" t="s">
        <v>72</v>
      </c>
      <c r="D47" s="22">
        <f>D18/D9</f>
        <v>0.17</v>
      </c>
      <c r="E47" s="166">
        <f>D47*$D$9</f>
        <v>8.5</v>
      </c>
      <c r="F47" s="137">
        <f>Vet!F26</f>
        <v>32</v>
      </c>
      <c r="G47" s="19">
        <f t="shared" si="6"/>
        <v>272</v>
      </c>
      <c r="H47" s="167">
        <f t="shared" si="7"/>
        <v>5.44</v>
      </c>
      <c r="I47" s="167">
        <f t="shared" si="4"/>
        <v>1.4389631001190317</v>
      </c>
      <c r="J47" s="20" t="s">
        <v>18</v>
      </c>
    </row>
    <row r="48" spans="1:10" x14ac:dyDescent="0.25">
      <c r="B48" s="11" t="s">
        <v>66</v>
      </c>
      <c r="C48" s="11" t="s">
        <v>73</v>
      </c>
      <c r="D48" s="22">
        <f>D14/D9</f>
        <v>0.04</v>
      </c>
      <c r="E48" s="166">
        <f>D48*$D$9</f>
        <v>2</v>
      </c>
      <c r="F48" s="137">
        <f>Vet!F38</f>
        <v>78</v>
      </c>
      <c r="G48" s="19">
        <f t="shared" si="6"/>
        <v>156</v>
      </c>
      <c r="H48" s="167">
        <f t="shared" si="7"/>
        <v>3.12</v>
      </c>
      <c r="I48" s="167">
        <f t="shared" si="4"/>
        <v>0.82528766036238588</v>
      </c>
      <c r="J48" s="11"/>
    </row>
    <row r="49" spans="1:10" x14ac:dyDescent="0.25">
      <c r="B49" s="11" t="s">
        <v>67</v>
      </c>
      <c r="C49" s="11" t="s">
        <v>74</v>
      </c>
      <c r="D49" s="22">
        <f>D11</f>
        <v>0.02</v>
      </c>
      <c r="E49" s="166">
        <f>D49*$D$9</f>
        <v>1</v>
      </c>
      <c r="F49" s="137">
        <f>Vet!F50</f>
        <v>11</v>
      </c>
      <c r="G49" s="19">
        <f t="shared" si="6"/>
        <v>11</v>
      </c>
      <c r="H49" s="167">
        <f t="shared" si="7"/>
        <v>0.22</v>
      </c>
      <c r="I49" s="167">
        <f t="shared" si="4"/>
        <v>5.8193360666578493E-2</v>
      </c>
      <c r="J49" s="20" t="s">
        <v>18</v>
      </c>
    </row>
    <row r="50" spans="1:10" x14ac:dyDescent="0.25">
      <c r="A50" s="218" t="s">
        <v>633</v>
      </c>
      <c r="B50" s="11" t="s">
        <v>75</v>
      </c>
      <c r="C50" s="11" t="s">
        <v>76</v>
      </c>
      <c r="D50" s="16"/>
      <c r="E50" s="17">
        <f>Facilities!E17</f>
        <v>60215.576000000001</v>
      </c>
      <c r="F50" s="170">
        <v>5.0000000000000001E-3</v>
      </c>
      <c r="G50" s="19">
        <f t="shared" si="6"/>
        <v>301.07787999999999</v>
      </c>
      <c r="H50" s="167">
        <f t="shared" si="7"/>
        <v>6.0215575999999995</v>
      </c>
      <c r="I50" s="167">
        <f t="shared" si="4"/>
        <v>1.5927939690517126</v>
      </c>
      <c r="J50" s="20" t="s">
        <v>18</v>
      </c>
    </row>
    <row r="51" spans="1:10" x14ac:dyDescent="0.25">
      <c r="B51" s="11" t="s">
        <v>77</v>
      </c>
      <c r="C51" s="11" t="s">
        <v>78</v>
      </c>
      <c r="D51" s="16">
        <v>7</v>
      </c>
      <c r="E51" s="166">
        <f>D51*$D$9</f>
        <v>350</v>
      </c>
      <c r="F51" s="18">
        <v>16.079999999999998</v>
      </c>
      <c r="G51" s="19">
        <f t="shared" si="6"/>
        <v>5627.9999999999991</v>
      </c>
      <c r="H51" s="167">
        <f t="shared" si="7"/>
        <v>112.55999999999999</v>
      </c>
      <c r="I51" s="167">
        <f t="shared" si="4"/>
        <v>29.773839439227611</v>
      </c>
      <c r="J51" s="20" t="s">
        <v>18</v>
      </c>
    </row>
    <row r="52" spans="1:10" x14ac:dyDescent="0.25">
      <c r="B52" s="11" t="s">
        <v>79</v>
      </c>
      <c r="C52" s="11" t="s">
        <v>80</v>
      </c>
      <c r="D52" s="16">
        <v>0</v>
      </c>
      <c r="E52" s="166">
        <f>D52*$D$9</f>
        <v>0</v>
      </c>
      <c r="F52" s="18">
        <v>0</v>
      </c>
      <c r="G52" s="19">
        <f t="shared" si="6"/>
        <v>0</v>
      </c>
      <c r="H52" s="167">
        <f t="shared" si="7"/>
        <v>0</v>
      </c>
      <c r="I52" s="167">
        <f t="shared" si="4"/>
        <v>0</v>
      </c>
      <c r="J52" s="20" t="s">
        <v>18</v>
      </c>
    </row>
    <row r="53" spans="1:10" x14ac:dyDescent="0.25">
      <c r="B53" s="11" t="s">
        <v>81</v>
      </c>
      <c r="C53" s="11" t="s">
        <v>82</v>
      </c>
      <c r="D53" s="16">
        <v>0</v>
      </c>
      <c r="E53" s="166">
        <f>D53*$D$9</f>
        <v>0</v>
      </c>
      <c r="F53" s="18">
        <v>0</v>
      </c>
      <c r="G53" s="19">
        <f t="shared" ref="G53:G56" si="8">E53*F53</f>
        <v>0</v>
      </c>
      <c r="H53" s="167">
        <f t="shared" si="7"/>
        <v>0</v>
      </c>
      <c r="I53" s="167">
        <f t="shared" si="4"/>
        <v>0</v>
      </c>
      <c r="J53" s="20" t="s">
        <v>18</v>
      </c>
    </row>
    <row r="54" spans="1:10" x14ac:dyDescent="0.25">
      <c r="B54" s="11" t="s">
        <v>20</v>
      </c>
      <c r="C54" s="11" t="s">
        <v>71</v>
      </c>
      <c r="D54" s="16">
        <v>1</v>
      </c>
      <c r="E54" s="166">
        <f>D54*$D$9</f>
        <v>50</v>
      </c>
      <c r="F54" s="18">
        <v>1.5</v>
      </c>
      <c r="G54" s="19">
        <f t="shared" si="8"/>
        <v>75</v>
      </c>
      <c r="H54" s="167">
        <f t="shared" si="7"/>
        <v>1.5</v>
      </c>
      <c r="I54" s="167">
        <f t="shared" si="4"/>
        <v>0.39677291363576245</v>
      </c>
      <c r="J54" s="20" t="s">
        <v>18</v>
      </c>
    </row>
    <row r="55" spans="1:10" x14ac:dyDescent="0.25">
      <c r="B55" s="11" t="s">
        <v>83</v>
      </c>
      <c r="C55" s="11" t="s">
        <v>84</v>
      </c>
      <c r="D55" s="16"/>
      <c r="E55" s="17">
        <f>SUM(G33:G54)</f>
        <v>47316.650534931767</v>
      </c>
      <c r="F55" s="135">
        <v>0.08</v>
      </c>
      <c r="G55" s="19">
        <f>E55*((F55/365)*182.5)</f>
        <v>1892.6660213972707</v>
      </c>
      <c r="H55" s="167">
        <f t="shared" si="7"/>
        <v>37.853320427945413</v>
      </c>
      <c r="I55" s="167">
        <f t="shared" si="4"/>
        <v>10.012781491322686</v>
      </c>
      <c r="J55" s="20" t="s">
        <v>18</v>
      </c>
    </row>
    <row r="56" spans="1:10" ht="15.75" thickBot="1" x14ac:dyDescent="0.3">
      <c r="A56" s="218" t="s">
        <v>628</v>
      </c>
      <c r="B56" s="23" t="s">
        <v>564</v>
      </c>
      <c r="C56" s="23" t="s">
        <v>49</v>
      </c>
      <c r="D56" s="16">
        <f>E56/D9</f>
        <v>0.872</v>
      </c>
      <c r="E56" s="169">
        <f>C29</f>
        <v>43.6</v>
      </c>
      <c r="F56" s="217">
        <f>Marketing!F10</f>
        <v>54.868027522935783</v>
      </c>
      <c r="G56" s="19">
        <f t="shared" si="8"/>
        <v>2392.2460000000001</v>
      </c>
      <c r="H56" s="167">
        <f t="shared" si="7"/>
        <v>47.844920000000002</v>
      </c>
      <c r="I56" s="167">
        <f t="shared" si="4"/>
        <v>12.655712207379976</v>
      </c>
      <c r="J56" s="26" t="s">
        <v>18</v>
      </c>
    </row>
    <row r="57" spans="1:10" ht="15.75" thickBot="1" x14ac:dyDescent="0.3">
      <c r="B57" s="13" t="s">
        <v>23</v>
      </c>
      <c r="C57" s="27"/>
      <c r="D57" s="28" t="s">
        <v>22</v>
      </c>
      <c r="E57" s="29"/>
      <c r="F57" s="29"/>
      <c r="G57" s="30">
        <f>SUM(G32:G56)</f>
        <v>51601.562556329038</v>
      </c>
      <c r="H57" s="30">
        <f>SUM(H32:H56)</f>
        <v>1032.0312511265809</v>
      </c>
      <c r="I57" s="30">
        <f>SUM(I32:I56)</f>
        <v>272.98803098176984</v>
      </c>
      <c r="J57" s="31"/>
    </row>
    <row r="58" spans="1:10" x14ac:dyDescent="0.25">
      <c r="B58" s="32"/>
      <c r="C58" s="11"/>
      <c r="D58" s="12"/>
      <c r="E58" s="22"/>
      <c r="F58" s="22"/>
      <c r="G58" s="33"/>
      <c r="H58" s="34"/>
      <c r="I58" s="34"/>
      <c r="J58" s="35"/>
    </row>
    <row r="59" spans="1:10" ht="15.75" thickBot="1" x14ac:dyDescent="0.3">
      <c r="B59" s="23"/>
      <c r="C59" s="23"/>
      <c r="D59" s="23"/>
      <c r="E59" s="23"/>
      <c r="F59" s="23"/>
      <c r="G59" s="23"/>
      <c r="H59" s="23"/>
      <c r="I59" s="23"/>
      <c r="J59" s="23"/>
    </row>
    <row r="60" spans="1:10" ht="15.75" thickBot="1" x14ac:dyDescent="0.3">
      <c r="B60" s="36" t="s">
        <v>24</v>
      </c>
      <c r="C60" s="36"/>
      <c r="D60" s="36"/>
      <c r="E60" s="36"/>
      <c r="F60" s="36"/>
      <c r="G60" s="36"/>
      <c r="H60" s="23"/>
      <c r="I60" s="23"/>
      <c r="J60" s="23"/>
    </row>
    <row r="61" spans="1:10" x14ac:dyDescent="0.25">
      <c r="A61" s="218" t="s">
        <v>615</v>
      </c>
      <c r="B61" s="11" t="s">
        <v>470</v>
      </c>
      <c r="C61" s="11" t="s">
        <v>21</v>
      </c>
      <c r="D61" s="11"/>
      <c r="E61" s="11"/>
      <c r="F61" s="11"/>
      <c r="G61" s="168">
        <f>Breeding_Stock!J8</f>
        <v>598.79999999999995</v>
      </c>
      <c r="H61" s="168">
        <f>G61/$D$9</f>
        <v>11.975999999999999</v>
      </c>
      <c r="I61" s="168">
        <f t="shared" ref="I61:I65" si="9">G61/SUM($E$24:$E$25)</f>
        <v>3.1678349424679273</v>
      </c>
      <c r="J61" s="20" t="s">
        <v>18</v>
      </c>
    </row>
    <row r="62" spans="1:10" x14ac:dyDescent="0.25">
      <c r="A62" s="218" t="s">
        <v>633</v>
      </c>
      <c r="B62" s="11" t="s">
        <v>469</v>
      </c>
      <c r="C62" s="11" t="s">
        <v>21</v>
      </c>
      <c r="D62" s="11"/>
      <c r="E62" s="11"/>
      <c r="F62" s="11"/>
      <c r="G62" s="168">
        <f>Facilities!L17</f>
        <v>6086.4362308571426</v>
      </c>
      <c r="H62" s="168">
        <f>G62/$D$9</f>
        <v>121.72872461714286</v>
      </c>
      <c r="I62" s="168">
        <f t="shared" si="9"/>
        <v>32.199107159672756</v>
      </c>
      <c r="J62" s="20" t="s">
        <v>18</v>
      </c>
    </row>
    <row r="63" spans="1:10" x14ac:dyDescent="0.25">
      <c r="A63" s="218" t="s">
        <v>634</v>
      </c>
      <c r="B63" s="11" t="s">
        <v>25</v>
      </c>
      <c r="C63" s="11" t="s">
        <v>21</v>
      </c>
      <c r="D63" s="11"/>
      <c r="E63" s="22"/>
      <c r="F63" s="22"/>
      <c r="G63" s="168">
        <f>CowCalfEquipment_FC!N30</f>
        <v>6409.8752142857138</v>
      </c>
      <c r="H63" s="168">
        <f>G63/$D$9</f>
        <v>128.19750428571427</v>
      </c>
      <c r="I63" s="168">
        <f t="shared" si="9"/>
        <v>33.910198197517332</v>
      </c>
      <c r="J63" s="20" t="s">
        <v>18</v>
      </c>
    </row>
    <row r="64" spans="1:10" x14ac:dyDescent="0.25">
      <c r="B64" s="11" t="s">
        <v>26</v>
      </c>
      <c r="C64" s="11" t="s">
        <v>27</v>
      </c>
      <c r="D64" s="11">
        <v>1</v>
      </c>
      <c r="E64" s="21">
        <f>G57</f>
        <v>51601.562556329038</v>
      </c>
      <c r="F64" s="37">
        <v>0.05</v>
      </c>
      <c r="G64" s="168">
        <f>F64*E64</f>
        <v>2580.0781278164523</v>
      </c>
      <c r="H64" s="168">
        <f>G64/$D$9</f>
        <v>51.601562556329043</v>
      </c>
      <c r="I64" s="168">
        <f t="shared" si="9"/>
        <v>13.649401549088491</v>
      </c>
      <c r="J64" s="20" t="s">
        <v>18</v>
      </c>
    </row>
    <row r="65" spans="2:10" ht="15.75" thickBot="1" x14ac:dyDescent="0.3">
      <c r="B65" s="23" t="s">
        <v>28</v>
      </c>
      <c r="C65" s="23" t="s">
        <v>19</v>
      </c>
      <c r="D65" s="23">
        <v>1</v>
      </c>
      <c r="E65" s="38">
        <f>SUM(E32:E37)</f>
        <v>72.5</v>
      </c>
      <c r="F65" s="39">
        <v>0</v>
      </c>
      <c r="G65" s="171">
        <f>E65*F65</f>
        <v>0</v>
      </c>
      <c r="H65" s="168">
        <f>G65/$D$9</f>
        <v>0</v>
      </c>
      <c r="I65" s="168">
        <f t="shared" si="9"/>
        <v>0</v>
      </c>
      <c r="J65" s="26" t="s">
        <v>18</v>
      </c>
    </row>
    <row r="66" spans="2:10" ht="15.75" thickBot="1" x14ac:dyDescent="0.3">
      <c r="B66" s="13" t="s">
        <v>29</v>
      </c>
      <c r="C66" s="28" t="s">
        <v>22</v>
      </c>
      <c r="D66" s="27" t="s">
        <v>22</v>
      </c>
      <c r="E66" s="29" t="s">
        <v>22</v>
      </c>
      <c r="F66" s="40" t="s">
        <v>22</v>
      </c>
      <c r="G66" s="41">
        <f>SUM(G61:G65)</f>
        <v>15675.189572959309</v>
      </c>
      <c r="H66" s="41">
        <f>SUM(H61:H65)</f>
        <v>313.50379145918617</v>
      </c>
      <c r="I66" s="41">
        <f>SUM(I61:I65)</f>
        <v>82.92654184874651</v>
      </c>
      <c r="J66" s="27"/>
    </row>
    <row r="67" spans="2:10" x14ac:dyDescent="0.25">
      <c r="B67" s="32"/>
      <c r="C67" s="12"/>
      <c r="D67" s="11"/>
      <c r="E67" s="22"/>
      <c r="F67" s="21"/>
      <c r="G67" s="42"/>
      <c r="H67" s="34"/>
      <c r="I67" s="34"/>
      <c r="J67" s="11"/>
    </row>
    <row r="68" spans="2:10" ht="15.75" thickBot="1" x14ac:dyDescent="0.3">
      <c r="B68" s="36"/>
      <c r="C68" s="24"/>
      <c r="D68" s="23"/>
      <c r="E68" s="43"/>
      <c r="F68" s="44"/>
      <c r="G68" s="45"/>
      <c r="H68" s="46"/>
      <c r="I68" s="46"/>
      <c r="J68" s="23"/>
    </row>
    <row r="69" spans="2:10" ht="15.75" thickBot="1" x14ac:dyDescent="0.3">
      <c r="B69" s="36" t="s">
        <v>30</v>
      </c>
      <c r="C69" s="24"/>
      <c r="D69" s="23"/>
      <c r="E69" s="43"/>
      <c r="F69" s="44"/>
      <c r="G69" s="46">
        <f>SUM(G57,G66)</f>
        <v>67276.752129288347</v>
      </c>
      <c r="H69" s="46">
        <f>SUM(H57,H66)</f>
        <v>1345.5350425857671</v>
      </c>
      <c r="I69" s="46">
        <f>SUM(I57,I66)</f>
        <v>355.91457283051636</v>
      </c>
      <c r="J69" s="26" t="s">
        <v>18</v>
      </c>
    </row>
    <row r="70" spans="2:10" x14ac:dyDescent="0.25">
      <c r="B70" s="32"/>
      <c r="C70" s="12"/>
      <c r="D70" s="11"/>
      <c r="E70" s="22"/>
      <c r="F70" s="21"/>
      <c r="G70" s="42"/>
      <c r="H70" s="33"/>
      <c r="I70" s="33"/>
      <c r="J70" s="182"/>
    </row>
    <row r="71" spans="2:10" ht="15.75" thickBot="1" x14ac:dyDescent="0.3">
      <c r="B71" s="36"/>
      <c r="C71" s="24"/>
      <c r="D71" s="23"/>
      <c r="E71" s="43"/>
      <c r="F71" s="44"/>
      <c r="G71" s="45"/>
      <c r="H71" s="46"/>
      <c r="I71" s="46"/>
      <c r="J71" s="26"/>
    </row>
    <row r="72" spans="2:10" x14ac:dyDescent="0.25">
      <c r="B72" s="32" t="s">
        <v>583</v>
      </c>
      <c r="C72" s="12"/>
      <c r="D72" s="11"/>
      <c r="E72" s="22"/>
      <c r="F72" s="21"/>
      <c r="G72" s="42">
        <f>I29-G57</f>
        <v>13606.637443670967</v>
      </c>
      <c r="H72" s="33">
        <f>H29-H57</f>
        <v>272.13274887341936</v>
      </c>
      <c r="I72" s="33">
        <f>(I29/SUM(E24:E25))-I57</f>
        <v>71.983269110810511</v>
      </c>
      <c r="J72" s="20" t="s">
        <v>18</v>
      </c>
    </row>
    <row r="73" spans="2:10" ht="15.75" thickBot="1" x14ac:dyDescent="0.3">
      <c r="B73" s="36" t="s">
        <v>584</v>
      </c>
      <c r="C73" s="24"/>
      <c r="D73" s="23"/>
      <c r="E73" s="43"/>
      <c r="F73" s="44"/>
      <c r="G73" s="45">
        <f>I29-G69</f>
        <v>-2068.5521292883423</v>
      </c>
      <c r="H73" s="46">
        <f>H29-H69</f>
        <v>-41.371042585766872</v>
      </c>
      <c r="I73" s="46">
        <f>(I29/SUM(E24:E25))-I69</f>
        <v>-10.943272737936013</v>
      </c>
      <c r="J73" s="189" t="s">
        <v>18</v>
      </c>
    </row>
    <row r="74" spans="2:10" x14ac:dyDescent="0.25">
      <c r="B74" s="32"/>
      <c r="C74" s="12"/>
      <c r="D74" s="11"/>
      <c r="E74" s="22"/>
      <c r="F74" s="21"/>
      <c r="G74" s="42"/>
      <c r="H74" s="33"/>
      <c r="I74" s="33"/>
      <c r="J74" s="182"/>
    </row>
    <row r="75" spans="2:10" ht="15.75" thickBot="1" x14ac:dyDescent="0.3">
      <c r="B75" s="32"/>
      <c r="C75" s="12"/>
      <c r="D75" s="11"/>
      <c r="E75" s="22"/>
      <c r="F75" s="21"/>
      <c r="G75" s="42"/>
      <c r="H75" s="33"/>
      <c r="I75" s="33"/>
      <c r="J75" s="182"/>
    </row>
    <row r="76" spans="2:10" ht="15.75" thickBot="1" x14ac:dyDescent="0.3">
      <c r="B76" s="215" t="s">
        <v>579</v>
      </c>
      <c r="C76" s="216" t="s">
        <v>51</v>
      </c>
      <c r="D76" s="48"/>
      <c r="E76" s="48"/>
      <c r="F76" s="48"/>
      <c r="G76" s="48"/>
      <c r="H76" s="48"/>
      <c r="I76" s="183"/>
      <c r="J76" s="182"/>
    </row>
    <row r="77" spans="2:10" x14ac:dyDescent="0.25">
      <c r="B77" s="212" t="s">
        <v>580</v>
      </c>
      <c r="C77" s="213">
        <f>(SUM(H32:H44)-SUM(H26:H28))/(SUM(E24:E25)/D9)</f>
        <v>142.43392490375226</v>
      </c>
      <c r="D77" s="185"/>
      <c r="E77" s="185"/>
      <c r="F77" s="185"/>
      <c r="G77" s="185"/>
      <c r="H77" s="185"/>
      <c r="I77" s="183"/>
      <c r="J77" s="182"/>
    </row>
    <row r="78" spans="2:10" x14ac:dyDescent="0.25">
      <c r="B78" s="57" t="s">
        <v>581</v>
      </c>
      <c r="C78" s="186">
        <f>(H57-SUM(H26:H28))/(SUM(E24:E25)/D9)</f>
        <v>213.47209393640546</v>
      </c>
      <c r="D78" s="185"/>
      <c r="E78" s="185"/>
      <c r="F78" s="185"/>
      <c r="G78" s="185"/>
      <c r="H78" s="185"/>
      <c r="I78" s="183"/>
      <c r="J78" s="182"/>
    </row>
    <row r="79" spans="2:10" ht="15.75" thickBot="1" x14ac:dyDescent="0.3">
      <c r="B79" s="214" t="s">
        <v>582</v>
      </c>
      <c r="C79" s="187">
        <f>(H69-SUM(H26:H28))/(SUM(E24:E25)/D9)</f>
        <v>296.39863578515201</v>
      </c>
      <c r="D79" s="11"/>
      <c r="E79" s="22"/>
      <c r="F79" s="21"/>
      <c r="G79" s="184"/>
      <c r="H79" s="183"/>
      <c r="I79" s="183"/>
      <c r="J79" s="182"/>
    </row>
    <row r="80" spans="2:10" x14ac:dyDescent="0.25">
      <c r="B80" s="48"/>
      <c r="C80" s="188"/>
      <c r="D80" s="11"/>
      <c r="E80" s="22"/>
      <c r="F80" s="21"/>
      <c r="G80" s="184"/>
      <c r="H80" s="183"/>
      <c r="I80" s="183"/>
      <c r="J80" s="182"/>
    </row>
    <row r="81" spans="2:11" x14ac:dyDescent="0.25">
      <c r="B81" s="11"/>
      <c r="C81" s="11"/>
      <c r="D81" s="11"/>
      <c r="E81" s="11"/>
      <c r="F81" s="11"/>
      <c r="G81" s="11"/>
      <c r="H81" s="11"/>
      <c r="I81" s="47"/>
      <c r="J81" s="182"/>
    </row>
    <row r="82" spans="2:11" x14ac:dyDescent="0.25">
      <c r="B82" s="226" t="s">
        <v>31</v>
      </c>
      <c r="C82" s="226"/>
      <c r="D82" s="226"/>
      <c r="E82" s="226"/>
      <c r="F82" s="226"/>
      <c r="G82" s="226"/>
      <c r="H82" s="226"/>
      <c r="I82" s="48"/>
      <c r="J82" s="48"/>
    </row>
    <row r="83" spans="2:11" x14ac:dyDescent="0.25">
      <c r="B83" s="226" t="s">
        <v>576</v>
      </c>
      <c r="C83" s="226"/>
      <c r="D83" s="226"/>
      <c r="E83" s="226"/>
      <c r="F83" s="226"/>
      <c r="G83" s="226"/>
      <c r="H83" s="226"/>
      <c r="I83" s="48"/>
      <c r="J83" s="48"/>
    </row>
    <row r="84" spans="2:11" ht="15.75" thickBot="1" x14ac:dyDescent="0.3">
      <c r="B84" s="241" t="s">
        <v>554</v>
      </c>
      <c r="C84" s="241"/>
      <c r="D84" s="241"/>
      <c r="E84" s="241"/>
      <c r="F84" s="241"/>
      <c r="G84" s="241"/>
      <c r="H84" s="241"/>
      <c r="I84" s="48"/>
      <c r="J84" s="48"/>
    </row>
    <row r="85" spans="2:11" x14ac:dyDescent="0.25">
      <c r="B85" s="227"/>
      <c r="C85" s="228"/>
      <c r="D85" s="233" t="s">
        <v>555</v>
      </c>
      <c r="E85" s="234"/>
      <c r="F85" s="234"/>
      <c r="G85" s="234"/>
      <c r="H85" s="235"/>
      <c r="I85" s="48"/>
      <c r="J85" s="48"/>
    </row>
    <row r="86" spans="2:11" x14ac:dyDescent="0.25">
      <c r="B86" s="229"/>
      <c r="C86" s="230"/>
      <c r="D86" s="49" t="s">
        <v>32</v>
      </c>
      <c r="E86" s="50" t="s">
        <v>33</v>
      </c>
      <c r="F86" s="51" t="s">
        <v>34</v>
      </c>
      <c r="G86" s="50" t="s">
        <v>35</v>
      </c>
      <c r="H86" s="52" t="s">
        <v>36</v>
      </c>
      <c r="I86" s="48"/>
      <c r="J86" s="48"/>
    </row>
    <row r="87" spans="2:11" ht="15.75" thickBot="1" x14ac:dyDescent="0.3">
      <c r="B87" s="231"/>
      <c r="C87" s="232"/>
      <c r="D87" s="53">
        <f>F87*(1-0.1)</f>
        <v>4.7699999999999996</v>
      </c>
      <c r="E87" s="53">
        <f>F87*(1-0.05)</f>
        <v>5.0349999999999993</v>
      </c>
      <c r="F87" s="53">
        <v>5.3</v>
      </c>
      <c r="G87" s="53">
        <f>F87*(1+0.05)</f>
        <v>5.5650000000000004</v>
      </c>
      <c r="H87" s="54">
        <f>G87*(1+0.1)</f>
        <v>6.1215000000000011</v>
      </c>
      <c r="I87" s="48"/>
      <c r="J87" s="48"/>
    </row>
    <row r="88" spans="2:11" x14ac:dyDescent="0.25">
      <c r="B88" s="236" t="s">
        <v>556</v>
      </c>
      <c r="C88" s="55">
        <v>265</v>
      </c>
      <c r="D88" s="56">
        <f t="shared" ref="D88:H92" si="10">(($C88*D$87*SUM($C$24:$C$25))/$D$9)+SUM($H$26:$H$28)-$H$57</f>
        <v>92.972348873419151</v>
      </c>
      <c r="E88" s="56">
        <f t="shared" si="10"/>
        <v>142.9725488734191</v>
      </c>
      <c r="F88" s="56">
        <f t="shared" si="10"/>
        <v>192.97274887341928</v>
      </c>
      <c r="G88" s="56">
        <f t="shared" si="10"/>
        <v>242.97294887341923</v>
      </c>
      <c r="H88" s="56">
        <f t="shared" si="10"/>
        <v>347.9733688734193</v>
      </c>
      <c r="I88" s="57"/>
      <c r="J88" s="48"/>
      <c r="K88" s="47"/>
    </row>
    <row r="89" spans="2:11" x14ac:dyDescent="0.25">
      <c r="B89" s="237"/>
      <c r="C89" s="55">
        <v>280</v>
      </c>
      <c r="D89" s="56">
        <f t="shared" si="10"/>
        <v>143.91594887341921</v>
      </c>
      <c r="E89" s="56">
        <f t="shared" si="10"/>
        <v>196.74634887341904</v>
      </c>
      <c r="F89" s="56">
        <f t="shared" si="10"/>
        <v>249.57674887341909</v>
      </c>
      <c r="G89" s="56">
        <f t="shared" si="10"/>
        <v>302.40714887341915</v>
      </c>
      <c r="H89" s="56">
        <f t="shared" si="10"/>
        <v>413.35098887341928</v>
      </c>
      <c r="I89" s="57"/>
      <c r="J89" s="48"/>
    </row>
    <row r="90" spans="2:11" x14ac:dyDescent="0.25">
      <c r="B90" s="237"/>
      <c r="C90" s="55">
        <v>295</v>
      </c>
      <c r="D90" s="56">
        <f t="shared" si="10"/>
        <v>194.85954887341904</v>
      </c>
      <c r="E90" s="56">
        <f t="shared" si="10"/>
        <v>250.52014887341898</v>
      </c>
      <c r="F90" s="56">
        <f t="shared" si="10"/>
        <v>306.18074887341936</v>
      </c>
      <c r="G90" s="56">
        <f t="shared" si="10"/>
        <v>361.84134887341929</v>
      </c>
      <c r="H90" s="56">
        <f t="shared" si="10"/>
        <v>478.72860887341926</v>
      </c>
      <c r="I90" s="57"/>
      <c r="J90" s="48"/>
      <c r="K90" s="47"/>
    </row>
    <row r="91" spans="2:11" x14ac:dyDescent="0.25">
      <c r="B91" s="237"/>
      <c r="C91" s="55">
        <v>310</v>
      </c>
      <c r="D91" s="56">
        <f t="shared" si="10"/>
        <v>245.8031488734191</v>
      </c>
      <c r="E91" s="56">
        <f t="shared" si="10"/>
        <v>304.29394887341891</v>
      </c>
      <c r="F91" s="56">
        <f t="shared" si="10"/>
        <v>362.78474887341918</v>
      </c>
      <c r="G91" s="56">
        <f t="shared" si="10"/>
        <v>421.27554887341921</v>
      </c>
      <c r="H91" s="56">
        <f t="shared" si="10"/>
        <v>544.10622887341947</v>
      </c>
      <c r="I91" s="57"/>
      <c r="J91" s="48"/>
    </row>
    <row r="92" spans="2:11" ht="15.75" thickBot="1" x14ac:dyDescent="0.3">
      <c r="B92" s="238"/>
      <c r="C92" s="58">
        <v>325</v>
      </c>
      <c r="D92" s="59">
        <f t="shared" si="10"/>
        <v>296.74674887341894</v>
      </c>
      <c r="E92" s="60">
        <f t="shared" si="10"/>
        <v>358.06774887341908</v>
      </c>
      <c r="F92" s="60">
        <f t="shared" si="10"/>
        <v>419.38874887341922</v>
      </c>
      <c r="G92" s="60">
        <f t="shared" si="10"/>
        <v>480.70974887341936</v>
      </c>
      <c r="H92" s="61">
        <f t="shared" si="10"/>
        <v>609.48384887341945</v>
      </c>
      <c r="I92" s="57"/>
      <c r="J92" s="48"/>
    </row>
    <row r="93" spans="2:11" x14ac:dyDescent="0.25">
      <c r="B93" s="48"/>
      <c r="C93" s="48"/>
      <c r="D93" s="48"/>
      <c r="E93" s="48"/>
      <c r="F93" s="48"/>
      <c r="G93" s="48"/>
      <c r="H93" s="48"/>
      <c r="I93" s="48"/>
      <c r="J93" s="48"/>
    </row>
    <row r="95" spans="2:11" x14ac:dyDescent="0.25">
      <c r="B95" s="226" t="s">
        <v>31</v>
      </c>
      <c r="C95" s="226"/>
      <c r="D95" s="226"/>
      <c r="E95" s="226"/>
      <c r="F95" s="226"/>
      <c r="G95" s="226"/>
      <c r="H95" s="226"/>
      <c r="I95" s="48"/>
      <c r="J95" s="48"/>
    </row>
    <row r="96" spans="2:11" x14ac:dyDescent="0.25">
      <c r="B96" s="226" t="s">
        <v>576</v>
      </c>
      <c r="C96" s="226"/>
      <c r="D96" s="226"/>
      <c r="E96" s="226"/>
      <c r="F96" s="226"/>
      <c r="G96" s="226"/>
      <c r="H96" s="226"/>
      <c r="I96" s="48"/>
      <c r="J96" s="48"/>
    </row>
    <row r="97" spans="2:10" ht="15.75" thickBot="1" x14ac:dyDescent="0.3">
      <c r="B97" s="241" t="s">
        <v>571</v>
      </c>
      <c r="C97" s="241"/>
      <c r="D97" s="241"/>
      <c r="E97" s="241"/>
      <c r="F97" s="241"/>
      <c r="G97" s="241"/>
      <c r="H97" s="241"/>
      <c r="I97" s="48"/>
      <c r="J97" s="48"/>
    </row>
    <row r="98" spans="2:10" x14ac:dyDescent="0.25">
      <c r="B98" s="227"/>
      <c r="C98" s="228"/>
      <c r="D98" s="233" t="s">
        <v>555</v>
      </c>
      <c r="E98" s="234"/>
      <c r="F98" s="234"/>
      <c r="G98" s="234"/>
      <c r="H98" s="235"/>
      <c r="I98" s="48"/>
      <c r="J98" s="48"/>
    </row>
    <row r="99" spans="2:10" x14ac:dyDescent="0.25">
      <c r="B99" s="229"/>
      <c r="C99" s="230"/>
      <c r="D99" s="49" t="s">
        <v>32</v>
      </c>
      <c r="E99" s="50" t="s">
        <v>33</v>
      </c>
      <c r="F99" s="51" t="s">
        <v>34</v>
      </c>
      <c r="G99" s="50" t="s">
        <v>35</v>
      </c>
      <c r="H99" s="52" t="s">
        <v>36</v>
      </c>
      <c r="I99" s="48"/>
      <c r="J99" s="48"/>
    </row>
    <row r="100" spans="2:10" ht="15.75" thickBot="1" x14ac:dyDescent="0.3">
      <c r="B100" s="231"/>
      <c r="C100" s="232"/>
      <c r="D100" s="53">
        <f>F100*(1-0.1)</f>
        <v>4.7699999999999996</v>
      </c>
      <c r="E100" s="53">
        <f>F100*(1-0.05)</f>
        <v>5.0349999999999993</v>
      </c>
      <c r="F100" s="53">
        <v>5.3</v>
      </c>
      <c r="G100" s="53">
        <f>F100*(1+0.05)</f>
        <v>5.5650000000000004</v>
      </c>
      <c r="H100" s="54">
        <f>G100*(1+0.1)</f>
        <v>6.1215000000000011</v>
      </c>
      <c r="I100" s="48"/>
      <c r="J100" s="48"/>
    </row>
    <row r="101" spans="2:10" ht="15" customHeight="1" x14ac:dyDescent="0.25">
      <c r="B101" s="236" t="s">
        <v>575</v>
      </c>
      <c r="C101" s="178">
        <v>0.7</v>
      </c>
      <c r="D101" s="56">
        <f t="shared" ref="D101:H105" si="11">(($C$90*D$100*(($D$9*$C101*(1-$D$11))-$D$18))/$D$9)+SUM($H$26:$H$28)-$H$57</f>
        <v>-80.941851126581014</v>
      </c>
      <c r="E101" s="56">
        <f t="shared" si="11"/>
        <v>-40.603551126581124</v>
      </c>
      <c r="F101" s="56">
        <f t="shared" si="11"/>
        <v>-0.26525112658077887</v>
      </c>
      <c r="G101" s="56">
        <f t="shared" si="11"/>
        <v>40.073048873419111</v>
      </c>
      <c r="H101" s="56">
        <f t="shared" si="11"/>
        <v>124.7834788734192</v>
      </c>
      <c r="I101" s="57"/>
      <c r="J101" s="48"/>
    </row>
    <row r="102" spans="2:10" x14ac:dyDescent="0.25">
      <c r="B102" s="237"/>
      <c r="C102" s="178">
        <v>0.8</v>
      </c>
      <c r="D102" s="56">
        <f t="shared" si="11"/>
        <v>56.958848873419129</v>
      </c>
      <c r="E102" s="56">
        <f t="shared" si="11"/>
        <v>104.95829887341915</v>
      </c>
      <c r="F102" s="56">
        <f t="shared" si="11"/>
        <v>152.95774887341918</v>
      </c>
      <c r="G102" s="56">
        <f t="shared" si="11"/>
        <v>200.95719887341943</v>
      </c>
      <c r="H102" s="56">
        <f t="shared" si="11"/>
        <v>301.75604387341923</v>
      </c>
      <c r="I102" s="57"/>
      <c r="J102" s="48"/>
    </row>
    <row r="103" spans="2:10" x14ac:dyDescent="0.25">
      <c r="B103" s="237"/>
      <c r="C103" s="178">
        <v>0.85</v>
      </c>
      <c r="D103" s="56">
        <f t="shared" si="11"/>
        <v>125.90919887341897</v>
      </c>
      <c r="E103" s="56">
        <f t="shared" si="11"/>
        <v>177.73922387341895</v>
      </c>
      <c r="F103" s="56">
        <f t="shared" si="11"/>
        <v>229.56924887341893</v>
      </c>
      <c r="G103" s="56">
        <f t="shared" si="11"/>
        <v>281.39927387341913</v>
      </c>
      <c r="H103" s="56">
        <f t="shared" si="11"/>
        <v>390.24232637341925</v>
      </c>
      <c r="I103" s="57"/>
    </row>
    <row r="104" spans="2:10" x14ac:dyDescent="0.25">
      <c r="B104" s="237"/>
      <c r="C104" s="178">
        <v>0.9</v>
      </c>
      <c r="D104" s="56">
        <f t="shared" si="11"/>
        <v>194.85954887341904</v>
      </c>
      <c r="E104" s="56">
        <f t="shared" si="11"/>
        <v>250.52014887341898</v>
      </c>
      <c r="F104" s="56">
        <f t="shared" si="11"/>
        <v>306.18074887341936</v>
      </c>
      <c r="G104" s="56">
        <f t="shared" si="11"/>
        <v>361.84134887341929</v>
      </c>
      <c r="H104" s="56">
        <f t="shared" si="11"/>
        <v>478.72860887341926</v>
      </c>
      <c r="I104" s="57"/>
    </row>
    <row r="105" spans="2:10" ht="15.75" thickBot="1" x14ac:dyDescent="0.3">
      <c r="B105" s="238"/>
      <c r="C105" s="179">
        <v>0.95</v>
      </c>
      <c r="D105" s="59">
        <f t="shared" si="11"/>
        <v>263.80989887341889</v>
      </c>
      <c r="E105" s="60">
        <f t="shared" si="11"/>
        <v>323.301073873419</v>
      </c>
      <c r="F105" s="60">
        <f t="shared" si="11"/>
        <v>382.79224887341911</v>
      </c>
      <c r="G105" s="60">
        <f t="shared" si="11"/>
        <v>442.28342387341922</v>
      </c>
      <c r="H105" s="61">
        <f t="shared" si="11"/>
        <v>567.21489137341928</v>
      </c>
      <c r="I105" s="57"/>
    </row>
    <row r="106" spans="2:10" x14ac:dyDescent="0.25">
      <c r="B106" s="48"/>
      <c r="C106" s="48"/>
      <c r="D106" s="48"/>
      <c r="E106" s="48"/>
      <c r="F106" s="48"/>
      <c r="G106" s="48"/>
      <c r="H106" s="48"/>
      <c r="I106" s="48"/>
      <c r="J106" s="48"/>
    </row>
  </sheetData>
  <mergeCells count="16">
    <mergeCell ref="B96:H96"/>
    <mergeCell ref="B97:H97"/>
    <mergeCell ref="B98:C100"/>
    <mergeCell ref="D98:H98"/>
    <mergeCell ref="B101:B105"/>
    <mergeCell ref="B95:H95"/>
    <mergeCell ref="B85:C87"/>
    <mergeCell ref="D85:H85"/>
    <mergeCell ref="B88:B92"/>
    <mergeCell ref="B2:J2"/>
    <mergeCell ref="B3:J3"/>
    <mergeCell ref="B4:J4"/>
    <mergeCell ref="B82:H82"/>
    <mergeCell ref="B83:H83"/>
    <mergeCell ref="B84:H84"/>
    <mergeCell ref="B6:J6"/>
  </mergeCells>
  <conditionalFormatting sqref="D88:H92">
    <cfRule type="colorScale" priority="5">
      <colorScale>
        <cfvo type="min"/>
        <cfvo type="max"/>
        <color theme="0"/>
        <color rgb="FF00B050"/>
      </colorScale>
    </cfRule>
  </conditionalFormatting>
  <conditionalFormatting sqref="D101:H105">
    <cfRule type="colorScale" priority="3">
      <colorScale>
        <cfvo type="min"/>
        <cfvo type="max"/>
        <color theme="0"/>
        <color rgb="FF00B050"/>
      </colorScale>
    </cfRule>
  </conditionalFormatting>
  <hyperlinks>
    <hyperlink ref="A32" location="Bahia!A1" display="Bahia Detail" xr:uid="{00000000-0004-0000-0100-000000000000}"/>
    <hyperlink ref="A33" location="Bermuda!A1" display="Bermuda Detail" xr:uid="{00000000-0004-0000-0100-000001000000}"/>
    <hyperlink ref="A34" location="Fescue!A1" display="Fescue Detail" xr:uid="{00000000-0004-0000-0100-000002000000}"/>
    <hyperlink ref="A35" location="Winter_Grazing!A1" display="Winter Grazing Detail" xr:uid="{00000000-0004-0000-0100-000003000000}"/>
    <hyperlink ref="A36" location="Summer_Annual!A1" display="Summer Grazing Detail" xr:uid="{00000000-0004-0000-0100-000004000000}"/>
    <hyperlink ref="A39" location="Feed!A1" display="Feed Detail" xr:uid="{00000000-0004-0000-0100-000005000000}"/>
    <hyperlink ref="A45" location="Vet!A1" display="Vet Detail" xr:uid="{00000000-0004-0000-0100-000006000000}"/>
    <hyperlink ref="A50" location="Facilities!A1" display="Facilities Detail" xr:uid="{00000000-0004-0000-0100-000007000000}"/>
    <hyperlink ref="A56" location="Marketing!A1" display="Marketing Detail" xr:uid="{00000000-0004-0000-0100-000008000000}"/>
    <hyperlink ref="A61" location="Breeding_Stock!A1" display="Breeding Stock Detail" xr:uid="{00000000-0004-0000-0100-000009000000}"/>
    <hyperlink ref="A63" location="CowCalfEquipment_FC!A1" display="Equipment Detail" xr:uid="{00000000-0004-0000-0100-00000A000000}"/>
    <hyperlink ref="A62" location="Facilities!A1" display="Facilities Detail" xr:uid="{00000000-0004-0000-0100-00000B000000}"/>
    <hyperlink ref="A37" location="Hay!A1" display="Hay Detail" xr:uid="{00000000-0004-0000-0100-00000C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6"/>
  <sheetViews>
    <sheetView workbookViewId="0"/>
  </sheetViews>
  <sheetFormatPr defaultColWidth="9" defaultRowHeight="15" x14ac:dyDescent="0.25"/>
  <cols>
    <col min="1" max="1" width="14.5" style="121" bestFit="1" customWidth="1"/>
    <col min="2" max="2" width="23.625" style="121" bestFit="1" customWidth="1"/>
    <col min="3" max="3" width="6.625" style="121" bestFit="1" customWidth="1"/>
    <col min="4" max="4" width="7.875" style="121" bestFit="1" customWidth="1"/>
    <col min="5" max="5" width="5.875" style="121" bestFit="1" customWidth="1"/>
    <col min="6" max="6" width="7.875" style="121" bestFit="1" customWidth="1"/>
    <col min="7" max="16384" width="9" style="121"/>
  </cols>
  <sheetData>
    <row r="2" spans="1:6" x14ac:dyDescent="0.25">
      <c r="B2" s="151" t="s">
        <v>497</v>
      </c>
    </row>
    <row r="3" spans="1:6" ht="15.75" thickBot="1" x14ac:dyDescent="0.3"/>
    <row r="4" spans="1:6" ht="15.75" thickBot="1" x14ac:dyDescent="0.3">
      <c r="B4" s="13" t="s">
        <v>418</v>
      </c>
      <c r="C4" s="14" t="s">
        <v>11</v>
      </c>
      <c r="D4" s="14" t="s">
        <v>12</v>
      </c>
      <c r="E4" s="14" t="s">
        <v>13</v>
      </c>
      <c r="F4" s="14" t="s">
        <v>15</v>
      </c>
    </row>
    <row r="5" spans="1:6" x14ac:dyDescent="0.25">
      <c r="B5" s="11" t="s">
        <v>588</v>
      </c>
      <c r="C5" s="11" t="s">
        <v>19</v>
      </c>
      <c r="D5" s="122">
        <v>1</v>
      </c>
      <c r="E5" s="137">
        <v>35</v>
      </c>
      <c r="F5" s="130">
        <f>D5*E5</f>
        <v>35</v>
      </c>
    </row>
    <row r="6" spans="1:6" x14ac:dyDescent="0.25">
      <c r="B6" s="11" t="s">
        <v>505</v>
      </c>
      <c r="C6" s="11" t="s">
        <v>17</v>
      </c>
      <c r="D6" s="16">
        <f>1/3</f>
        <v>0.33333333333333331</v>
      </c>
      <c r="E6" s="18">
        <v>44.08</v>
      </c>
      <c r="F6" s="130">
        <f>D6*E6</f>
        <v>14.693333333333332</v>
      </c>
    </row>
    <row r="7" spans="1:6" x14ac:dyDescent="0.25">
      <c r="B7" s="11" t="s">
        <v>506</v>
      </c>
      <c r="C7" s="11"/>
      <c r="D7" s="11"/>
      <c r="E7" s="21"/>
      <c r="F7" s="130"/>
    </row>
    <row r="8" spans="1:6" x14ac:dyDescent="0.25">
      <c r="B8" s="11" t="s">
        <v>507</v>
      </c>
      <c r="C8" s="11" t="s">
        <v>508</v>
      </c>
      <c r="D8" s="16">
        <v>125</v>
      </c>
      <c r="E8" s="18">
        <v>0.69</v>
      </c>
      <c r="F8" s="130">
        <f>D8*E8</f>
        <v>86.25</v>
      </c>
    </row>
    <row r="9" spans="1:6" x14ac:dyDescent="0.25">
      <c r="B9" s="11" t="s">
        <v>509</v>
      </c>
      <c r="C9" s="11" t="s">
        <v>508</v>
      </c>
      <c r="D9" s="16">
        <v>40</v>
      </c>
      <c r="E9" s="18">
        <v>0.77</v>
      </c>
      <c r="F9" s="130">
        <f t="shared" ref="F9:F20" si="0">D9*E9</f>
        <v>30.8</v>
      </c>
    </row>
    <row r="10" spans="1:6" x14ac:dyDescent="0.25">
      <c r="B10" s="11" t="s">
        <v>510</v>
      </c>
      <c r="C10" s="11" t="s">
        <v>508</v>
      </c>
      <c r="D10" s="16">
        <v>40</v>
      </c>
      <c r="E10" s="18">
        <v>0.4</v>
      </c>
      <c r="F10" s="130">
        <f t="shared" si="0"/>
        <v>16</v>
      </c>
    </row>
    <row r="11" spans="1:6" x14ac:dyDescent="0.25">
      <c r="B11" s="11" t="s">
        <v>511</v>
      </c>
      <c r="C11" s="11" t="s">
        <v>514</v>
      </c>
      <c r="D11" s="16">
        <v>2</v>
      </c>
      <c r="E11" s="18">
        <v>7.5</v>
      </c>
      <c r="F11" s="130">
        <f t="shared" si="0"/>
        <v>15</v>
      </c>
    </row>
    <row r="12" spans="1:6" x14ac:dyDescent="0.25">
      <c r="B12" s="11" t="s">
        <v>512</v>
      </c>
      <c r="C12" s="11"/>
      <c r="D12" s="22"/>
      <c r="E12" s="21"/>
      <c r="F12" s="130"/>
    </row>
    <row r="13" spans="1:6" x14ac:dyDescent="0.25">
      <c r="B13" s="11" t="s">
        <v>515</v>
      </c>
      <c r="C13" s="11" t="s">
        <v>514</v>
      </c>
      <c r="D13" s="16">
        <v>1</v>
      </c>
      <c r="E13" s="18">
        <v>18.940000000000001</v>
      </c>
      <c r="F13" s="130">
        <f t="shared" si="0"/>
        <v>18.940000000000001</v>
      </c>
    </row>
    <row r="14" spans="1:6" x14ac:dyDescent="0.25">
      <c r="B14" s="11" t="s">
        <v>516</v>
      </c>
      <c r="C14" s="11" t="s">
        <v>514</v>
      </c>
      <c r="D14" s="16">
        <v>0</v>
      </c>
      <c r="E14" s="18">
        <v>3.06</v>
      </c>
      <c r="F14" s="130">
        <f>D14*E14</f>
        <v>0</v>
      </c>
    </row>
    <row r="15" spans="1:6" x14ac:dyDescent="0.25">
      <c r="A15" s="218" t="s">
        <v>634</v>
      </c>
      <c r="B15" s="11" t="s">
        <v>518</v>
      </c>
      <c r="C15" s="11"/>
      <c r="E15" s="21"/>
      <c r="F15" s="130"/>
    </row>
    <row r="16" spans="1:6" x14ac:dyDescent="0.25">
      <c r="B16" s="11" t="s">
        <v>519</v>
      </c>
      <c r="C16" s="11" t="s">
        <v>520</v>
      </c>
      <c r="D16" s="16">
        <f>Equipment_VC!O13</f>
        <v>1.014733714896215</v>
      </c>
      <c r="E16" s="18">
        <v>3</v>
      </c>
      <c r="F16" s="130">
        <f t="shared" si="0"/>
        <v>3.0442011446886452</v>
      </c>
    </row>
    <row r="17" spans="1:6" x14ac:dyDescent="0.25">
      <c r="B17" s="11" t="s">
        <v>521</v>
      </c>
      <c r="C17" s="11" t="s">
        <v>19</v>
      </c>
      <c r="D17" s="22">
        <v>1</v>
      </c>
      <c r="E17" s="18">
        <f>Equipment_VC!R13</f>
        <v>3.3704718749361611</v>
      </c>
      <c r="F17" s="130">
        <f t="shared" si="0"/>
        <v>3.3704718749361611</v>
      </c>
    </row>
    <row r="18" spans="1:6" x14ac:dyDescent="0.25">
      <c r="B18" s="11" t="s">
        <v>524</v>
      </c>
      <c r="C18" s="11" t="s">
        <v>19</v>
      </c>
      <c r="D18" s="22">
        <v>1</v>
      </c>
      <c r="E18" s="18">
        <v>0</v>
      </c>
      <c r="F18" s="130">
        <f t="shared" si="0"/>
        <v>0</v>
      </c>
    </row>
    <row r="19" spans="1:6" x14ac:dyDescent="0.25">
      <c r="A19" s="218" t="s">
        <v>634</v>
      </c>
      <c r="B19" s="11" t="s">
        <v>525</v>
      </c>
      <c r="C19" s="11" t="s">
        <v>526</v>
      </c>
      <c r="D19" s="16">
        <f>Equipment_VC!G13</f>
        <v>0.22357041107041109</v>
      </c>
      <c r="E19" s="18">
        <f>Main!F51</f>
        <v>16.079999999999998</v>
      </c>
      <c r="F19" s="130">
        <f t="shared" si="0"/>
        <v>3.5950122100122099</v>
      </c>
    </row>
    <row r="20" spans="1:6" x14ac:dyDescent="0.25">
      <c r="B20" s="11" t="s">
        <v>20</v>
      </c>
      <c r="C20" s="11" t="s">
        <v>21</v>
      </c>
      <c r="D20" s="16">
        <v>0</v>
      </c>
      <c r="E20" s="18">
        <v>0</v>
      </c>
      <c r="F20" s="130">
        <f t="shared" si="0"/>
        <v>0</v>
      </c>
    </row>
    <row r="21" spans="1:6" ht="15.75" thickBot="1" x14ac:dyDescent="0.3">
      <c r="B21" s="23" t="s">
        <v>527</v>
      </c>
      <c r="C21" s="23" t="s">
        <v>21</v>
      </c>
      <c r="D21" s="136">
        <f>SUM(F6:F20)</f>
        <v>191.69301856297037</v>
      </c>
      <c r="E21" s="146">
        <f>Main!F55</f>
        <v>0.08</v>
      </c>
      <c r="F21" s="130">
        <f>D21*((E21/365)*182.5)</f>
        <v>7.6677207425188145</v>
      </c>
    </row>
    <row r="22" spans="1:6" ht="15.75" thickBot="1" x14ac:dyDescent="0.3">
      <c r="B22" s="13" t="s">
        <v>533</v>
      </c>
      <c r="C22" s="27"/>
      <c r="D22" s="29"/>
      <c r="E22" s="29"/>
      <c r="F22" s="148">
        <f>SUM(F5:F21)</f>
        <v>234.36073930548918</v>
      </c>
    </row>
    <row r="25" spans="1:6" x14ac:dyDescent="0.25">
      <c r="B25" s="243" t="s">
        <v>612</v>
      </c>
      <c r="C25" s="244"/>
      <c r="D25" s="244"/>
      <c r="E25" s="244"/>
      <c r="F25" s="245"/>
    </row>
    <row r="26" spans="1:6" ht="150" customHeight="1" x14ac:dyDescent="0.25">
      <c r="B26" s="246" t="s">
        <v>622</v>
      </c>
      <c r="C26" s="247"/>
      <c r="D26" s="247"/>
      <c r="E26" s="247"/>
      <c r="F26" s="248"/>
    </row>
  </sheetData>
  <mergeCells count="2">
    <mergeCell ref="B25:F25"/>
    <mergeCell ref="B26:F26"/>
  </mergeCells>
  <hyperlinks>
    <hyperlink ref="A15" location="Equipment_VC!A1" display="Equipment Detail" xr:uid="{00000000-0004-0000-0200-000000000000}"/>
    <hyperlink ref="A19" location="Equipment_VC!A1" display="Equipment Detail" xr:uid="{00000000-0004-0000-0200-000001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heetViews>
  <sheetFormatPr defaultColWidth="9" defaultRowHeight="15" x14ac:dyDescent="0.25"/>
  <cols>
    <col min="1" max="1" width="14.5" style="121" bestFit="1" customWidth="1"/>
    <col min="2" max="2" width="23.625" style="121" bestFit="1" customWidth="1"/>
    <col min="3" max="3" width="6.625" style="121" bestFit="1" customWidth="1"/>
    <col min="4" max="4" width="7.875" style="121" bestFit="1" customWidth="1"/>
    <col min="5" max="5" width="5.875" style="121" bestFit="1" customWidth="1"/>
    <col min="6" max="6" width="7.875" style="121" bestFit="1" customWidth="1"/>
    <col min="7" max="16384" width="9" style="121"/>
  </cols>
  <sheetData>
    <row r="2" spans="1:6" x14ac:dyDescent="0.25">
      <c r="B2" s="151" t="s">
        <v>496</v>
      </c>
    </row>
    <row r="3" spans="1:6" ht="15.75" thickBot="1" x14ac:dyDescent="0.3"/>
    <row r="4" spans="1:6" ht="15.75" thickBot="1" x14ac:dyDescent="0.3">
      <c r="B4" s="13" t="s">
        <v>10</v>
      </c>
      <c r="C4" s="14" t="s">
        <v>11</v>
      </c>
      <c r="D4" s="14" t="s">
        <v>12</v>
      </c>
      <c r="E4" s="14" t="s">
        <v>13</v>
      </c>
      <c r="F4" s="14" t="s">
        <v>15</v>
      </c>
    </row>
    <row r="5" spans="1:6" x14ac:dyDescent="0.25">
      <c r="B5" s="11" t="s">
        <v>588</v>
      </c>
      <c r="C5" s="11" t="s">
        <v>19</v>
      </c>
      <c r="D5" s="121">
        <v>1</v>
      </c>
      <c r="E5" s="137">
        <v>50</v>
      </c>
      <c r="F5" s="130">
        <f>D5*E5</f>
        <v>50</v>
      </c>
    </row>
    <row r="6" spans="1:6" x14ac:dyDescent="0.25">
      <c r="B6" s="11" t="s">
        <v>505</v>
      </c>
      <c r="C6" s="11" t="s">
        <v>17</v>
      </c>
      <c r="D6" s="16">
        <f>1/3</f>
        <v>0.33333333333333331</v>
      </c>
      <c r="E6" s="18">
        <v>44.08</v>
      </c>
      <c r="F6" s="130">
        <f>D6*E6</f>
        <v>14.693333333333332</v>
      </c>
    </row>
    <row r="7" spans="1:6" x14ac:dyDescent="0.25">
      <c r="B7" s="11" t="s">
        <v>506</v>
      </c>
      <c r="C7" s="11"/>
      <c r="D7" s="11"/>
      <c r="E7" s="21"/>
      <c r="F7" s="130"/>
    </row>
    <row r="8" spans="1:6" x14ac:dyDescent="0.25">
      <c r="B8" s="11" t="s">
        <v>507</v>
      </c>
      <c r="C8" s="11" t="s">
        <v>508</v>
      </c>
      <c r="D8" s="16">
        <v>200</v>
      </c>
      <c r="E8" s="18">
        <v>0.69</v>
      </c>
      <c r="F8" s="130">
        <f>D8*E8</f>
        <v>138</v>
      </c>
    </row>
    <row r="9" spans="1:6" x14ac:dyDescent="0.25">
      <c r="B9" s="11" t="s">
        <v>509</v>
      </c>
      <c r="C9" s="11" t="s">
        <v>508</v>
      </c>
      <c r="D9" s="16">
        <v>30</v>
      </c>
      <c r="E9" s="18">
        <v>0.77</v>
      </c>
      <c r="F9" s="130">
        <f t="shared" ref="F9:F20" si="0">D9*E9</f>
        <v>23.1</v>
      </c>
    </row>
    <row r="10" spans="1:6" x14ac:dyDescent="0.25">
      <c r="B10" s="11" t="s">
        <v>510</v>
      </c>
      <c r="C10" s="11" t="s">
        <v>508</v>
      </c>
      <c r="D10" s="16">
        <v>60</v>
      </c>
      <c r="E10" s="18">
        <v>0.4</v>
      </c>
      <c r="F10" s="130">
        <f t="shared" si="0"/>
        <v>24</v>
      </c>
    </row>
    <row r="11" spans="1:6" x14ac:dyDescent="0.25">
      <c r="B11" s="11" t="s">
        <v>511</v>
      </c>
      <c r="C11" s="11" t="s">
        <v>514</v>
      </c>
      <c r="D11" s="16">
        <v>2</v>
      </c>
      <c r="E11" s="18">
        <v>7.5</v>
      </c>
      <c r="F11" s="130">
        <f t="shared" si="0"/>
        <v>15</v>
      </c>
    </row>
    <row r="12" spans="1:6" x14ac:dyDescent="0.25">
      <c r="B12" s="11" t="s">
        <v>512</v>
      </c>
      <c r="C12" s="11"/>
      <c r="D12" s="22"/>
      <c r="E12" s="21"/>
      <c r="F12" s="130"/>
    </row>
    <row r="13" spans="1:6" x14ac:dyDescent="0.25">
      <c r="B13" s="11" t="s">
        <v>515</v>
      </c>
      <c r="C13" s="11" t="s">
        <v>514</v>
      </c>
      <c r="D13" s="16">
        <v>1</v>
      </c>
      <c r="E13" s="18">
        <v>18.940000000000001</v>
      </c>
      <c r="F13" s="130">
        <f t="shared" si="0"/>
        <v>18.940000000000001</v>
      </c>
    </row>
    <row r="14" spans="1:6" x14ac:dyDescent="0.25">
      <c r="B14" s="11" t="s">
        <v>516</v>
      </c>
      <c r="C14" s="11" t="s">
        <v>514</v>
      </c>
      <c r="D14" s="16">
        <v>1</v>
      </c>
      <c r="E14" s="18">
        <v>3.06</v>
      </c>
      <c r="F14" s="130">
        <f t="shared" si="0"/>
        <v>3.06</v>
      </c>
    </row>
    <row r="15" spans="1:6" x14ac:dyDescent="0.25">
      <c r="A15" s="218" t="s">
        <v>634</v>
      </c>
      <c r="B15" s="11" t="s">
        <v>518</v>
      </c>
      <c r="C15" s="11"/>
      <c r="E15" s="21"/>
      <c r="F15" s="130"/>
    </row>
    <row r="16" spans="1:6" x14ac:dyDescent="0.25">
      <c r="B16" s="11" t="s">
        <v>519</v>
      </c>
      <c r="C16" s="11" t="s">
        <v>520</v>
      </c>
      <c r="D16" s="16">
        <f>Equipment_VC!O25</f>
        <v>1.014733714896215</v>
      </c>
      <c r="E16" s="18">
        <v>3</v>
      </c>
      <c r="F16" s="130">
        <f t="shared" si="0"/>
        <v>3.0442011446886452</v>
      </c>
    </row>
    <row r="17" spans="1:6" x14ac:dyDescent="0.25">
      <c r="B17" s="11" t="s">
        <v>521</v>
      </c>
      <c r="C17" s="11" t="s">
        <v>19</v>
      </c>
      <c r="D17" s="22">
        <v>1</v>
      </c>
      <c r="E17" s="18">
        <f>Equipment_VC!R25</f>
        <v>3.3704718749361611</v>
      </c>
      <c r="F17" s="130">
        <f t="shared" si="0"/>
        <v>3.3704718749361611</v>
      </c>
    </row>
    <row r="18" spans="1:6" x14ac:dyDescent="0.25">
      <c r="B18" s="11" t="s">
        <v>524</v>
      </c>
      <c r="C18" s="11" t="s">
        <v>19</v>
      </c>
      <c r="D18" s="22">
        <v>1</v>
      </c>
      <c r="E18" s="18">
        <v>0</v>
      </c>
      <c r="F18" s="130">
        <f t="shared" si="0"/>
        <v>0</v>
      </c>
    </row>
    <row r="19" spans="1:6" x14ac:dyDescent="0.25">
      <c r="A19" s="218" t="s">
        <v>634</v>
      </c>
      <c r="B19" s="11" t="s">
        <v>525</v>
      </c>
      <c r="C19" s="11" t="s">
        <v>526</v>
      </c>
      <c r="D19" s="16">
        <f>Equipment_VC!G25</f>
        <v>0.22357041107041109</v>
      </c>
      <c r="E19" s="18">
        <f>Main!F51</f>
        <v>16.079999999999998</v>
      </c>
      <c r="F19" s="130">
        <f t="shared" si="0"/>
        <v>3.5950122100122099</v>
      </c>
    </row>
    <row r="20" spans="1:6" x14ac:dyDescent="0.25">
      <c r="B20" s="11" t="s">
        <v>20</v>
      </c>
      <c r="C20" s="11" t="s">
        <v>21</v>
      </c>
      <c r="D20" s="16">
        <v>0</v>
      </c>
      <c r="E20" s="18">
        <v>0</v>
      </c>
      <c r="F20" s="130">
        <f t="shared" si="0"/>
        <v>0</v>
      </c>
    </row>
    <row r="21" spans="1:6" ht="15.75" thickBot="1" x14ac:dyDescent="0.3">
      <c r="B21" s="23" t="s">
        <v>527</v>
      </c>
      <c r="C21" s="23" t="s">
        <v>21</v>
      </c>
      <c r="D21" s="136">
        <f>SUM(F6:F20)</f>
        <v>246.80301856297035</v>
      </c>
      <c r="E21" s="146">
        <f>Main!F55</f>
        <v>0.08</v>
      </c>
      <c r="F21" s="130">
        <f>D21*((E21/365)*182.5)</f>
        <v>9.8721207425188151</v>
      </c>
    </row>
    <row r="22" spans="1:6" ht="15.75" thickBot="1" x14ac:dyDescent="0.3">
      <c r="B22" s="13" t="s">
        <v>533</v>
      </c>
      <c r="C22" s="27"/>
      <c r="D22" s="29"/>
      <c r="E22" s="29"/>
      <c r="F22" s="148">
        <f>SUM(F5:F21)</f>
        <v>306.67513930548915</v>
      </c>
    </row>
    <row r="23" spans="1:6" x14ac:dyDescent="0.25">
      <c r="B23" s="32"/>
      <c r="C23" s="11"/>
    </row>
    <row r="25" spans="1:6" x14ac:dyDescent="0.25">
      <c r="B25" s="243" t="s">
        <v>612</v>
      </c>
      <c r="C25" s="244"/>
      <c r="D25" s="244"/>
      <c r="E25" s="244"/>
      <c r="F25" s="245"/>
    </row>
    <row r="26" spans="1:6" ht="150" customHeight="1" x14ac:dyDescent="0.25">
      <c r="B26" s="246" t="s">
        <v>622</v>
      </c>
      <c r="C26" s="247"/>
      <c r="D26" s="247"/>
      <c r="E26" s="247"/>
      <c r="F26" s="248"/>
    </row>
  </sheetData>
  <mergeCells count="2">
    <mergeCell ref="B25:F25"/>
    <mergeCell ref="B26:F26"/>
  </mergeCells>
  <hyperlinks>
    <hyperlink ref="A15" location="Equipment_VC!A1" display="Equipment Detail" xr:uid="{00000000-0004-0000-0300-000000000000}"/>
    <hyperlink ref="A19" location="Equipment_VC!A1" display="Equipment Detail" xr:uid="{00000000-0004-0000-0300-000001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26"/>
  <sheetViews>
    <sheetView workbookViewId="0"/>
  </sheetViews>
  <sheetFormatPr defaultColWidth="9" defaultRowHeight="15" x14ac:dyDescent="0.25"/>
  <cols>
    <col min="1" max="1" width="14.5" style="121" bestFit="1" customWidth="1"/>
    <col min="2" max="2" width="23.625" style="121" bestFit="1" customWidth="1"/>
    <col min="3" max="3" width="6.625" style="121" bestFit="1" customWidth="1"/>
    <col min="4" max="4" width="7.875" style="121" bestFit="1" customWidth="1"/>
    <col min="5" max="5" width="5.875" style="121" bestFit="1" customWidth="1"/>
    <col min="6" max="6" width="7.875" style="121" bestFit="1" customWidth="1"/>
    <col min="7" max="16384" width="9" style="121"/>
  </cols>
  <sheetData>
    <row r="2" spans="1:6" x14ac:dyDescent="0.25">
      <c r="B2" s="151" t="s">
        <v>495</v>
      </c>
    </row>
    <row r="3" spans="1:6" ht="15.75" thickBot="1" x14ac:dyDescent="0.3"/>
    <row r="4" spans="1:6" ht="15.75" thickBot="1" x14ac:dyDescent="0.3">
      <c r="B4" s="13" t="s">
        <v>10</v>
      </c>
      <c r="C4" s="14" t="s">
        <v>11</v>
      </c>
      <c r="D4" s="14" t="s">
        <v>12</v>
      </c>
      <c r="E4" s="14" t="s">
        <v>13</v>
      </c>
      <c r="F4" s="14" t="s">
        <v>15</v>
      </c>
    </row>
    <row r="5" spans="1:6" x14ac:dyDescent="0.25">
      <c r="B5" s="11" t="s">
        <v>588</v>
      </c>
      <c r="C5" s="11" t="s">
        <v>19</v>
      </c>
      <c r="D5" s="121">
        <v>1</v>
      </c>
      <c r="E5" s="137">
        <v>30</v>
      </c>
      <c r="F5" s="130">
        <f>D5*E5</f>
        <v>30</v>
      </c>
    </row>
    <row r="6" spans="1:6" x14ac:dyDescent="0.25">
      <c r="B6" s="11" t="s">
        <v>505</v>
      </c>
      <c r="C6" s="11" t="s">
        <v>17</v>
      </c>
      <c r="D6" s="16">
        <f>1/3</f>
        <v>0.33333333333333331</v>
      </c>
      <c r="E6" s="18">
        <v>44.08</v>
      </c>
      <c r="F6" s="130">
        <f>D6*E6</f>
        <v>14.693333333333332</v>
      </c>
    </row>
    <row r="7" spans="1:6" x14ac:dyDescent="0.25">
      <c r="B7" s="11" t="s">
        <v>506</v>
      </c>
      <c r="C7" s="11"/>
      <c r="D7" s="11"/>
      <c r="E7" s="21"/>
      <c r="F7" s="130"/>
    </row>
    <row r="8" spans="1:6" x14ac:dyDescent="0.25">
      <c r="B8" s="11" t="s">
        <v>507</v>
      </c>
      <c r="C8" s="11" t="s">
        <v>508</v>
      </c>
      <c r="D8" s="16">
        <v>100</v>
      </c>
      <c r="E8" s="18">
        <v>0.69</v>
      </c>
      <c r="F8" s="130">
        <f>D8*E8</f>
        <v>69</v>
      </c>
    </row>
    <row r="9" spans="1:6" x14ac:dyDescent="0.25">
      <c r="B9" s="11" t="s">
        <v>509</v>
      </c>
      <c r="C9" s="11" t="s">
        <v>508</v>
      </c>
      <c r="D9" s="16">
        <v>40</v>
      </c>
      <c r="E9" s="18">
        <v>0.77</v>
      </c>
      <c r="F9" s="130">
        <f t="shared" ref="F9:F20" si="0">D9*E9</f>
        <v>30.8</v>
      </c>
    </row>
    <row r="10" spans="1:6" x14ac:dyDescent="0.25">
      <c r="B10" s="11" t="s">
        <v>510</v>
      </c>
      <c r="C10" s="11" t="s">
        <v>508</v>
      </c>
      <c r="D10" s="16">
        <v>40</v>
      </c>
      <c r="E10" s="18">
        <v>0.4</v>
      </c>
      <c r="F10" s="130">
        <f t="shared" si="0"/>
        <v>16</v>
      </c>
    </row>
    <row r="11" spans="1:6" x14ac:dyDescent="0.25">
      <c r="B11" s="11" t="s">
        <v>511</v>
      </c>
      <c r="C11" s="11" t="s">
        <v>514</v>
      </c>
      <c r="D11" s="16">
        <v>2</v>
      </c>
      <c r="E11" s="18">
        <v>7.5</v>
      </c>
      <c r="F11" s="130">
        <f t="shared" si="0"/>
        <v>15</v>
      </c>
    </row>
    <row r="12" spans="1:6" x14ac:dyDescent="0.25">
      <c r="B12" s="11" t="s">
        <v>512</v>
      </c>
      <c r="C12" s="11"/>
      <c r="D12" s="22"/>
      <c r="E12" s="21"/>
      <c r="F12" s="130"/>
    </row>
    <row r="13" spans="1:6" x14ac:dyDescent="0.25">
      <c r="B13" s="11" t="s">
        <v>515</v>
      </c>
      <c r="C13" s="11" t="s">
        <v>514</v>
      </c>
      <c r="D13" s="16">
        <v>1</v>
      </c>
      <c r="E13" s="18">
        <v>18.940000000000001</v>
      </c>
      <c r="F13" s="130">
        <f t="shared" si="0"/>
        <v>18.940000000000001</v>
      </c>
    </row>
    <row r="14" spans="1:6" x14ac:dyDescent="0.25">
      <c r="B14" s="11" t="s">
        <v>516</v>
      </c>
      <c r="C14" s="11" t="s">
        <v>514</v>
      </c>
      <c r="D14" s="16">
        <v>1</v>
      </c>
      <c r="E14" s="18">
        <v>3.06</v>
      </c>
      <c r="F14" s="130">
        <f t="shared" si="0"/>
        <v>3.06</v>
      </c>
    </row>
    <row r="15" spans="1:6" x14ac:dyDescent="0.25">
      <c r="A15" s="218" t="s">
        <v>634</v>
      </c>
      <c r="B15" s="11" t="s">
        <v>518</v>
      </c>
      <c r="C15" s="11"/>
      <c r="E15" s="21"/>
      <c r="F15" s="130"/>
    </row>
    <row r="16" spans="1:6" x14ac:dyDescent="0.25">
      <c r="B16" s="11" t="s">
        <v>519</v>
      </c>
      <c r="C16" s="11" t="s">
        <v>520</v>
      </c>
      <c r="D16" s="16">
        <f>Equipment_VC!O37</f>
        <v>1.014733714896215</v>
      </c>
      <c r="E16" s="18">
        <v>3</v>
      </c>
      <c r="F16" s="130">
        <f t="shared" si="0"/>
        <v>3.0442011446886452</v>
      </c>
    </row>
    <row r="17" spans="1:6" x14ac:dyDescent="0.25">
      <c r="B17" s="11" t="s">
        <v>521</v>
      </c>
      <c r="C17" s="11" t="s">
        <v>19</v>
      </c>
      <c r="D17" s="22">
        <v>1</v>
      </c>
      <c r="E17" s="18">
        <f>Equipment_VC!R37</f>
        <v>3.3704718749361611</v>
      </c>
      <c r="F17" s="130">
        <f t="shared" si="0"/>
        <v>3.3704718749361611</v>
      </c>
    </row>
    <row r="18" spans="1:6" x14ac:dyDescent="0.25">
      <c r="B18" s="11" t="s">
        <v>524</v>
      </c>
      <c r="C18" s="11" t="s">
        <v>19</v>
      </c>
      <c r="D18" s="22">
        <v>1</v>
      </c>
      <c r="E18" s="18">
        <v>0</v>
      </c>
      <c r="F18" s="130">
        <f t="shared" si="0"/>
        <v>0</v>
      </c>
    </row>
    <row r="19" spans="1:6" x14ac:dyDescent="0.25">
      <c r="A19" s="218" t="s">
        <v>634</v>
      </c>
      <c r="B19" s="11" t="s">
        <v>525</v>
      </c>
      <c r="C19" s="11" t="s">
        <v>526</v>
      </c>
      <c r="D19" s="16">
        <f>Equipment_VC!G37</f>
        <v>0.22357041107041109</v>
      </c>
      <c r="E19" s="18">
        <f>Main!F51</f>
        <v>16.079999999999998</v>
      </c>
      <c r="F19" s="130">
        <f t="shared" si="0"/>
        <v>3.5950122100122099</v>
      </c>
    </row>
    <row r="20" spans="1:6" x14ac:dyDescent="0.25">
      <c r="B20" s="11" t="s">
        <v>20</v>
      </c>
      <c r="C20" s="11" t="s">
        <v>21</v>
      </c>
      <c r="D20" s="16">
        <v>0</v>
      </c>
      <c r="E20" s="18">
        <v>0</v>
      </c>
      <c r="F20" s="130">
        <f t="shared" si="0"/>
        <v>0</v>
      </c>
    </row>
    <row r="21" spans="1:6" ht="15.75" thickBot="1" x14ac:dyDescent="0.3">
      <c r="B21" s="23" t="s">
        <v>527</v>
      </c>
      <c r="C21" s="23" t="s">
        <v>21</v>
      </c>
      <c r="D21" s="136">
        <f>SUM(F6:F20)</f>
        <v>177.50301856297037</v>
      </c>
      <c r="E21" s="146">
        <f>Main!F55</f>
        <v>0.08</v>
      </c>
      <c r="F21" s="130">
        <f>D21*((E21/365)*182.5)</f>
        <v>7.1001207425188149</v>
      </c>
    </row>
    <row r="22" spans="1:6" ht="15.75" thickBot="1" x14ac:dyDescent="0.3">
      <c r="B22" s="13" t="s">
        <v>533</v>
      </c>
      <c r="C22" s="27"/>
      <c r="D22" s="29"/>
      <c r="E22" s="29"/>
      <c r="F22" s="148">
        <f>SUM(F5:F21)</f>
        <v>214.60313930548918</v>
      </c>
    </row>
    <row r="23" spans="1:6" x14ac:dyDescent="0.25">
      <c r="B23" s="32"/>
      <c r="C23" s="11"/>
    </row>
    <row r="25" spans="1:6" x14ac:dyDescent="0.25">
      <c r="B25" s="243" t="s">
        <v>612</v>
      </c>
      <c r="C25" s="244"/>
      <c r="D25" s="244"/>
      <c r="E25" s="244"/>
      <c r="F25" s="245"/>
    </row>
    <row r="26" spans="1:6" ht="150" customHeight="1" x14ac:dyDescent="0.25">
      <c r="B26" s="246" t="s">
        <v>622</v>
      </c>
      <c r="C26" s="247"/>
      <c r="D26" s="247"/>
      <c r="E26" s="247"/>
      <c r="F26" s="248"/>
    </row>
  </sheetData>
  <mergeCells count="2">
    <mergeCell ref="B25:F25"/>
    <mergeCell ref="B26:F26"/>
  </mergeCells>
  <hyperlinks>
    <hyperlink ref="A15" location="Equipment_VC!A1" display="Equipment Detail" xr:uid="{00000000-0004-0000-0400-000000000000}"/>
    <hyperlink ref="A19" location="Equipment_VC!A1" display="Equipment Detail" xr:uid="{00000000-0004-0000-0400-000001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33"/>
  <sheetViews>
    <sheetView workbookViewId="0"/>
  </sheetViews>
  <sheetFormatPr defaultColWidth="9" defaultRowHeight="15" x14ac:dyDescent="0.25"/>
  <cols>
    <col min="1" max="1" width="14.5" style="121" bestFit="1" customWidth="1"/>
    <col min="2" max="2" width="23.625" style="121" bestFit="1" customWidth="1"/>
    <col min="3" max="3" width="6.625" style="121" bestFit="1" customWidth="1"/>
    <col min="4" max="4" width="7.875" style="121" bestFit="1" customWidth="1"/>
    <col min="5" max="5" width="5.875" style="121" bestFit="1" customWidth="1"/>
    <col min="6" max="6" width="7.875" style="121" bestFit="1" customWidth="1"/>
    <col min="7" max="16384" width="9" style="121"/>
  </cols>
  <sheetData>
    <row r="2" spans="2:6" x14ac:dyDescent="0.25">
      <c r="B2" s="151" t="s">
        <v>494</v>
      </c>
    </row>
    <row r="3" spans="2:6" ht="15.75" thickBot="1" x14ac:dyDescent="0.3"/>
    <row r="4" spans="2:6" ht="15.75" thickBot="1" x14ac:dyDescent="0.3">
      <c r="B4" s="13" t="s">
        <v>10</v>
      </c>
      <c r="C4" s="14" t="s">
        <v>11</v>
      </c>
      <c r="D4" s="14" t="s">
        <v>12</v>
      </c>
      <c r="E4" s="14" t="s">
        <v>13</v>
      </c>
      <c r="F4" s="14" t="s">
        <v>15</v>
      </c>
    </row>
    <row r="5" spans="2:6" x14ac:dyDescent="0.25">
      <c r="B5" s="11" t="s">
        <v>534</v>
      </c>
      <c r="C5" s="143"/>
      <c r="D5" s="143"/>
      <c r="E5" s="143"/>
      <c r="F5" s="143"/>
    </row>
    <row r="6" spans="2:6" x14ac:dyDescent="0.25">
      <c r="B6" s="11" t="s">
        <v>540</v>
      </c>
      <c r="C6" s="121" t="s">
        <v>508</v>
      </c>
      <c r="D6" s="16">
        <v>0</v>
      </c>
      <c r="E6" s="18">
        <v>0.32</v>
      </c>
      <c r="F6" s="130">
        <f t="shared" ref="F6:F12" si="0">D6*E6</f>
        <v>0</v>
      </c>
    </row>
    <row r="7" spans="2:6" x14ac:dyDescent="0.25">
      <c r="B7" s="11" t="s">
        <v>539</v>
      </c>
      <c r="C7" s="121" t="s">
        <v>508</v>
      </c>
      <c r="D7" s="16">
        <v>0</v>
      </c>
      <c r="E7" s="18">
        <v>0.51</v>
      </c>
      <c r="F7" s="130">
        <f t="shared" si="0"/>
        <v>0</v>
      </c>
    </row>
    <row r="8" spans="2:6" x14ac:dyDescent="0.25">
      <c r="B8" s="11" t="s">
        <v>538</v>
      </c>
      <c r="C8" s="121" t="s">
        <v>508</v>
      </c>
      <c r="D8" s="16">
        <v>35</v>
      </c>
      <c r="E8" s="18">
        <v>0.92</v>
      </c>
      <c r="F8" s="130">
        <f t="shared" si="0"/>
        <v>32.200000000000003</v>
      </c>
    </row>
    <row r="9" spans="2:6" x14ac:dyDescent="0.25">
      <c r="B9" s="11" t="s">
        <v>537</v>
      </c>
      <c r="C9" s="121" t="s">
        <v>508</v>
      </c>
      <c r="D9" s="16">
        <v>0</v>
      </c>
      <c r="E9" s="18">
        <v>2.35</v>
      </c>
      <c r="F9" s="130">
        <f t="shared" si="0"/>
        <v>0</v>
      </c>
    </row>
    <row r="10" spans="2:6" x14ac:dyDescent="0.25">
      <c r="B10" s="11" t="s">
        <v>536</v>
      </c>
      <c r="C10" s="121" t="s">
        <v>508</v>
      </c>
      <c r="D10" s="16">
        <v>0</v>
      </c>
      <c r="E10" s="18">
        <v>0.56999999999999995</v>
      </c>
      <c r="F10" s="130">
        <f t="shared" si="0"/>
        <v>0</v>
      </c>
    </row>
    <row r="11" spans="2:6" x14ac:dyDescent="0.25">
      <c r="B11" s="11" t="s">
        <v>535</v>
      </c>
      <c r="C11" s="121" t="s">
        <v>508</v>
      </c>
      <c r="D11" s="16">
        <v>0</v>
      </c>
      <c r="E11" s="18">
        <v>0.6</v>
      </c>
      <c r="F11" s="130">
        <f t="shared" si="0"/>
        <v>0</v>
      </c>
    </row>
    <row r="12" spans="2:6" x14ac:dyDescent="0.25">
      <c r="B12" s="11" t="s">
        <v>544</v>
      </c>
      <c r="C12" s="121" t="s">
        <v>514</v>
      </c>
      <c r="D12" s="16">
        <v>1</v>
      </c>
      <c r="E12" s="18">
        <v>6.38</v>
      </c>
      <c r="F12" s="130">
        <f t="shared" si="0"/>
        <v>6.38</v>
      </c>
    </row>
    <row r="13" spans="2:6" x14ac:dyDescent="0.25">
      <c r="B13" s="11" t="s">
        <v>505</v>
      </c>
      <c r="C13" s="11" t="s">
        <v>17</v>
      </c>
      <c r="D13" s="16">
        <f>1/3</f>
        <v>0.33333333333333331</v>
      </c>
      <c r="E13" s="18">
        <v>44.08</v>
      </c>
      <c r="F13" s="130">
        <f>D13*E13</f>
        <v>14.693333333333332</v>
      </c>
    </row>
    <row r="14" spans="2:6" x14ac:dyDescent="0.25">
      <c r="B14" s="11" t="s">
        <v>506</v>
      </c>
      <c r="C14" s="11"/>
      <c r="D14" s="11"/>
      <c r="E14" s="21"/>
      <c r="F14" s="130"/>
    </row>
    <row r="15" spans="2:6" x14ac:dyDescent="0.25">
      <c r="B15" s="11" t="s">
        <v>507</v>
      </c>
      <c r="C15" s="11" t="s">
        <v>508</v>
      </c>
      <c r="D15" s="16">
        <v>100</v>
      </c>
      <c r="E15" s="18">
        <v>0.69</v>
      </c>
      <c r="F15" s="130">
        <f>D15*E15</f>
        <v>69</v>
      </c>
    </row>
    <row r="16" spans="2:6" x14ac:dyDescent="0.25">
      <c r="B16" s="11" t="s">
        <v>509</v>
      </c>
      <c r="C16" s="11" t="s">
        <v>508</v>
      </c>
      <c r="D16" s="16">
        <v>50</v>
      </c>
      <c r="E16" s="18">
        <v>0.77</v>
      </c>
      <c r="F16" s="130">
        <f t="shared" ref="F16:F27" si="1">D16*E16</f>
        <v>38.5</v>
      </c>
    </row>
    <row r="17" spans="1:6" x14ac:dyDescent="0.25">
      <c r="B17" s="11" t="s">
        <v>510</v>
      </c>
      <c r="C17" s="11" t="s">
        <v>508</v>
      </c>
      <c r="D17" s="16">
        <v>50</v>
      </c>
      <c r="E17" s="18">
        <v>0.4</v>
      </c>
      <c r="F17" s="130">
        <f t="shared" si="1"/>
        <v>20</v>
      </c>
    </row>
    <row r="18" spans="1:6" x14ac:dyDescent="0.25">
      <c r="B18" s="11" t="s">
        <v>511</v>
      </c>
      <c r="C18" s="11" t="s">
        <v>514</v>
      </c>
      <c r="D18" s="16">
        <v>2</v>
      </c>
      <c r="E18" s="18">
        <v>7.5</v>
      </c>
      <c r="F18" s="130">
        <f t="shared" si="1"/>
        <v>15</v>
      </c>
    </row>
    <row r="19" spans="1:6" x14ac:dyDescent="0.25">
      <c r="B19" s="11" t="s">
        <v>512</v>
      </c>
      <c r="C19" s="11"/>
      <c r="D19" s="22"/>
      <c r="E19" s="21"/>
      <c r="F19" s="130"/>
    </row>
    <row r="20" spans="1:6" x14ac:dyDescent="0.25">
      <c r="B20" s="11" t="s">
        <v>515</v>
      </c>
      <c r="C20" s="11" t="s">
        <v>514</v>
      </c>
      <c r="D20" s="16">
        <v>1</v>
      </c>
      <c r="E20" s="18">
        <v>2.27</v>
      </c>
      <c r="F20" s="130">
        <f t="shared" si="1"/>
        <v>2.27</v>
      </c>
    </row>
    <row r="21" spans="1:6" x14ac:dyDescent="0.25">
      <c r="B21" s="11" t="s">
        <v>516</v>
      </c>
      <c r="C21" s="11" t="s">
        <v>514</v>
      </c>
      <c r="D21" s="16">
        <v>1</v>
      </c>
      <c r="E21" s="18">
        <v>3.06</v>
      </c>
      <c r="F21" s="130">
        <f t="shared" si="1"/>
        <v>3.06</v>
      </c>
    </row>
    <row r="22" spans="1:6" x14ac:dyDescent="0.25">
      <c r="A22" s="218" t="s">
        <v>634</v>
      </c>
      <c r="B22" s="11" t="s">
        <v>518</v>
      </c>
      <c r="C22" s="11"/>
      <c r="E22" s="21"/>
      <c r="F22" s="130"/>
    </row>
    <row r="23" spans="1:6" x14ac:dyDescent="0.25">
      <c r="B23" s="11" t="s">
        <v>519</v>
      </c>
      <c r="C23" s="11" t="s">
        <v>520</v>
      </c>
      <c r="D23" s="16">
        <f>Equipment_VC!O49</f>
        <v>2.4246724972040106</v>
      </c>
      <c r="E23" s="18">
        <v>3</v>
      </c>
      <c r="F23" s="130">
        <f t="shared" si="1"/>
        <v>7.2740174916120317</v>
      </c>
    </row>
    <row r="24" spans="1:6" x14ac:dyDescent="0.25">
      <c r="B24" s="11" t="s">
        <v>521</v>
      </c>
      <c r="C24" s="11" t="s">
        <v>19</v>
      </c>
      <c r="D24" s="22">
        <v>1</v>
      </c>
      <c r="E24" s="18">
        <f>Equipment_VC!R49</f>
        <v>6.9261392453806927</v>
      </c>
      <c r="F24" s="130">
        <f t="shared" si="1"/>
        <v>6.9261392453806927</v>
      </c>
    </row>
    <row r="25" spans="1:6" x14ac:dyDescent="0.25">
      <c r="B25" s="11" t="s">
        <v>524</v>
      </c>
      <c r="C25" s="11" t="s">
        <v>19</v>
      </c>
      <c r="D25" s="22">
        <v>1</v>
      </c>
      <c r="E25" s="18">
        <v>0</v>
      </c>
      <c r="F25" s="130">
        <f t="shared" si="1"/>
        <v>0</v>
      </c>
    </row>
    <row r="26" spans="1:6" x14ac:dyDescent="0.25">
      <c r="A26" s="218" t="s">
        <v>634</v>
      </c>
      <c r="B26" s="11" t="s">
        <v>525</v>
      </c>
      <c r="C26" s="11" t="s">
        <v>526</v>
      </c>
      <c r="D26" s="16">
        <f>Equipment_VC!G49</f>
        <v>0.46653960729590987</v>
      </c>
      <c r="E26" s="18">
        <f>Main!F51</f>
        <v>16.079999999999998</v>
      </c>
      <c r="F26" s="130">
        <f t="shared" si="1"/>
        <v>7.5019568853182301</v>
      </c>
    </row>
    <row r="27" spans="1:6" x14ac:dyDescent="0.25">
      <c r="B27" s="11" t="s">
        <v>20</v>
      </c>
      <c r="C27" s="11" t="s">
        <v>21</v>
      </c>
      <c r="D27" s="16">
        <v>0</v>
      </c>
      <c r="E27" s="18">
        <v>0</v>
      </c>
      <c r="F27" s="130">
        <f t="shared" si="1"/>
        <v>0</v>
      </c>
    </row>
    <row r="28" spans="1:6" ht="15.75" thickBot="1" x14ac:dyDescent="0.3">
      <c r="B28" s="23" t="s">
        <v>527</v>
      </c>
      <c r="C28" s="23" t="s">
        <v>21</v>
      </c>
      <c r="D28" s="136">
        <f>SUM(F13:F27)</f>
        <v>184.22544695564429</v>
      </c>
      <c r="E28" s="146">
        <f>Main!F55</f>
        <v>0.08</v>
      </c>
      <c r="F28" s="130">
        <f>D28*((E28/365)*182.5)</f>
        <v>7.3690178782257716</v>
      </c>
    </row>
    <row r="29" spans="1:6" ht="15.75" thickBot="1" x14ac:dyDescent="0.3">
      <c r="B29" s="13" t="s">
        <v>533</v>
      </c>
      <c r="C29" s="27"/>
      <c r="D29" s="29"/>
      <c r="E29" s="29"/>
      <c r="F29" s="148">
        <f>SUM(F13:F28)</f>
        <v>191.59446483387006</v>
      </c>
    </row>
    <row r="30" spans="1:6" x14ac:dyDescent="0.25">
      <c r="B30" s="32"/>
      <c r="C30" s="11"/>
    </row>
    <row r="32" spans="1:6" x14ac:dyDescent="0.25">
      <c r="B32" s="243" t="s">
        <v>612</v>
      </c>
      <c r="C32" s="244"/>
      <c r="D32" s="244"/>
      <c r="E32" s="244"/>
      <c r="F32" s="245"/>
    </row>
    <row r="33" spans="2:6" ht="135" customHeight="1" x14ac:dyDescent="0.25">
      <c r="B33" s="246" t="s">
        <v>640</v>
      </c>
      <c r="C33" s="247"/>
      <c r="D33" s="247"/>
      <c r="E33" s="247"/>
      <c r="F33" s="248"/>
    </row>
  </sheetData>
  <mergeCells count="2">
    <mergeCell ref="B32:F32"/>
    <mergeCell ref="B33:F33"/>
  </mergeCells>
  <hyperlinks>
    <hyperlink ref="A22" location="Equipment_VC!A1" display="Equipment Detail" xr:uid="{00000000-0004-0000-0500-000000000000}"/>
    <hyperlink ref="A26" location="Equipment_VC!A1" display="Equipment Detail" xr:uid="{00000000-0004-0000-0500-000001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30"/>
  <sheetViews>
    <sheetView workbookViewId="0"/>
  </sheetViews>
  <sheetFormatPr defaultColWidth="9" defaultRowHeight="15" x14ac:dyDescent="0.25"/>
  <cols>
    <col min="1" max="1" width="14.5" style="121" bestFit="1" customWidth="1"/>
    <col min="2" max="2" width="23.625" style="121" bestFit="1" customWidth="1"/>
    <col min="3" max="3" width="6.625" style="121" bestFit="1" customWidth="1"/>
    <col min="4" max="4" width="7.875" style="121" bestFit="1" customWidth="1"/>
    <col min="5" max="5" width="5.875" style="121" bestFit="1" customWidth="1"/>
    <col min="6" max="6" width="7.875" style="121" bestFit="1" customWidth="1"/>
    <col min="7" max="16384" width="9" style="121"/>
  </cols>
  <sheetData>
    <row r="2" spans="2:6" x14ac:dyDescent="0.25">
      <c r="B2" s="151" t="s">
        <v>493</v>
      </c>
    </row>
    <row r="3" spans="2:6" ht="15.75" thickBot="1" x14ac:dyDescent="0.3"/>
    <row r="4" spans="2:6" ht="15.75" thickBot="1" x14ac:dyDescent="0.3">
      <c r="B4" s="13" t="s">
        <v>10</v>
      </c>
      <c r="C4" s="14" t="s">
        <v>11</v>
      </c>
      <c r="D4" s="14" t="s">
        <v>12</v>
      </c>
      <c r="E4" s="14" t="s">
        <v>13</v>
      </c>
      <c r="F4" s="14" t="s">
        <v>15</v>
      </c>
    </row>
    <row r="5" spans="2:6" x14ac:dyDescent="0.25">
      <c r="B5" s="11" t="s">
        <v>534</v>
      </c>
      <c r="C5" s="143"/>
      <c r="D5" s="143"/>
      <c r="E5" s="143"/>
      <c r="F5" s="143"/>
    </row>
    <row r="6" spans="2:6" x14ac:dyDescent="0.25">
      <c r="B6" s="11" t="s">
        <v>545</v>
      </c>
      <c r="C6" s="121" t="s">
        <v>508</v>
      </c>
      <c r="D6" s="16">
        <v>0</v>
      </c>
      <c r="E6" s="18">
        <v>3.03</v>
      </c>
      <c r="F6" s="130">
        <f t="shared" ref="F6:F9" si="0">D6*E6</f>
        <v>0</v>
      </c>
    </row>
    <row r="7" spans="2:6" x14ac:dyDescent="0.25">
      <c r="B7" s="11" t="s">
        <v>546</v>
      </c>
      <c r="C7" s="121" t="s">
        <v>508</v>
      </c>
      <c r="D7" s="16">
        <v>20</v>
      </c>
      <c r="E7" s="18">
        <v>1.38</v>
      </c>
      <c r="F7" s="130">
        <f t="shared" si="0"/>
        <v>27.599999999999998</v>
      </c>
    </row>
    <row r="8" spans="2:6" x14ac:dyDescent="0.25">
      <c r="B8" s="11" t="s">
        <v>547</v>
      </c>
      <c r="C8" s="121" t="s">
        <v>508</v>
      </c>
      <c r="D8" s="16">
        <v>0</v>
      </c>
      <c r="E8" s="18">
        <v>1.99</v>
      </c>
      <c r="F8" s="130">
        <f t="shared" si="0"/>
        <v>0</v>
      </c>
    </row>
    <row r="9" spans="2:6" x14ac:dyDescent="0.25">
      <c r="B9" s="11" t="s">
        <v>548</v>
      </c>
      <c r="C9" s="121" t="s">
        <v>508</v>
      </c>
      <c r="D9" s="16">
        <v>0</v>
      </c>
      <c r="E9" s="18">
        <v>6.35</v>
      </c>
      <c r="F9" s="130">
        <f t="shared" si="0"/>
        <v>0</v>
      </c>
    </row>
    <row r="10" spans="2:6" x14ac:dyDescent="0.25">
      <c r="B10" s="11" t="s">
        <v>505</v>
      </c>
      <c r="C10" s="11" t="s">
        <v>17</v>
      </c>
      <c r="D10" s="16">
        <f>1/3</f>
        <v>0.33333333333333331</v>
      </c>
      <c r="E10" s="18">
        <v>44.08</v>
      </c>
      <c r="F10" s="130">
        <f>D10*E10</f>
        <v>14.693333333333332</v>
      </c>
    </row>
    <row r="11" spans="2:6" x14ac:dyDescent="0.25">
      <c r="B11" s="11" t="s">
        <v>506</v>
      </c>
      <c r="C11" s="11"/>
      <c r="D11" s="11"/>
      <c r="E11" s="21"/>
      <c r="F11" s="130"/>
    </row>
    <row r="12" spans="2:6" x14ac:dyDescent="0.25">
      <c r="B12" s="11" t="s">
        <v>507</v>
      </c>
      <c r="C12" s="11" t="s">
        <v>508</v>
      </c>
      <c r="D12" s="16">
        <v>100</v>
      </c>
      <c r="E12" s="18">
        <v>0.69</v>
      </c>
      <c r="F12" s="130">
        <f>D12*E12</f>
        <v>69</v>
      </c>
    </row>
    <row r="13" spans="2:6" x14ac:dyDescent="0.25">
      <c r="B13" s="11" t="s">
        <v>509</v>
      </c>
      <c r="C13" s="11" t="s">
        <v>508</v>
      </c>
      <c r="D13" s="16">
        <v>50</v>
      </c>
      <c r="E13" s="18">
        <v>0.77</v>
      </c>
      <c r="F13" s="130">
        <f t="shared" ref="F13:F24" si="1">D13*E13</f>
        <v>38.5</v>
      </c>
    </row>
    <row r="14" spans="2:6" x14ac:dyDescent="0.25">
      <c r="B14" s="11" t="s">
        <v>510</v>
      </c>
      <c r="C14" s="11" t="s">
        <v>508</v>
      </c>
      <c r="D14" s="16">
        <v>50</v>
      </c>
      <c r="E14" s="18">
        <v>0.4</v>
      </c>
      <c r="F14" s="130">
        <f t="shared" si="1"/>
        <v>20</v>
      </c>
    </row>
    <row r="15" spans="2:6" x14ac:dyDescent="0.25">
      <c r="B15" s="11" t="s">
        <v>511</v>
      </c>
      <c r="C15" s="11" t="s">
        <v>514</v>
      </c>
      <c r="D15" s="16">
        <v>2</v>
      </c>
      <c r="E15" s="18">
        <v>7.5</v>
      </c>
      <c r="F15" s="130">
        <f t="shared" si="1"/>
        <v>15</v>
      </c>
    </row>
    <row r="16" spans="2:6" x14ac:dyDescent="0.25">
      <c r="B16" s="11" t="s">
        <v>512</v>
      </c>
      <c r="C16" s="11"/>
      <c r="D16" s="22"/>
      <c r="E16" s="21"/>
      <c r="F16" s="130"/>
    </row>
    <row r="17" spans="1:6" x14ac:dyDescent="0.25">
      <c r="B17" s="11" t="s">
        <v>515</v>
      </c>
      <c r="C17" s="11" t="s">
        <v>514</v>
      </c>
      <c r="D17" s="16">
        <v>1</v>
      </c>
      <c r="E17" s="18">
        <v>2.27</v>
      </c>
      <c r="F17" s="130">
        <f t="shared" si="1"/>
        <v>2.27</v>
      </c>
    </row>
    <row r="18" spans="1:6" x14ac:dyDescent="0.25">
      <c r="B18" s="11" t="s">
        <v>516</v>
      </c>
      <c r="C18" s="11" t="s">
        <v>514</v>
      </c>
      <c r="D18" s="16">
        <v>1</v>
      </c>
      <c r="E18" s="18">
        <v>3.06</v>
      </c>
      <c r="F18" s="130">
        <f t="shared" si="1"/>
        <v>3.06</v>
      </c>
    </row>
    <row r="19" spans="1:6" x14ac:dyDescent="0.25">
      <c r="A19" s="218" t="s">
        <v>634</v>
      </c>
      <c r="B19" s="11" t="s">
        <v>518</v>
      </c>
      <c r="C19" s="11"/>
      <c r="E19" s="21"/>
      <c r="F19" s="130"/>
    </row>
    <row r="20" spans="1:6" x14ac:dyDescent="0.25">
      <c r="B20" s="11" t="s">
        <v>519</v>
      </c>
      <c r="C20" s="11" t="s">
        <v>520</v>
      </c>
      <c r="D20" s="16">
        <f>Equipment_VC!O61</f>
        <v>2.4246724972040106</v>
      </c>
      <c r="E20" s="18">
        <v>3</v>
      </c>
      <c r="F20" s="130">
        <f t="shared" si="1"/>
        <v>7.2740174916120317</v>
      </c>
    </row>
    <row r="21" spans="1:6" x14ac:dyDescent="0.25">
      <c r="B21" s="11" t="s">
        <v>521</v>
      </c>
      <c r="C21" s="11" t="s">
        <v>19</v>
      </c>
      <c r="D21" s="22">
        <v>1</v>
      </c>
      <c r="E21" s="18">
        <f>Equipment_VC!R61</f>
        <v>6.9261392453806927</v>
      </c>
      <c r="F21" s="130">
        <f t="shared" si="1"/>
        <v>6.9261392453806927</v>
      </c>
    </row>
    <row r="22" spans="1:6" x14ac:dyDescent="0.25">
      <c r="B22" s="11" t="s">
        <v>524</v>
      </c>
      <c r="C22" s="11" t="s">
        <v>19</v>
      </c>
      <c r="D22" s="22">
        <v>1</v>
      </c>
      <c r="E22" s="18">
        <v>0</v>
      </c>
      <c r="F22" s="130">
        <f t="shared" si="1"/>
        <v>0</v>
      </c>
    </row>
    <row r="23" spans="1:6" x14ac:dyDescent="0.25">
      <c r="A23" s="218" t="s">
        <v>634</v>
      </c>
      <c r="B23" s="11" t="s">
        <v>525</v>
      </c>
      <c r="C23" s="11" t="s">
        <v>526</v>
      </c>
      <c r="D23" s="16">
        <f>Equipment_VC!G61</f>
        <v>0.46653960729590987</v>
      </c>
      <c r="E23" s="18">
        <f>Main!F51</f>
        <v>16.079999999999998</v>
      </c>
      <c r="F23" s="130">
        <f t="shared" si="1"/>
        <v>7.5019568853182301</v>
      </c>
    </row>
    <row r="24" spans="1:6" x14ac:dyDescent="0.25">
      <c r="B24" s="11" t="s">
        <v>20</v>
      </c>
      <c r="C24" s="11" t="s">
        <v>21</v>
      </c>
      <c r="D24" s="16">
        <v>0</v>
      </c>
      <c r="E24" s="18">
        <v>0</v>
      </c>
      <c r="F24" s="130">
        <f t="shared" si="1"/>
        <v>0</v>
      </c>
    </row>
    <row r="25" spans="1:6" ht="15.75" thickBot="1" x14ac:dyDescent="0.3">
      <c r="B25" s="23" t="s">
        <v>527</v>
      </c>
      <c r="C25" s="23" t="s">
        <v>21</v>
      </c>
      <c r="D25" s="136">
        <f>SUM(F10:F24)</f>
        <v>184.22544695564429</v>
      </c>
      <c r="E25" s="146">
        <f>Main!F55</f>
        <v>0.08</v>
      </c>
      <c r="F25" s="130">
        <f>D25*((E25/365)*182.5)</f>
        <v>7.3690178782257716</v>
      </c>
    </row>
    <row r="26" spans="1:6" ht="15.75" thickBot="1" x14ac:dyDescent="0.3">
      <c r="B26" s="13" t="s">
        <v>533</v>
      </c>
      <c r="C26" s="27"/>
      <c r="D26" s="29"/>
      <c r="E26" s="29"/>
      <c r="F26" s="148">
        <f>SUM(F10:F25)</f>
        <v>191.59446483387006</v>
      </c>
    </row>
    <row r="27" spans="1:6" x14ac:dyDescent="0.25">
      <c r="B27" s="32"/>
      <c r="C27" s="11"/>
    </row>
    <row r="29" spans="1:6" x14ac:dyDescent="0.25">
      <c r="B29" s="243" t="s">
        <v>612</v>
      </c>
      <c r="C29" s="244"/>
      <c r="D29" s="244"/>
      <c r="E29" s="244"/>
      <c r="F29" s="245"/>
    </row>
    <row r="30" spans="1:6" ht="135" customHeight="1" x14ac:dyDescent="0.25">
      <c r="B30" s="246" t="s">
        <v>623</v>
      </c>
      <c r="C30" s="247"/>
      <c r="D30" s="247"/>
      <c r="E30" s="247"/>
      <c r="F30" s="248"/>
    </row>
  </sheetData>
  <mergeCells count="2">
    <mergeCell ref="B29:F29"/>
    <mergeCell ref="B30:F30"/>
  </mergeCells>
  <hyperlinks>
    <hyperlink ref="A19" location="Equipment_VC!A1" display="Equipment Detail" xr:uid="{00000000-0004-0000-0600-000000000000}"/>
    <hyperlink ref="A23" location="Equipment_VC!A1" display="Equipment Detail" xr:uid="{00000000-0004-0000-0600-000001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40"/>
  <sheetViews>
    <sheetView workbookViewId="0"/>
  </sheetViews>
  <sheetFormatPr defaultColWidth="9" defaultRowHeight="15" x14ac:dyDescent="0.25"/>
  <cols>
    <col min="1" max="1" width="14.5" style="121" bestFit="1" customWidth="1"/>
    <col min="2" max="2" width="27.125" style="121" customWidth="1"/>
    <col min="3" max="3" width="6.625" style="121" bestFit="1" customWidth="1"/>
    <col min="4" max="4" width="7.875" style="121" bestFit="1" customWidth="1"/>
    <col min="5" max="5" width="5.875" style="121" bestFit="1" customWidth="1"/>
    <col min="6" max="6" width="7.875" style="121" bestFit="1" customWidth="1"/>
    <col min="7" max="16384" width="9" style="121"/>
  </cols>
  <sheetData>
    <row r="2" spans="2:6" x14ac:dyDescent="0.25">
      <c r="B2" s="151" t="s">
        <v>491</v>
      </c>
    </row>
    <row r="4" spans="2:6" x14ac:dyDescent="0.25">
      <c r="B4" s="121" t="s">
        <v>492</v>
      </c>
      <c r="C4" s="150">
        <v>5</v>
      </c>
    </row>
    <row r="5" spans="2:6" ht="15.75" thickBot="1" x14ac:dyDescent="0.3"/>
    <row r="6" spans="2:6" ht="15.75" thickBot="1" x14ac:dyDescent="0.3">
      <c r="B6" s="13" t="s">
        <v>10</v>
      </c>
      <c r="C6" s="14" t="s">
        <v>11</v>
      </c>
      <c r="D6" s="14" t="s">
        <v>12</v>
      </c>
      <c r="E6" s="14" t="s">
        <v>13</v>
      </c>
      <c r="F6" s="14" t="s">
        <v>15</v>
      </c>
    </row>
    <row r="7" spans="2:6" x14ac:dyDescent="0.25">
      <c r="B7" s="11" t="s">
        <v>505</v>
      </c>
      <c r="C7" s="11" t="s">
        <v>17</v>
      </c>
      <c r="D7" s="16">
        <f>1/3</f>
        <v>0.33333333333333331</v>
      </c>
      <c r="E7" s="18">
        <v>44.08</v>
      </c>
      <c r="F7" s="130">
        <f>D7*E7</f>
        <v>14.693333333333332</v>
      </c>
    </row>
    <row r="8" spans="2:6" x14ac:dyDescent="0.25">
      <c r="B8" s="11" t="s">
        <v>506</v>
      </c>
      <c r="C8" s="11"/>
      <c r="D8" s="11"/>
      <c r="E8" s="21"/>
      <c r="F8" s="130"/>
    </row>
    <row r="9" spans="2:6" x14ac:dyDescent="0.25">
      <c r="B9" s="11" t="s">
        <v>507</v>
      </c>
      <c r="C9" s="11" t="s">
        <v>508</v>
      </c>
      <c r="D9" s="16">
        <v>200</v>
      </c>
      <c r="E9" s="18">
        <v>0.69</v>
      </c>
      <c r="F9" s="130">
        <f>D9*E9</f>
        <v>138</v>
      </c>
    </row>
    <row r="10" spans="2:6" x14ac:dyDescent="0.25">
      <c r="B10" s="11" t="s">
        <v>509</v>
      </c>
      <c r="C10" s="11" t="s">
        <v>508</v>
      </c>
      <c r="D10" s="16">
        <v>60</v>
      </c>
      <c r="E10" s="18">
        <v>0.77</v>
      </c>
      <c r="F10" s="130">
        <f t="shared" ref="F10:F24" si="0">D10*E10</f>
        <v>46.2</v>
      </c>
    </row>
    <row r="11" spans="2:6" x14ac:dyDescent="0.25">
      <c r="B11" s="11" t="s">
        <v>510</v>
      </c>
      <c r="C11" s="11" t="s">
        <v>508</v>
      </c>
      <c r="D11" s="16">
        <v>250</v>
      </c>
      <c r="E11" s="18">
        <v>0.4</v>
      </c>
      <c r="F11" s="130">
        <f t="shared" si="0"/>
        <v>100</v>
      </c>
    </row>
    <row r="12" spans="2:6" x14ac:dyDescent="0.25">
      <c r="B12" s="11" t="s">
        <v>511</v>
      </c>
      <c r="C12" s="11" t="s">
        <v>514</v>
      </c>
      <c r="D12" s="16">
        <v>4</v>
      </c>
      <c r="E12" s="18">
        <v>7.5</v>
      </c>
      <c r="F12" s="130">
        <f t="shared" si="0"/>
        <v>30</v>
      </c>
    </row>
    <row r="13" spans="2:6" x14ac:dyDescent="0.25">
      <c r="B13" s="11" t="s">
        <v>512</v>
      </c>
      <c r="C13" s="11"/>
      <c r="D13" s="22"/>
      <c r="E13" s="21"/>
      <c r="F13" s="130"/>
    </row>
    <row r="14" spans="2:6" x14ac:dyDescent="0.25">
      <c r="B14" s="145" t="s">
        <v>513</v>
      </c>
      <c r="C14" s="11" t="s">
        <v>514</v>
      </c>
      <c r="D14" s="16">
        <v>2</v>
      </c>
      <c r="E14" s="18">
        <v>40</v>
      </c>
      <c r="F14" s="130">
        <f t="shared" si="0"/>
        <v>80</v>
      </c>
    </row>
    <row r="15" spans="2:6" x14ac:dyDescent="0.25">
      <c r="B15" s="11" t="s">
        <v>515</v>
      </c>
      <c r="C15" s="11" t="s">
        <v>514</v>
      </c>
      <c r="D15" s="16">
        <v>1</v>
      </c>
      <c r="E15" s="18">
        <v>18.940000000000001</v>
      </c>
      <c r="F15" s="130">
        <f t="shared" si="0"/>
        <v>18.940000000000001</v>
      </c>
    </row>
    <row r="16" spans="2:6" x14ac:dyDescent="0.25">
      <c r="B16" s="11" t="s">
        <v>516</v>
      </c>
      <c r="C16" s="11" t="s">
        <v>514</v>
      </c>
      <c r="D16" s="16">
        <v>1</v>
      </c>
      <c r="E16" s="18">
        <v>3.06</v>
      </c>
      <c r="F16" s="130">
        <f t="shared" si="0"/>
        <v>3.06</v>
      </c>
    </row>
    <row r="17" spans="1:6" x14ac:dyDescent="0.25">
      <c r="B17" s="11" t="s">
        <v>517</v>
      </c>
      <c r="C17" s="11" t="s">
        <v>514</v>
      </c>
      <c r="D17" s="16">
        <v>6</v>
      </c>
      <c r="E17" s="18">
        <v>3.06</v>
      </c>
      <c r="F17" s="130">
        <f t="shared" si="0"/>
        <v>18.36</v>
      </c>
    </row>
    <row r="18" spans="1:6" x14ac:dyDescent="0.25">
      <c r="A18" s="218" t="s">
        <v>634</v>
      </c>
      <c r="B18" s="11" t="s">
        <v>518</v>
      </c>
      <c r="C18" s="11"/>
      <c r="E18" s="21"/>
      <c r="F18" s="130"/>
    </row>
    <row r="19" spans="1:6" x14ac:dyDescent="0.25">
      <c r="B19" s="11" t="s">
        <v>519</v>
      </c>
      <c r="C19" s="11" t="s">
        <v>520</v>
      </c>
      <c r="D19" s="16">
        <f>Equipment_VC!O73</f>
        <v>16.430753912770236</v>
      </c>
      <c r="E19" s="18">
        <v>3</v>
      </c>
      <c r="F19" s="130">
        <f t="shared" si="0"/>
        <v>49.292261738310707</v>
      </c>
    </row>
    <row r="20" spans="1:6" x14ac:dyDescent="0.25">
      <c r="B20" s="11" t="s">
        <v>521</v>
      </c>
      <c r="C20" s="11" t="s">
        <v>19</v>
      </c>
      <c r="D20" s="22">
        <v>1</v>
      </c>
      <c r="E20" s="18">
        <f>Equipment_VC!R73</f>
        <v>82.293717983881592</v>
      </c>
      <c r="F20" s="130">
        <f t="shared" si="0"/>
        <v>82.293717983881592</v>
      </c>
    </row>
    <row r="21" spans="1:6" x14ac:dyDescent="0.25">
      <c r="B21" s="11" t="s">
        <v>522</v>
      </c>
      <c r="C21" s="11" t="s">
        <v>523</v>
      </c>
      <c r="D21" s="16">
        <v>12.5</v>
      </c>
      <c r="E21" s="18">
        <v>1.4</v>
      </c>
      <c r="F21" s="130">
        <f t="shared" si="0"/>
        <v>17.5</v>
      </c>
    </row>
    <row r="22" spans="1:6" x14ac:dyDescent="0.25">
      <c r="B22" s="11" t="s">
        <v>524</v>
      </c>
      <c r="C22" s="11" t="s">
        <v>19</v>
      </c>
      <c r="D22" s="22">
        <v>1</v>
      </c>
      <c r="E22" s="18">
        <v>0</v>
      </c>
      <c r="F22" s="130">
        <f t="shared" si="0"/>
        <v>0</v>
      </c>
    </row>
    <row r="23" spans="1:6" x14ac:dyDescent="0.25">
      <c r="A23" s="218" t="s">
        <v>634</v>
      </c>
      <c r="B23" s="11" t="s">
        <v>525</v>
      </c>
      <c r="C23" s="11" t="s">
        <v>526</v>
      </c>
      <c r="D23" s="16">
        <f>Equipment_VC!G73</f>
        <v>3.9812238143120497</v>
      </c>
      <c r="E23" s="18">
        <f>Main!F51</f>
        <v>16.079999999999998</v>
      </c>
      <c r="F23" s="130">
        <f t="shared" si="0"/>
        <v>64.018078934137748</v>
      </c>
    </row>
    <row r="24" spans="1:6" x14ac:dyDescent="0.25">
      <c r="B24" s="11" t="s">
        <v>20</v>
      </c>
      <c r="C24" s="11" t="s">
        <v>21</v>
      </c>
      <c r="D24" s="16">
        <v>0</v>
      </c>
      <c r="E24" s="18">
        <v>0</v>
      </c>
      <c r="F24" s="130">
        <f t="shared" si="0"/>
        <v>0</v>
      </c>
    </row>
    <row r="25" spans="1:6" ht="15.75" thickBot="1" x14ac:dyDescent="0.3">
      <c r="B25" s="23" t="s">
        <v>527</v>
      </c>
      <c r="C25" s="23" t="s">
        <v>21</v>
      </c>
      <c r="D25" s="136">
        <f>SUM(F7:F24)</f>
        <v>662.35739198966337</v>
      </c>
      <c r="E25" s="146">
        <f>Main!F55</f>
        <v>0.08</v>
      </c>
      <c r="F25" s="130">
        <f>D25*((E25/365)*182.5)</f>
        <v>26.494295679586536</v>
      </c>
    </row>
    <row r="26" spans="1:6" ht="15.75" thickBot="1" x14ac:dyDescent="0.3">
      <c r="B26" s="13" t="s">
        <v>533</v>
      </c>
      <c r="C26" s="27"/>
      <c r="D26" s="29"/>
      <c r="E26" s="29"/>
      <c r="F26" s="148">
        <f>SUM(F7:F25)</f>
        <v>688.85168766924994</v>
      </c>
    </row>
    <row r="27" spans="1:6" x14ac:dyDescent="0.25">
      <c r="B27" s="32"/>
      <c r="C27" s="11"/>
    </row>
    <row r="28" spans="1:6" ht="15.75" thickBot="1" x14ac:dyDescent="0.3">
      <c r="B28" s="23"/>
      <c r="C28" s="23"/>
      <c r="D28" s="126"/>
      <c r="E28" s="126"/>
      <c r="F28" s="126"/>
    </row>
    <row r="29" spans="1:6" ht="15.75" thickBot="1" x14ac:dyDescent="0.3">
      <c r="B29" s="36" t="s">
        <v>24</v>
      </c>
      <c r="C29" s="36"/>
      <c r="D29" s="36"/>
      <c r="E29" s="36"/>
      <c r="F29" s="36"/>
    </row>
    <row r="30" spans="1:6" x14ac:dyDescent="0.25">
      <c r="B30" s="11" t="s">
        <v>588</v>
      </c>
      <c r="C30" s="11" t="s">
        <v>19</v>
      </c>
      <c r="D30" s="121">
        <v>1</v>
      </c>
      <c r="E30" s="137">
        <v>55</v>
      </c>
      <c r="F30" s="130">
        <f>D30*E30</f>
        <v>55</v>
      </c>
    </row>
    <row r="31" spans="1:6" ht="15.75" thickBot="1" x14ac:dyDescent="0.3">
      <c r="B31" s="11" t="s">
        <v>25</v>
      </c>
      <c r="C31" s="11" t="s">
        <v>21</v>
      </c>
      <c r="F31" s="130">
        <f>Equipment_VC!U73</f>
        <v>146.79908964420781</v>
      </c>
    </row>
    <row r="32" spans="1:6" ht="15.75" thickBot="1" x14ac:dyDescent="0.3">
      <c r="B32" s="13" t="s">
        <v>532</v>
      </c>
      <c r="C32" s="28" t="s">
        <v>22</v>
      </c>
      <c r="D32" s="28"/>
      <c r="E32" s="28"/>
      <c r="F32" s="156">
        <f>SUM(F30:F31)</f>
        <v>201.79908964420781</v>
      </c>
    </row>
    <row r="33" spans="2:6" x14ac:dyDescent="0.25">
      <c r="B33" s="32"/>
      <c r="C33" s="12"/>
    </row>
    <row r="34" spans="2:6" ht="15.75" thickBot="1" x14ac:dyDescent="0.3">
      <c r="B34" s="36"/>
      <c r="C34" s="24"/>
      <c r="D34" s="24"/>
      <c r="E34" s="24"/>
      <c r="F34" s="24"/>
    </row>
    <row r="35" spans="2:6" ht="15.75" thickBot="1" x14ac:dyDescent="0.3">
      <c r="B35" s="36" t="s">
        <v>531</v>
      </c>
      <c r="C35" s="24"/>
      <c r="D35" s="24"/>
      <c r="E35" s="24"/>
      <c r="F35" s="149">
        <f>F26+F32</f>
        <v>890.65077731345775</v>
      </c>
    </row>
    <row r="36" spans="2:6" ht="15.75" thickBot="1" x14ac:dyDescent="0.3">
      <c r="B36" s="36" t="s">
        <v>528</v>
      </c>
      <c r="C36" s="24"/>
      <c r="D36" s="24"/>
      <c r="E36" s="24"/>
      <c r="F36" s="149">
        <f>F35/C4</f>
        <v>178.13015546269156</v>
      </c>
    </row>
    <row r="39" spans="2:6" x14ac:dyDescent="0.25">
      <c r="B39" s="243" t="s">
        <v>612</v>
      </c>
      <c r="C39" s="244"/>
      <c r="D39" s="244"/>
      <c r="E39" s="244"/>
      <c r="F39" s="245"/>
    </row>
    <row r="40" spans="2:6" ht="255" customHeight="1" x14ac:dyDescent="0.25">
      <c r="B40" s="246" t="s">
        <v>613</v>
      </c>
      <c r="C40" s="247"/>
      <c r="D40" s="247"/>
      <c r="E40" s="247"/>
      <c r="F40" s="248"/>
    </row>
  </sheetData>
  <mergeCells count="2">
    <mergeCell ref="B39:F39"/>
    <mergeCell ref="B40:F40"/>
  </mergeCells>
  <hyperlinks>
    <hyperlink ref="A18" location="Equipment_VC!A1" display="Equipment Detail" xr:uid="{00000000-0004-0000-0700-000000000000}"/>
    <hyperlink ref="A23" location="Equipment_VC!A1" display="Equipment Detail" xr:uid="{00000000-0004-0000-0700-000001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30"/>
  <sheetViews>
    <sheetView workbookViewId="0"/>
  </sheetViews>
  <sheetFormatPr defaultColWidth="9" defaultRowHeight="15" x14ac:dyDescent="0.25"/>
  <cols>
    <col min="1" max="1" width="9" style="121"/>
    <col min="2" max="2" width="36" style="121" bestFit="1" customWidth="1"/>
    <col min="3" max="3" width="4.5" style="121" bestFit="1" customWidth="1"/>
    <col min="4" max="4" width="7.75" style="121" bestFit="1" customWidth="1"/>
    <col min="5" max="5" width="16.25" style="121" bestFit="1" customWidth="1"/>
    <col min="6" max="6" width="19.375" style="121" bestFit="1" customWidth="1"/>
    <col min="7" max="7" width="6.75" style="121" bestFit="1" customWidth="1"/>
    <col min="8" max="8" width="9.875" style="121" bestFit="1" customWidth="1"/>
    <col min="9" max="16384" width="9" style="121"/>
  </cols>
  <sheetData>
    <row r="2" spans="2:8" x14ac:dyDescent="0.25">
      <c r="B2" s="151" t="s">
        <v>471</v>
      </c>
    </row>
    <row r="4" spans="2:8" ht="15.75" thickBot="1" x14ac:dyDescent="0.3">
      <c r="B4" s="125" t="s">
        <v>472</v>
      </c>
      <c r="C4" s="126"/>
      <c r="D4" s="126"/>
      <c r="E4" s="126"/>
      <c r="F4" s="126"/>
      <c r="G4" s="126"/>
      <c r="H4" s="126"/>
    </row>
    <row r="5" spans="2:8" ht="15.75" thickBot="1" x14ac:dyDescent="0.3">
      <c r="B5" s="125" t="s">
        <v>418</v>
      </c>
      <c r="C5" s="125" t="s">
        <v>438</v>
      </c>
      <c r="D5" s="125" t="s">
        <v>473</v>
      </c>
      <c r="E5" s="125" t="s">
        <v>489</v>
      </c>
      <c r="F5" s="125" t="s">
        <v>474</v>
      </c>
      <c r="G5" s="125" t="s">
        <v>475</v>
      </c>
      <c r="H5" s="125" t="s">
        <v>476</v>
      </c>
    </row>
    <row r="6" spans="2:8" x14ac:dyDescent="0.25">
      <c r="B6" s="121" t="s">
        <v>480</v>
      </c>
      <c r="C6" s="121" t="s">
        <v>481</v>
      </c>
      <c r="D6" s="133">
        <v>120</v>
      </c>
      <c r="E6" s="133">
        <v>6</v>
      </c>
      <c r="F6" s="121">
        <f>D6*E6</f>
        <v>720</v>
      </c>
      <c r="G6" s="137">
        <v>276.33</v>
      </c>
      <c r="H6" s="130">
        <f>(F6/2000)*G6</f>
        <v>99.478799999999993</v>
      </c>
    </row>
    <row r="7" spans="2:8" x14ac:dyDescent="0.25">
      <c r="B7" s="121" t="s">
        <v>20</v>
      </c>
      <c r="D7" s="133">
        <v>0</v>
      </c>
      <c r="E7" s="133">
        <v>0</v>
      </c>
      <c r="F7" s="121">
        <f t="shared" ref="F7:F8" si="0">D7*E7</f>
        <v>0</v>
      </c>
      <c r="G7" s="137">
        <v>0</v>
      </c>
      <c r="H7" s="130">
        <f t="shared" ref="H7:H8" si="1">(F7/2000)*G7</f>
        <v>0</v>
      </c>
    </row>
    <row r="8" spans="2:8" ht="15.75" thickBot="1" x14ac:dyDescent="0.3">
      <c r="B8" s="126" t="s">
        <v>20</v>
      </c>
      <c r="C8" s="126"/>
      <c r="D8" s="138">
        <v>0</v>
      </c>
      <c r="E8" s="138">
        <v>0</v>
      </c>
      <c r="F8" s="126">
        <f t="shared" si="0"/>
        <v>0</v>
      </c>
      <c r="G8" s="139">
        <v>0</v>
      </c>
      <c r="H8" s="142">
        <f t="shared" si="1"/>
        <v>0</v>
      </c>
    </row>
    <row r="9" spans="2:8" ht="15.75" thickBot="1" x14ac:dyDescent="0.3">
      <c r="B9" s="125" t="s">
        <v>440</v>
      </c>
      <c r="C9" s="125"/>
      <c r="D9" s="125"/>
      <c r="E9" s="125"/>
      <c r="F9" s="125">
        <f>SUM(F6:F8)</f>
        <v>720</v>
      </c>
      <c r="G9" s="125"/>
      <c r="H9" s="155">
        <f>SUM(H6:H8)</f>
        <v>99.478799999999993</v>
      </c>
    </row>
    <row r="11" spans="2:8" ht="15.75" thickBot="1" x14ac:dyDescent="0.3">
      <c r="B11" s="125" t="s">
        <v>477</v>
      </c>
      <c r="C11" s="126"/>
      <c r="D11" s="126"/>
      <c r="E11" s="126"/>
      <c r="F11" s="126"/>
      <c r="G11" s="126"/>
      <c r="H11" s="126"/>
    </row>
    <row r="12" spans="2:8" ht="15.75" thickBot="1" x14ac:dyDescent="0.3">
      <c r="B12" s="125" t="s">
        <v>418</v>
      </c>
      <c r="C12" s="125" t="s">
        <v>438</v>
      </c>
      <c r="D12" s="125" t="s">
        <v>473</v>
      </c>
      <c r="E12" s="125" t="s">
        <v>489</v>
      </c>
      <c r="F12" s="125" t="s">
        <v>483</v>
      </c>
      <c r="G12" s="125" t="s">
        <v>475</v>
      </c>
      <c r="H12" s="125" t="s">
        <v>484</v>
      </c>
    </row>
    <row r="13" spans="2:8" x14ac:dyDescent="0.25">
      <c r="B13" s="121" t="s">
        <v>480</v>
      </c>
      <c r="C13" s="121" t="s">
        <v>481</v>
      </c>
      <c r="D13" s="133">
        <v>120</v>
      </c>
      <c r="E13" s="133">
        <v>6</v>
      </c>
      <c r="F13" s="121">
        <f>D13*E13</f>
        <v>720</v>
      </c>
      <c r="G13" s="137">
        <v>276.33</v>
      </c>
      <c r="H13" s="130">
        <f>(F13/2000)*G13</f>
        <v>99.478799999999993</v>
      </c>
    </row>
    <row r="14" spans="2:8" x14ac:dyDescent="0.25">
      <c r="B14" s="121" t="s">
        <v>20</v>
      </c>
      <c r="D14" s="133">
        <v>0</v>
      </c>
      <c r="E14" s="133">
        <v>0</v>
      </c>
      <c r="F14" s="121">
        <f>D14*E14</f>
        <v>0</v>
      </c>
      <c r="G14" s="137">
        <v>0</v>
      </c>
      <c r="H14" s="130">
        <f>(F14/2000)*G14</f>
        <v>0</v>
      </c>
    </row>
    <row r="15" spans="2:8" ht="15.75" thickBot="1" x14ac:dyDescent="0.3">
      <c r="B15" s="126" t="s">
        <v>20</v>
      </c>
      <c r="C15" s="126"/>
      <c r="D15" s="138">
        <v>0</v>
      </c>
      <c r="E15" s="138">
        <v>0</v>
      </c>
      <c r="F15" s="126">
        <f>D15*E15</f>
        <v>0</v>
      </c>
      <c r="G15" s="139">
        <v>0</v>
      </c>
      <c r="H15" s="142">
        <f>(F15/2000)*G15</f>
        <v>0</v>
      </c>
    </row>
    <row r="16" spans="2:8" ht="15.75" thickBot="1" x14ac:dyDescent="0.3">
      <c r="B16" s="125" t="s">
        <v>440</v>
      </c>
      <c r="C16" s="125"/>
      <c r="D16" s="125"/>
      <c r="E16" s="125"/>
      <c r="F16" s="125">
        <f>SUM(F13:F15)</f>
        <v>720</v>
      </c>
      <c r="G16" s="125"/>
      <c r="H16" s="155">
        <f>SUM(H13:H15)</f>
        <v>99.478799999999993</v>
      </c>
    </row>
    <row r="18" spans="2:8" ht="15.75" thickBot="1" x14ac:dyDescent="0.3">
      <c r="B18" s="125" t="s">
        <v>478</v>
      </c>
      <c r="C18" s="126"/>
      <c r="D18" s="126"/>
      <c r="E18" s="126"/>
      <c r="F18" s="126"/>
      <c r="G18" s="126"/>
      <c r="H18" s="126"/>
    </row>
    <row r="19" spans="2:8" ht="15.75" thickBot="1" x14ac:dyDescent="0.3">
      <c r="B19" s="125" t="s">
        <v>418</v>
      </c>
      <c r="C19" s="125" t="s">
        <v>438</v>
      </c>
      <c r="D19" s="125" t="s">
        <v>473</v>
      </c>
      <c r="E19" s="125" t="s">
        <v>489</v>
      </c>
      <c r="F19" s="125" t="s">
        <v>485</v>
      </c>
      <c r="G19" s="125" t="s">
        <v>475</v>
      </c>
      <c r="H19" s="125" t="s">
        <v>488</v>
      </c>
    </row>
    <row r="20" spans="2:8" x14ac:dyDescent="0.25">
      <c r="B20" s="121" t="s">
        <v>482</v>
      </c>
      <c r="C20" s="121" t="s">
        <v>481</v>
      </c>
      <c r="D20" s="133">
        <v>120</v>
      </c>
      <c r="E20" s="133">
        <v>6</v>
      </c>
      <c r="F20" s="121">
        <f>D20*E20</f>
        <v>720</v>
      </c>
      <c r="G20" s="137">
        <v>273.7</v>
      </c>
      <c r="H20" s="130">
        <f>(F20/2000)*G20</f>
        <v>98.531999999999996</v>
      </c>
    </row>
    <row r="21" spans="2:8" x14ac:dyDescent="0.25">
      <c r="B21" s="121" t="s">
        <v>20</v>
      </c>
      <c r="D21" s="133">
        <v>0</v>
      </c>
      <c r="E21" s="133">
        <v>0</v>
      </c>
      <c r="F21" s="121">
        <f>D21*E21</f>
        <v>0</v>
      </c>
      <c r="G21" s="137">
        <v>0</v>
      </c>
      <c r="H21" s="130">
        <f>(F21/2000)*G21</f>
        <v>0</v>
      </c>
    </row>
    <row r="22" spans="2:8" ht="15.75" thickBot="1" x14ac:dyDescent="0.3">
      <c r="B22" s="126" t="s">
        <v>20</v>
      </c>
      <c r="C22" s="126"/>
      <c r="D22" s="138">
        <v>0</v>
      </c>
      <c r="E22" s="138">
        <v>0</v>
      </c>
      <c r="F22" s="126">
        <f>D22*E22</f>
        <v>0</v>
      </c>
      <c r="G22" s="139">
        <v>0</v>
      </c>
      <c r="H22" s="142">
        <f>(F22/2000)*G22</f>
        <v>0</v>
      </c>
    </row>
    <row r="23" spans="2:8" ht="15.75" thickBot="1" x14ac:dyDescent="0.3">
      <c r="B23" s="125" t="s">
        <v>440</v>
      </c>
      <c r="C23" s="125"/>
      <c r="D23" s="125"/>
      <c r="E23" s="125"/>
      <c r="F23" s="125">
        <f>SUM(F20:F22)</f>
        <v>720</v>
      </c>
      <c r="G23" s="125"/>
      <c r="H23" s="155">
        <f>SUM(H20:H22)</f>
        <v>98.531999999999996</v>
      </c>
    </row>
    <row r="25" spans="2:8" ht="15.75" thickBot="1" x14ac:dyDescent="0.3">
      <c r="B25" s="125" t="s">
        <v>479</v>
      </c>
      <c r="C25" s="126"/>
      <c r="D25" s="126"/>
      <c r="E25" s="126"/>
      <c r="F25" s="126"/>
      <c r="G25" s="126"/>
      <c r="H25" s="126"/>
    </row>
    <row r="26" spans="2:8" ht="15.75" thickBot="1" x14ac:dyDescent="0.3">
      <c r="B26" s="125" t="s">
        <v>418</v>
      </c>
      <c r="C26" s="125" t="s">
        <v>438</v>
      </c>
      <c r="D26" s="125" t="s">
        <v>473</v>
      </c>
      <c r="E26" s="125" t="s">
        <v>489</v>
      </c>
      <c r="F26" s="125" t="s">
        <v>486</v>
      </c>
      <c r="G26" s="125" t="s">
        <v>475</v>
      </c>
      <c r="H26" s="125" t="s">
        <v>487</v>
      </c>
    </row>
    <row r="27" spans="2:8" x14ac:dyDescent="0.25">
      <c r="B27" s="121" t="s">
        <v>482</v>
      </c>
      <c r="C27" s="121" t="s">
        <v>481</v>
      </c>
      <c r="D27" s="133">
        <v>60</v>
      </c>
      <c r="E27" s="133">
        <v>5</v>
      </c>
      <c r="F27" s="121">
        <f>D27*E27</f>
        <v>300</v>
      </c>
      <c r="G27" s="137">
        <v>273.7</v>
      </c>
      <c r="H27" s="130">
        <f>(F27/2000)*G27</f>
        <v>41.055</v>
      </c>
    </row>
    <row r="28" spans="2:8" x14ac:dyDescent="0.25">
      <c r="B28" s="121" t="s">
        <v>20</v>
      </c>
      <c r="D28" s="133">
        <v>0</v>
      </c>
      <c r="E28" s="133">
        <v>0</v>
      </c>
      <c r="F28" s="121">
        <f>D28*E28</f>
        <v>0</v>
      </c>
      <c r="G28" s="137">
        <v>0</v>
      </c>
      <c r="H28" s="130">
        <f>(F28/2000)*G28</f>
        <v>0</v>
      </c>
    </row>
    <row r="29" spans="2:8" ht="15.75" thickBot="1" x14ac:dyDescent="0.3">
      <c r="B29" s="126" t="s">
        <v>20</v>
      </c>
      <c r="C29" s="126"/>
      <c r="D29" s="138">
        <v>0</v>
      </c>
      <c r="E29" s="138">
        <v>0</v>
      </c>
      <c r="F29" s="126">
        <f>D29*E29</f>
        <v>0</v>
      </c>
      <c r="G29" s="139">
        <v>0</v>
      </c>
      <c r="H29" s="142">
        <f>(F29/2000)*G29</f>
        <v>0</v>
      </c>
    </row>
    <row r="30" spans="2:8" ht="15.75" thickBot="1" x14ac:dyDescent="0.3">
      <c r="B30" s="125" t="s">
        <v>440</v>
      </c>
      <c r="C30" s="125"/>
      <c r="D30" s="125"/>
      <c r="E30" s="125"/>
      <c r="F30" s="125">
        <f>SUM(F27:F29)</f>
        <v>300</v>
      </c>
      <c r="G30" s="125"/>
      <c r="H30" s="155">
        <f>SUM(H27:H29)</f>
        <v>41.055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E732A6-879A-4D44-BAC6-81A302BCBCB4}"/>
</file>

<file path=customXml/itemProps2.xml><?xml version="1.0" encoding="utf-8"?>
<ds:datastoreItem xmlns:ds="http://schemas.openxmlformats.org/officeDocument/2006/customXml" ds:itemID="{0E3E83AC-788F-42C1-A9C2-FA82847FE511}"/>
</file>

<file path=customXml/itemProps3.xml><?xml version="1.0" encoding="utf-8"?>
<ds:datastoreItem xmlns:ds="http://schemas.openxmlformats.org/officeDocument/2006/customXml" ds:itemID="{2BBE6ADD-CED0-4B35-9A24-963B551B5D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Disclaimer</vt:lpstr>
      <vt:lpstr>Main</vt:lpstr>
      <vt:lpstr>Bahia</vt:lpstr>
      <vt:lpstr>Bermuda</vt:lpstr>
      <vt:lpstr>Fescue</vt:lpstr>
      <vt:lpstr>Winter_Grazing</vt:lpstr>
      <vt:lpstr>Summer_Annual</vt:lpstr>
      <vt:lpstr>Hay</vt:lpstr>
      <vt:lpstr>Feed</vt:lpstr>
      <vt:lpstr>Vet</vt:lpstr>
      <vt:lpstr>Marketing</vt:lpstr>
      <vt:lpstr>Breeding_Stock</vt:lpstr>
      <vt:lpstr>Facilities</vt:lpstr>
      <vt:lpstr>Equipment_VC</vt:lpstr>
      <vt:lpstr>CowCalfEquipment_FC</vt:lpstr>
      <vt:lpstr>Implement</vt:lpstr>
      <vt:lpstr>Tractors</vt:lpstr>
      <vt:lpstr>Equipment_VC!implement</vt:lpstr>
      <vt:lpstr>implement</vt:lpstr>
      <vt:lpstr>intir</vt:lpstr>
      <vt:lpstr>itr</vt:lpstr>
      <vt:lpstr>tractor</vt:lpstr>
      <vt:lpstr>tractor_data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2024-03-11T17:50:05Z</dcterms:created>
  <dcterms:modified xsi:type="dcterms:W3CDTF">2025-02-03T21:14:48Z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